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plaidhatter/content/6fc8a7d7-092f-4cff-91f0-7734d4dfe734/"/>
    </mc:Choice>
  </mc:AlternateContent>
  <xr:revisionPtr revIDLastSave="0" documentId="13_ncr:1_{4B58C617-9DE2-744B-9702-B1000D877D7C}" xr6:coauthVersionLast="36" xr6:coauthVersionMax="36" xr10:uidLastSave="{00000000-0000-0000-0000-000000000000}"/>
  <bookViews>
    <workbookView xWindow="680" yWindow="1180" windowWidth="19900" windowHeight="15640" xr2:uid="{20718141-F9D4-A04D-8D50-E9BB2D5E08CE}"/>
  </bookViews>
  <sheets>
    <sheet name="Vehicle" sheetId="1" r:id="rId1"/>
    <sheet name="Automation" sheetId="26" r:id="rId2"/>
    <sheet name="Conversion" sheetId="27" r:id="rId3"/>
    <sheet name="Costs" sheetId="23" r:id="rId4"/>
    <sheet name="Geometry" sheetId="18" r:id="rId5"/>
    <sheet name="Gravity" sheetId="19" r:id="rId6"/>
    <sheet name="Sheet2" sheetId="17" r:id="rId7"/>
    <sheet name="Power Consumption" sheetId="13" r:id="rId8"/>
    <sheet name="Propulsion" sheetId="7" r:id="rId9"/>
    <sheet name="Population" sheetId="6" r:id="rId10"/>
    <sheet name="Population Model" sheetId="28" r:id="rId11"/>
    <sheet name="Vocations" sheetId="24" r:id="rId12"/>
    <sheet name="Billet" sheetId="29" r:id="rId13"/>
    <sheet name="Agriculture" sheetId="9" r:id="rId14"/>
    <sheet name="Crops" sheetId="21" r:id="rId15"/>
    <sheet name="Diet" sheetId="20" r:id="rId16"/>
    <sheet name="Aquaculture" sheetId="14" r:id="rId17"/>
    <sheet name="Cattle" sheetId="8" r:id="rId18"/>
    <sheet name="Protein" sheetId="15" r:id="rId19"/>
  </sheets>
  <definedNames>
    <definedName name="_xlnm._FilterDatabase" localSheetId="11" hidden="1">Vocations!$A:$A</definedName>
    <definedName name="_xlnm.Criteria" localSheetId="11">Vocations!$A:$A</definedName>
    <definedName name="_xlnm.Extract" localSheetId="11">Vocations!$B$16</definedName>
    <definedName name="_xlnm.Print_Area" localSheetId="11">Vocations!$A$1:$G$44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1" i="1" l="1"/>
  <c r="E46" i="1"/>
  <c r="C40" i="1"/>
  <c r="C21" i="18"/>
  <c r="B7" i="6"/>
  <c r="C5" i="26" s="1"/>
  <c r="B12" i="6"/>
  <c r="A4" i="28"/>
  <c r="A5" i="28" s="1"/>
  <c r="A6" i="28" s="1"/>
  <c r="A7" i="28" s="1"/>
  <c r="A8" i="28" s="1"/>
  <c r="D38" i="24"/>
  <c r="T4" i="6"/>
  <c r="AB6" i="6"/>
  <c r="AB5" i="6"/>
  <c r="AB4" i="6"/>
  <c r="D1" i="24" l="1"/>
  <c r="D16" i="24" s="1"/>
  <c r="U3" i="6" l="1"/>
  <c r="J27" i="18" l="1"/>
  <c r="K27" i="18"/>
  <c r="I27" i="18"/>
  <c r="H27" i="18"/>
  <c r="G27" i="18"/>
  <c r="J4" i="6" l="1"/>
  <c r="C18" i="1"/>
  <c r="V3" i="6"/>
  <c r="W3" i="6" l="1"/>
  <c r="X3" i="6" s="1"/>
  <c r="Y3" i="6" s="1"/>
  <c r="AB3" i="6"/>
  <c r="J5" i="6"/>
  <c r="J6" i="6"/>
  <c r="B4" i="1"/>
  <c r="C43" i="13"/>
  <c r="C38" i="13"/>
  <c r="K32" i="6" l="1"/>
  <c r="J17" i="6" s="1"/>
  <c r="C12" i="6" s="1"/>
  <c r="B19" i="6"/>
  <c r="K36" i="6"/>
  <c r="K49" i="6"/>
  <c r="K50" i="6"/>
  <c r="K33" i="6"/>
  <c r="K35" i="6"/>
  <c r="K34" i="6"/>
  <c r="J10" i="6"/>
  <c r="J11" i="6" s="1"/>
  <c r="B20" i="6" s="1"/>
  <c r="O13" i="26"/>
  <c r="N13" i="26"/>
  <c r="M13" i="26"/>
  <c r="K13" i="26"/>
  <c r="T13" i="26" s="1"/>
  <c r="I13" i="26"/>
  <c r="B65" i="1"/>
  <c r="B73" i="1" s="1"/>
  <c r="M51" i="6"/>
  <c r="O51" i="6" s="1"/>
  <c r="M36" i="6"/>
  <c r="M34" i="6"/>
  <c r="O34" i="6" s="1"/>
  <c r="M35" i="6"/>
  <c r="N35" i="6" s="1"/>
  <c r="M37" i="6"/>
  <c r="O37" i="6" s="1"/>
  <c r="M38" i="6"/>
  <c r="M39" i="6"/>
  <c r="O39" i="6" s="1"/>
  <c r="M40" i="6"/>
  <c r="M41" i="6"/>
  <c r="O41" i="6" s="1"/>
  <c r="M42" i="6"/>
  <c r="O42" i="6" s="1"/>
  <c r="M43" i="6"/>
  <c r="N43" i="6" s="1"/>
  <c r="M44" i="6"/>
  <c r="M45" i="6"/>
  <c r="O45" i="6" s="1"/>
  <c r="M46" i="6"/>
  <c r="M47" i="6"/>
  <c r="O47" i="6" s="1"/>
  <c r="M48" i="6"/>
  <c r="O48" i="6" s="1"/>
  <c r="M49" i="6"/>
  <c r="O49" i="6" s="1"/>
  <c r="M50" i="6"/>
  <c r="O50" i="6" s="1"/>
  <c r="M33" i="6"/>
  <c r="O33" i="6" s="1"/>
  <c r="N53" i="6"/>
  <c r="N52" i="6"/>
  <c r="N54" i="6"/>
  <c r="O35" i="6"/>
  <c r="B16" i="6"/>
  <c r="B15" i="6" s="1"/>
  <c r="B18" i="6"/>
  <c r="AC9" i="21"/>
  <c r="D12" i="8"/>
  <c r="AC126" i="21"/>
  <c r="Y126" i="21"/>
  <c r="X126" i="21"/>
  <c r="W126" i="21"/>
  <c r="D11" i="8"/>
  <c r="D10" i="8"/>
  <c r="D5" i="9"/>
  <c r="W10" i="21"/>
  <c r="Y10" i="21"/>
  <c r="AC10" i="21"/>
  <c r="D4" i="27"/>
  <c r="D3" i="27"/>
  <c r="C37" i="27"/>
  <c r="B37" i="27"/>
  <c r="B36" i="27"/>
  <c r="C24" i="13"/>
  <c r="I39" i="6"/>
  <c r="I40" i="6"/>
  <c r="I41" i="6"/>
  <c r="I42" i="6"/>
  <c r="I43" i="6"/>
  <c r="I44" i="6"/>
  <c r="I45" i="6"/>
  <c r="I46" i="6"/>
  <c r="I47" i="6"/>
  <c r="I48" i="6"/>
  <c r="I49" i="6"/>
  <c r="I50" i="6"/>
  <c r="I38" i="6"/>
  <c r="I37" i="6"/>
  <c r="A34" i="6"/>
  <c r="A35" i="6" s="1"/>
  <c r="A37" i="6" s="1"/>
  <c r="A39" i="6" s="1"/>
  <c r="A41" i="6" s="1"/>
  <c r="A43" i="6" s="1"/>
  <c r="A45" i="6" s="1"/>
  <c r="A47" i="6" s="1"/>
  <c r="A48" i="6" s="1"/>
  <c r="A49" i="6" s="1"/>
  <c r="A9" i="28"/>
  <c r="A10" i="28" s="1"/>
  <c r="A11" i="28" s="1"/>
  <c r="A12" i="28" s="1"/>
  <c r="A13" i="28" s="1"/>
  <c r="A14" i="28" s="1"/>
  <c r="A15" i="28" s="1"/>
  <c r="A16" i="28" s="1"/>
  <c r="A17" i="28" s="1"/>
  <c r="AB1" i="28"/>
  <c r="AC1" i="28" s="1"/>
  <c r="AE1" i="28" s="1"/>
  <c r="AG1" i="28" s="1"/>
  <c r="AI1" i="28" s="1"/>
  <c r="AK1" i="28" s="1"/>
  <c r="AM1" i="28" s="1"/>
  <c r="AO1" i="28" s="1"/>
  <c r="AP1" i="28" s="1"/>
  <c r="AQ1" i="28" s="1"/>
  <c r="C14" i="18"/>
  <c r="D15" i="18"/>
  <c r="D16" i="18"/>
  <c r="B3" i="27"/>
  <c r="M106" i="28" l="1"/>
  <c r="M34" i="28"/>
  <c r="M50" i="28"/>
  <c r="M31" i="28"/>
  <c r="M86" i="28"/>
  <c r="M45" i="28"/>
  <c r="M3" i="28"/>
  <c r="M4" i="28"/>
  <c r="M56" i="28"/>
  <c r="M11" i="28"/>
  <c r="M104" i="28"/>
  <c r="M32" i="28"/>
  <c r="M15" i="28"/>
  <c r="M54" i="28"/>
  <c r="M37" i="28"/>
  <c r="M84" i="28"/>
  <c r="M99" i="28"/>
  <c r="M113" i="28"/>
  <c r="M81" i="28"/>
  <c r="M9" i="28"/>
  <c r="M7" i="28"/>
  <c r="M46" i="28"/>
  <c r="M29" i="28"/>
  <c r="M76" i="28"/>
  <c r="M91" i="28"/>
  <c r="M115" i="28"/>
  <c r="M49" i="28"/>
  <c r="M111" i="28"/>
  <c r="M38" i="28"/>
  <c r="M21" i="28"/>
  <c r="M68" i="28"/>
  <c r="M59" i="28"/>
  <c r="M8" i="28"/>
  <c r="M30" i="28"/>
  <c r="M60" i="28"/>
  <c r="M16" i="28"/>
  <c r="M110" i="28"/>
  <c r="M52" i="28"/>
  <c r="M95" i="28"/>
  <c r="M85" i="28"/>
  <c r="M90" i="28"/>
  <c r="M53" i="28"/>
  <c r="M27" i="28"/>
  <c r="M25" i="28"/>
  <c r="M51" i="28"/>
  <c r="M103" i="28"/>
  <c r="M93" i="28"/>
  <c r="M96" i="28"/>
  <c r="M102" i="28"/>
  <c r="M20" i="28"/>
  <c r="M39" i="28"/>
  <c r="M77" i="28"/>
  <c r="M105" i="28"/>
  <c r="M80" i="28"/>
  <c r="M23" i="28"/>
  <c r="M101" i="28"/>
  <c r="M58" i="28"/>
  <c r="M22" i="28"/>
  <c r="M43" i="28"/>
  <c r="M40" i="28"/>
  <c r="M6" i="28"/>
  <c r="M35" i="28"/>
  <c r="M94" i="28"/>
  <c r="M12" i="28"/>
  <c r="M26" i="28"/>
  <c r="M67" i="28"/>
  <c r="M69" i="28"/>
  <c r="M63" i="28"/>
  <c r="M36" i="28"/>
  <c r="M14" i="28"/>
  <c r="M73" i="28"/>
  <c r="M78" i="28"/>
  <c r="M72" i="28"/>
  <c r="M28" i="28"/>
  <c r="M112" i="28"/>
  <c r="M89" i="28"/>
  <c r="M100" i="28"/>
  <c r="M62" i="28"/>
  <c r="M65" i="28"/>
  <c r="M17" i="28"/>
  <c r="M55" i="28"/>
  <c r="M108" i="28"/>
  <c r="M97" i="28"/>
  <c r="M71" i="28"/>
  <c r="M13" i="28"/>
  <c r="M98" i="28"/>
  <c r="M92" i="28"/>
  <c r="M18" i="28"/>
  <c r="M10" i="28"/>
  <c r="M5" i="28"/>
  <c r="M87" i="28"/>
  <c r="M109" i="28"/>
  <c r="M82" i="28"/>
  <c r="M41" i="28"/>
  <c r="M19" i="28"/>
  <c r="M79" i="28"/>
  <c r="M57" i="28"/>
  <c r="M61" i="28"/>
  <c r="M24" i="28"/>
  <c r="M48" i="28"/>
  <c r="M83" i="28"/>
  <c r="M107" i="28"/>
  <c r="M33" i="28"/>
  <c r="M66" i="28"/>
  <c r="M44" i="28"/>
  <c r="M114" i="28"/>
  <c r="M70" i="28"/>
  <c r="M64" i="28"/>
  <c r="M47" i="28"/>
  <c r="M75" i="28"/>
  <c r="M74" i="28"/>
  <c r="M42" i="28"/>
  <c r="M88" i="28"/>
  <c r="B8" i="6"/>
  <c r="D4" i="24"/>
  <c r="N51" i="6"/>
  <c r="K38" i="6"/>
  <c r="K43" i="6"/>
  <c r="K37" i="6"/>
  <c r="A18" i="28"/>
  <c r="A19" i="28" s="1"/>
  <c r="A20" i="28" s="1"/>
  <c r="A21" i="28" s="1"/>
  <c r="A22" i="28" s="1"/>
  <c r="A23" i="28" s="1"/>
  <c r="A24" i="28" s="1"/>
  <c r="A25" i="28" s="1"/>
  <c r="A26" i="28" s="1"/>
  <c r="A27" i="28" s="1"/>
  <c r="A28" i="28" s="1"/>
  <c r="A29" i="28" s="1"/>
  <c r="A30" i="28" s="1"/>
  <c r="A31" i="28" s="1"/>
  <c r="A32" i="28" s="1"/>
  <c r="A33" i="28" s="1"/>
  <c r="A34" i="28" s="1"/>
  <c r="A35" i="28" s="1"/>
  <c r="A36" i="28" s="1"/>
  <c r="A37" i="28" s="1"/>
  <c r="A38" i="28" s="1"/>
  <c r="A39" i="28" s="1"/>
  <c r="A40" i="28" s="1"/>
  <c r="A41" i="28" s="1"/>
  <c r="A42" i="28" s="1"/>
  <c r="A43" i="28" s="1"/>
  <c r="A44" i="28" s="1"/>
  <c r="A45" i="28" s="1"/>
  <c r="A46" i="28" s="1"/>
  <c r="A47" i="28" s="1"/>
  <c r="A48" i="28" s="1"/>
  <c r="A49" i="28" s="1"/>
  <c r="A50" i="28" s="1"/>
  <c r="A51" i="28" s="1"/>
  <c r="A52" i="28" s="1"/>
  <c r="A53" i="28" s="1"/>
  <c r="A54" i="28" s="1"/>
  <c r="A55" i="28" s="1"/>
  <c r="A56" i="28" s="1"/>
  <c r="A57" i="28" s="1"/>
  <c r="A58" i="28" s="1"/>
  <c r="A59" i="28" s="1"/>
  <c r="A60" i="28" s="1"/>
  <c r="A61" i="28" s="1"/>
  <c r="A62" i="28" s="1"/>
  <c r="A63" i="28" s="1"/>
  <c r="A64" i="28" s="1"/>
  <c r="A65" i="28" s="1"/>
  <c r="A66" i="28" s="1"/>
  <c r="A67" i="28" s="1"/>
  <c r="A68" i="28" s="1"/>
  <c r="A69" i="28" s="1"/>
  <c r="A70" i="28" s="1"/>
  <c r="A71" i="28" s="1"/>
  <c r="A72" i="28" s="1"/>
  <c r="A73" i="28" s="1"/>
  <c r="A74" i="28" s="1"/>
  <c r="A75" i="28" s="1"/>
  <c r="A76" i="28" s="1"/>
  <c r="A77" i="28" s="1"/>
  <c r="A78" i="28" s="1"/>
  <c r="A79" i="28" s="1"/>
  <c r="A80" i="28" s="1"/>
  <c r="A81" i="28" s="1"/>
  <c r="A82" i="28" s="1"/>
  <c r="A83" i="28" s="1"/>
  <c r="A84" i="28" s="1"/>
  <c r="A85" i="28" s="1"/>
  <c r="A86" i="28" s="1"/>
  <c r="A87" i="28" s="1"/>
  <c r="A88" i="28" s="1"/>
  <c r="A89" i="28" s="1"/>
  <c r="A90" i="28" s="1"/>
  <c r="A91" i="28" s="1"/>
  <c r="A92" i="28" s="1"/>
  <c r="A93" i="28" s="1"/>
  <c r="A94" i="28" s="1"/>
  <c r="A95" i="28" s="1"/>
  <c r="A96" i="28" s="1"/>
  <c r="A97" i="28" s="1"/>
  <c r="A98" i="28" s="1"/>
  <c r="A99" i="28" s="1"/>
  <c r="A100" i="28" s="1"/>
  <c r="A101" i="28" s="1"/>
  <c r="A102" i="28" s="1"/>
  <c r="A103" i="28" s="1"/>
  <c r="A104" i="28" s="1"/>
  <c r="A105" i="28" s="1"/>
  <c r="A106" i="28" s="1"/>
  <c r="A107" i="28" s="1"/>
  <c r="A108" i="28" s="1"/>
  <c r="A109" i="28" s="1"/>
  <c r="A110" i="28" s="1"/>
  <c r="A111" i="28" s="1"/>
  <c r="A112" i="28" s="1"/>
  <c r="A113" i="28" s="1"/>
  <c r="A114" i="28" s="1"/>
  <c r="A115" i="28" s="1"/>
  <c r="K41" i="6"/>
  <c r="K39" i="6"/>
  <c r="K46" i="6"/>
  <c r="K47" i="6"/>
  <c r="K40" i="6"/>
  <c r="K42" i="6"/>
  <c r="K45" i="6"/>
  <c r="K48" i="6"/>
  <c r="N47" i="6"/>
  <c r="N39" i="6"/>
  <c r="K44" i="6"/>
  <c r="O43" i="6"/>
  <c r="N33" i="6"/>
  <c r="N41" i="6"/>
  <c r="N50" i="6"/>
  <c r="N37" i="6"/>
  <c r="N49" i="6"/>
  <c r="N48" i="6"/>
  <c r="N34" i="6"/>
  <c r="N45" i="6"/>
  <c r="L13" i="26"/>
  <c r="G13" i="26" s="1"/>
  <c r="O38" i="6"/>
  <c r="O46" i="6"/>
  <c r="O44" i="6"/>
  <c r="O36" i="6"/>
  <c r="O40" i="6"/>
  <c r="AB126" i="21"/>
  <c r="AD126" i="21" s="1"/>
  <c r="Z126" i="21"/>
  <c r="B2" i="1"/>
  <c r="C1" i="13"/>
  <c r="C8" i="13"/>
  <c r="C9" i="13" s="1"/>
  <c r="C36" i="27"/>
  <c r="B4" i="27"/>
  <c r="C3" i="27"/>
  <c r="C4" i="27" s="1"/>
  <c r="B39" i="27"/>
  <c r="B33" i="27"/>
  <c r="B6" i="24"/>
  <c r="B7" i="24" s="1"/>
  <c r="B24" i="24"/>
  <c r="B26" i="24"/>
  <c r="B36" i="1"/>
  <c r="D19" i="18" s="1"/>
  <c r="O11" i="26"/>
  <c r="N11" i="26"/>
  <c r="M11" i="26"/>
  <c r="K11" i="26"/>
  <c r="T11" i="26" s="1"/>
  <c r="O12" i="26"/>
  <c r="N12" i="26"/>
  <c r="M12" i="26"/>
  <c r="K12" i="26"/>
  <c r="I12" i="26"/>
  <c r="AB15" i="21"/>
  <c r="AD15" i="21" s="1"/>
  <c r="AB16" i="21"/>
  <c r="AD16" i="21" s="1"/>
  <c r="AB19" i="21"/>
  <c r="AD19" i="21" s="1"/>
  <c r="AB20" i="21"/>
  <c r="AD20" i="21" s="1"/>
  <c r="AB44" i="21"/>
  <c r="AB45" i="21"/>
  <c r="AB82" i="21"/>
  <c r="AD82" i="21" s="1"/>
  <c r="AB83" i="21"/>
  <c r="AD83" i="21" s="1"/>
  <c r="AB87" i="21"/>
  <c r="AB88" i="21"/>
  <c r="AB99" i="21"/>
  <c r="AB100" i="21"/>
  <c r="AB113" i="21"/>
  <c r="AB114" i="21"/>
  <c r="B24" i="27"/>
  <c r="B23" i="27"/>
  <c r="B31" i="27"/>
  <c r="B8" i="27"/>
  <c r="C8" i="27"/>
  <c r="D18" i="27"/>
  <c r="C17" i="27"/>
  <c r="E16" i="27"/>
  <c r="D15" i="27"/>
  <c r="AC95" i="21"/>
  <c r="AC94" i="21"/>
  <c r="AC93" i="21"/>
  <c r="AC92" i="21"/>
  <c r="AC91" i="21"/>
  <c r="AC90" i="21"/>
  <c r="AC89" i="21"/>
  <c r="AC98" i="21"/>
  <c r="AC97" i="21"/>
  <c r="AC96" i="21"/>
  <c r="AC101" i="21"/>
  <c r="AC102" i="21"/>
  <c r="AC104" i="21"/>
  <c r="AC105" i="21"/>
  <c r="AC106" i="21"/>
  <c r="AC107" i="21"/>
  <c r="AC108" i="21"/>
  <c r="AC109" i="21"/>
  <c r="AC110" i="21"/>
  <c r="AC112" i="21"/>
  <c r="AC111" i="21"/>
  <c r="AC118" i="21"/>
  <c r="AC103" i="21"/>
  <c r="AC4" i="21"/>
  <c r="AC22" i="21"/>
  <c r="AC23" i="21"/>
  <c r="AC24" i="21"/>
  <c r="AC25" i="21"/>
  <c r="AC26" i="21"/>
  <c r="AC27" i="21"/>
  <c r="AC28" i="21"/>
  <c r="AC29" i="21"/>
  <c r="AC30" i="21"/>
  <c r="AC31" i="21"/>
  <c r="AC32" i="21"/>
  <c r="AC33" i="21"/>
  <c r="AC34" i="21"/>
  <c r="AC35" i="21"/>
  <c r="AC36" i="21"/>
  <c r="AC37" i="21"/>
  <c r="AC38" i="21"/>
  <c r="AC39" i="21"/>
  <c r="AC40" i="21"/>
  <c r="AC41" i="21"/>
  <c r="AC42" i="21"/>
  <c r="AC43" i="21"/>
  <c r="AC44" i="21"/>
  <c r="AC45" i="21"/>
  <c r="AC46" i="21"/>
  <c r="AC47" i="21"/>
  <c r="AC48" i="21"/>
  <c r="AC49" i="21"/>
  <c r="AC50" i="21"/>
  <c r="AC51" i="21"/>
  <c r="AC52" i="21"/>
  <c r="AC53" i="21"/>
  <c r="AC54" i="21"/>
  <c r="AC55" i="21"/>
  <c r="AC56" i="21"/>
  <c r="AC57" i="21"/>
  <c r="AC58" i="21"/>
  <c r="AC59" i="21"/>
  <c r="AC60" i="21"/>
  <c r="AC61" i="21"/>
  <c r="AC62" i="21"/>
  <c r="AC63" i="21"/>
  <c r="AC64" i="21"/>
  <c r="AC65" i="21"/>
  <c r="AC66" i="21"/>
  <c r="AC67" i="21"/>
  <c r="AC68" i="21"/>
  <c r="AC69" i="21"/>
  <c r="AC70" i="21"/>
  <c r="AC71" i="21"/>
  <c r="AC72" i="21"/>
  <c r="AC73" i="21"/>
  <c r="AC74" i="21"/>
  <c r="AC75" i="21"/>
  <c r="AC76" i="21"/>
  <c r="AC77" i="21"/>
  <c r="AC78" i="21"/>
  <c r="AC79" i="21"/>
  <c r="AC80" i="21"/>
  <c r="AC81" i="21"/>
  <c r="AC82" i="21"/>
  <c r="AC83" i="21"/>
  <c r="AC84" i="21"/>
  <c r="AC85" i="21"/>
  <c r="AC86" i="21"/>
  <c r="AC87" i="21"/>
  <c r="AC88" i="21"/>
  <c r="AC99" i="21"/>
  <c r="AC100" i="21"/>
  <c r="AC113" i="21"/>
  <c r="AC114" i="21"/>
  <c r="AC115" i="21"/>
  <c r="AC116" i="21"/>
  <c r="AC117" i="21"/>
  <c r="AC119" i="21"/>
  <c r="AC21" i="21"/>
  <c r="AC18" i="21"/>
  <c r="AC17" i="21"/>
  <c r="AC14" i="21"/>
  <c r="AC5" i="21"/>
  <c r="AC6" i="21"/>
  <c r="AC7" i="21"/>
  <c r="AC8" i="21"/>
  <c r="AC11" i="21"/>
  <c r="AC12" i="21"/>
  <c r="M10" i="26"/>
  <c r="L10" i="26" s="1"/>
  <c r="G10" i="26" s="1"/>
  <c r="K8" i="26"/>
  <c r="T8" i="26" s="1"/>
  <c r="L8" i="26" s="1"/>
  <c r="G8" i="26" s="1"/>
  <c r="K10" i="26"/>
  <c r="I10" i="26"/>
  <c r="I8" i="26" s="1"/>
  <c r="I11" i="26" s="1"/>
  <c r="N7" i="26"/>
  <c r="O8" i="26"/>
  <c r="O10" i="26"/>
  <c r="N8" i="26"/>
  <c r="N10" i="26"/>
  <c r="M8" i="26"/>
  <c r="B44" i="24"/>
  <c r="B38" i="24" s="1"/>
  <c r="C38" i="24"/>
  <c r="B8" i="24"/>
  <c r="K27" i="6" l="1"/>
  <c r="B14" i="6"/>
  <c r="AD114" i="21"/>
  <c r="AD113" i="21"/>
  <c r="AD44" i="21"/>
  <c r="AD100" i="21"/>
  <c r="AD99" i="21"/>
  <c r="AD88" i="21"/>
  <c r="AD87" i="21"/>
  <c r="AD45" i="21"/>
  <c r="B5" i="1"/>
  <c r="L12" i="26"/>
  <c r="G12" i="26" s="1"/>
  <c r="L11" i="26"/>
  <c r="G11" i="26" s="1"/>
  <c r="B19" i="24"/>
  <c r="C22" i="1"/>
  <c r="D43" i="27" s="1"/>
  <c r="F43" i="27" s="1"/>
  <c r="C114" i="21"/>
  <c r="C100" i="21"/>
  <c r="C88" i="21"/>
  <c r="C83" i="21"/>
  <c r="C45" i="21"/>
  <c r="C20" i="21"/>
  <c r="C16" i="21"/>
  <c r="B3" i="23" l="1"/>
  <c r="B5" i="23"/>
  <c r="B2" i="23"/>
  <c r="B1" i="23"/>
  <c r="C55" i="13" l="1"/>
  <c r="C53" i="13"/>
  <c r="C51" i="13"/>
  <c r="C11" i="13"/>
  <c r="C12" i="13" s="1"/>
  <c r="C13" i="13" s="1"/>
  <c r="E2" i="18"/>
  <c r="E1" i="18"/>
  <c r="X9" i="21"/>
  <c r="F9" i="21"/>
  <c r="B114" i="21"/>
  <c r="A114" i="21"/>
  <c r="B100" i="21"/>
  <c r="A100" i="21"/>
  <c r="B88" i="21"/>
  <c r="A88" i="21"/>
  <c r="B83" i="21"/>
  <c r="A83" i="21"/>
  <c r="B45" i="21"/>
  <c r="A45" i="21"/>
  <c r="A20" i="21"/>
  <c r="A16" i="21"/>
  <c r="F34" i="9"/>
  <c r="I126" i="21"/>
  <c r="Y98" i="21"/>
  <c r="W98" i="21"/>
  <c r="T98" i="21"/>
  <c r="K98" i="21"/>
  <c r="Y97" i="21"/>
  <c r="W97" i="21"/>
  <c r="T97" i="21"/>
  <c r="K97" i="21"/>
  <c r="Y96" i="21"/>
  <c r="W96" i="21"/>
  <c r="T96" i="21"/>
  <c r="K96" i="21"/>
  <c r="Y119" i="21"/>
  <c r="W119" i="21"/>
  <c r="T119" i="21"/>
  <c r="K119" i="21"/>
  <c r="Y116" i="21"/>
  <c r="W116" i="21"/>
  <c r="T116" i="21"/>
  <c r="K116" i="21"/>
  <c r="Y92" i="21"/>
  <c r="W92" i="21"/>
  <c r="T92" i="21"/>
  <c r="K92" i="21"/>
  <c r="Y91" i="21"/>
  <c r="W91" i="21"/>
  <c r="T91" i="21"/>
  <c r="K91" i="21"/>
  <c r="Y90" i="21"/>
  <c r="W90" i="21"/>
  <c r="T90" i="21"/>
  <c r="K90" i="21"/>
  <c r="Y89" i="21"/>
  <c r="W89" i="21"/>
  <c r="T89" i="21"/>
  <c r="K89" i="21"/>
  <c r="Y35" i="21"/>
  <c r="W35" i="21"/>
  <c r="T35" i="21"/>
  <c r="K35" i="21"/>
  <c r="Y34" i="21"/>
  <c r="W34" i="21"/>
  <c r="T34" i="21"/>
  <c r="K34" i="21"/>
  <c r="Y33" i="21"/>
  <c r="W33" i="21"/>
  <c r="T33" i="21"/>
  <c r="K33" i="21"/>
  <c r="Y32" i="21"/>
  <c r="W32" i="21"/>
  <c r="T32" i="21"/>
  <c r="K32" i="21"/>
  <c r="Y26" i="21"/>
  <c r="W26" i="21"/>
  <c r="T26" i="21"/>
  <c r="K26" i="21"/>
  <c r="Y22" i="21"/>
  <c r="W22" i="21"/>
  <c r="T22" i="21"/>
  <c r="K22" i="21"/>
  <c r="Y112" i="21"/>
  <c r="W112" i="21"/>
  <c r="T112" i="21"/>
  <c r="K112" i="21"/>
  <c r="Y111" i="21"/>
  <c r="W111" i="21"/>
  <c r="T111" i="21"/>
  <c r="K111" i="21"/>
  <c r="Y110" i="21"/>
  <c r="W110" i="21"/>
  <c r="T110" i="21"/>
  <c r="K110" i="21"/>
  <c r="Y118" i="21"/>
  <c r="W118" i="21"/>
  <c r="T118" i="21"/>
  <c r="K118" i="21"/>
  <c r="Y107" i="21"/>
  <c r="W107" i="21"/>
  <c r="T107" i="21"/>
  <c r="K107" i="21"/>
  <c r="Y106" i="21"/>
  <c r="W106" i="21"/>
  <c r="T106" i="21"/>
  <c r="K106" i="21"/>
  <c r="Y84" i="21"/>
  <c r="W84" i="21"/>
  <c r="T84" i="21"/>
  <c r="K84" i="21"/>
  <c r="W104" i="21"/>
  <c r="T104" i="21"/>
  <c r="L104" i="21"/>
  <c r="K104" i="21"/>
  <c r="W31" i="21"/>
  <c r="T31" i="21"/>
  <c r="L31" i="21"/>
  <c r="K31" i="21"/>
  <c r="W102" i="21"/>
  <c r="T102" i="21"/>
  <c r="L102" i="21"/>
  <c r="K102" i="21"/>
  <c r="W101" i="21"/>
  <c r="T101" i="21"/>
  <c r="L101" i="21"/>
  <c r="K101" i="21"/>
  <c r="Y78" i="21"/>
  <c r="W78" i="21"/>
  <c r="T78" i="21"/>
  <c r="K78" i="21"/>
  <c r="Y77" i="21"/>
  <c r="W77" i="21"/>
  <c r="T77" i="21"/>
  <c r="K77" i="21"/>
  <c r="Y73" i="21"/>
  <c r="W73" i="21"/>
  <c r="T73" i="21"/>
  <c r="K73" i="21"/>
  <c r="Y95" i="21"/>
  <c r="W95" i="21"/>
  <c r="T95" i="21"/>
  <c r="K95" i="21"/>
  <c r="Y94" i="21"/>
  <c r="W94" i="21"/>
  <c r="T94" i="21"/>
  <c r="K94" i="21"/>
  <c r="Y70" i="21"/>
  <c r="W70" i="21"/>
  <c r="T70" i="21"/>
  <c r="K70" i="21"/>
  <c r="Y67" i="21"/>
  <c r="W67" i="21"/>
  <c r="T67" i="21"/>
  <c r="K67" i="21"/>
  <c r="Y103" i="21"/>
  <c r="W103" i="21"/>
  <c r="T103" i="21"/>
  <c r="K103" i="21"/>
  <c r="Y64" i="21"/>
  <c r="W64" i="21"/>
  <c r="T64" i="21"/>
  <c r="K64" i="21"/>
  <c r="Y93" i="21"/>
  <c r="W93" i="21"/>
  <c r="T93" i="21"/>
  <c r="K93" i="21"/>
  <c r="Y27" i="21"/>
  <c r="W27" i="21"/>
  <c r="T27" i="21"/>
  <c r="K27" i="21"/>
  <c r="Y57" i="21"/>
  <c r="W57" i="21"/>
  <c r="T57" i="21"/>
  <c r="K57" i="21"/>
  <c r="Y55" i="21"/>
  <c r="W55" i="21"/>
  <c r="T55" i="21"/>
  <c r="K55" i="21"/>
  <c r="Y54" i="21"/>
  <c r="W54" i="21"/>
  <c r="T54" i="21"/>
  <c r="K54" i="21"/>
  <c r="Y53" i="21"/>
  <c r="W53" i="21"/>
  <c r="T53" i="21"/>
  <c r="K53" i="21"/>
  <c r="Y23" i="21"/>
  <c r="W23" i="21"/>
  <c r="T23" i="21"/>
  <c r="K23" i="21"/>
  <c r="Y51" i="21"/>
  <c r="W51" i="21"/>
  <c r="T51" i="21"/>
  <c r="K51" i="21"/>
  <c r="Y50" i="21"/>
  <c r="W50" i="21"/>
  <c r="T50" i="21"/>
  <c r="K50" i="21"/>
  <c r="Y49" i="21"/>
  <c r="W49" i="21"/>
  <c r="T49" i="21"/>
  <c r="K49" i="21"/>
  <c r="Y48" i="21"/>
  <c r="W48" i="21"/>
  <c r="T48" i="21"/>
  <c r="K48" i="21"/>
  <c r="W115" i="21"/>
  <c r="T115" i="21"/>
  <c r="L115" i="21"/>
  <c r="K115" i="21"/>
  <c r="Y86" i="21"/>
  <c r="W86" i="21"/>
  <c r="T86" i="21"/>
  <c r="K86" i="21"/>
  <c r="Y81" i="21"/>
  <c r="W81" i="21"/>
  <c r="T81" i="21"/>
  <c r="K81" i="21"/>
  <c r="Y43" i="21"/>
  <c r="W43" i="21"/>
  <c r="T43" i="21"/>
  <c r="K43" i="21"/>
  <c r="Y80" i="21"/>
  <c r="W80" i="21"/>
  <c r="T80" i="21"/>
  <c r="K80" i="21"/>
  <c r="Y109" i="21"/>
  <c r="W109" i="21"/>
  <c r="T109" i="21"/>
  <c r="K109" i="21"/>
  <c r="Y85" i="21"/>
  <c r="W85" i="21"/>
  <c r="T85" i="21"/>
  <c r="K85" i="21"/>
  <c r="Y42" i="21"/>
  <c r="W42" i="21"/>
  <c r="T42" i="21"/>
  <c r="K42" i="21"/>
  <c r="Y18" i="21"/>
  <c r="W18" i="21"/>
  <c r="T18" i="21"/>
  <c r="K18" i="21"/>
  <c r="Y17" i="21"/>
  <c r="W17" i="21"/>
  <c r="T17" i="21"/>
  <c r="K17" i="21"/>
  <c r="Y79" i="21"/>
  <c r="W79" i="21"/>
  <c r="T79" i="21"/>
  <c r="K79" i="21"/>
  <c r="Y108" i="21"/>
  <c r="W108" i="21"/>
  <c r="T108" i="21"/>
  <c r="K108" i="21"/>
  <c r="Y41" i="21"/>
  <c r="W41" i="21"/>
  <c r="T41" i="21"/>
  <c r="K41" i="21"/>
  <c r="Y40" i="21"/>
  <c r="W40" i="21"/>
  <c r="T40" i="21"/>
  <c r="K40" i="21"/>
  <c r="Y117" i="21"/>
  <c r="W117" i="21"/>
  <c r="T117" i="21"/>
  <c r="K117" i="21"/>
  <c r="W39" i="21"/>
  <c r="T39" i="21"/>
  <c r="L39" i="21"/>
  <c r="K39" i="21"/>
  <c r="Y105" i="21"/>
  <c r="W105" i="21"/>
  <c r="T105" i="21"/>
  <c r="K105" i="21"/>
  <c r="Y38" i="21"/>
  <c r="W38" i="21"/>
  <c r="T38" i="21"/>
  <c r="K38" i="21"/>
  <c r="Y76" i="21"/>
  <c r="W76" i="21"/>
  <c r="T76" i="21"/>
  <c r="K76" i="21"/>
  <c r="Y75" i="21"/>
  <c r="W75" i="21"/>
  <c r="T75" i="21"/>
  <c r="K75" i="21"/>
  <c r="Y74" i="21"/>
  <c r="W74" i="21"/>
  <c r="T74" i="21"/>
  <c r="K74" i="21"/>
  <c r="Y37" i="21"/>
  <c r="W37" i="21"/>
  <c r="T37" i="21"/>
  <c r="K37" i="21"/>
  <c r="Y36" i="21"/>
  <c r="W36" i="21"/>
  <c r="T36" i="21"/>
  <c r="K36" i="21"/>
  <c r="Y72" i="21"/>
  <c r="W72" i="21"/>
  <c r="T72" i="21"/>
  <c r="K72" i="21"/>
  <c r="Y71" i="21"/>
  <c r="W71" i="21"/>
  <c r="T71" i="21"/>
  <c r="K71" i="21"/>
  <c r="Y69" i="21"/>
  <c r="W69" i="21"/>
  <c r="T69" i="21"/>
  <c r="K69" i="21"/>
  <c r="Y68" i="21"/>
  <c r="W68" i="21"/>
  <c r="T68" i="21"/>
  <c r="Y66" i="21"/>
  <c r="W66" i="21"/>
  <c r="T66" i="21"/>
  <c r="K66" i="21"/>
  <c r="Y65" i="21"/>
  <c r="W65" i="21"/>
  <c r="T65" i="21"/>
  <c r="Y63" i="21"/>
  <c r="W63" i="21"/>
  <c r="T63" i="21"/>
  <c r="K63" i="21"/>
  <c r="Y62" i="21"/>
  <c r="W62" i="21"/>
  <c r="T62" i="21"/>
  <c r="K62" i="21"/>
  <c r="Y30" i="21"/>
  <c r="W30" i="21"/>
  <c r="T30" i="21"/>
  <c r="K30" i="21"/>
  <c r="Y61" i="21"/>
  <c r="W61" i="21"/>
  <c r="T61" i="21"/>
  <c r="K61" i="21"/>
  <c r="Y60" i="21"/>
  <c r="W60" i="21"/>
  <c r="T60" i="21"/>
  <c r="K60" i="21"/>
  <c r="Y29" i="21"/>
  <c r="W29" i="21"/>
  <c r="T29" i="21"/>
  <c r="K29" i="21"/>
  <c r="W28" i="21"/>
  <c r="T28" i="21"/>
  <c r="L28" i="21"/>
  <c r="K28" i="21"/>
  <c r="Y59" i="21"/>
  <c r="W59" i="21"/>
  <c r="T59" i="21"/>
  <c r="K59" i="21"/>
  <c r="Y58" i="21"/>
  <c r="W58" i="21"/>
  <c r="T58" i="21"/>
  <c r="K58" i="21"/>
  <c r="Y25" i="21"/>
  <c r="W25" i="21"/>
  <c r="T25" i="21"/>
  <c r="K25" i="21"/>
  <c r="Y24" i="21"/>
  <c r="W24" i="21"/>
  <c r="T24" i="21"/>
  <c r="K24" i="21"/>
  <c r="Y56" i="21"/>
  <c r="W56" i="21"/>
  <c r="T56" i="21"/>
  <c r="K56" i="21"/>
  <c r="Y52" i="21"/>
  <c r="W52" i="21"/>
  <c r="T52" i="21"/>
  <c r="K52" i="21"/>
  <c r="Y47" i="21"/>
  <c r="W47" i="21"/>
  <c r="T47" i="21"/>
  <c r="K47" i="21"/>
  <c r="Y46" i="21"/>
  <c r="W46" i="21"/>
  <c r="T46" i="21"/>
  <c r="K46" i="21"/>
  <c r="Y21" i="21"/>
  <c r="W21" i="21"/>
  <c r="K21" i="21"/>
  <c r="W14" i="21"/>
  <c r="T14" i="21"/>
  <c r="K14" i="21"/>
  <c r="Y12" i="21"/>
  <c r="W12" i="21"/>
  <c r="T12" i="21"/>
  <c r="K12" i="21"/>
  <c r="Y11" i="21"/>
  <c r="W11" i="21"/>
  <c r="T11" i="21"/>
  <c r="K11" i="21"/>
  <c r="W9" i="21"/>
  <c r="T9" i="21"/>
  <c r="Y8" i="21"/>
  <c r="W8" i="21"/>
  <c r="T8" i="21"/>
  <c r="K8" i="21"/>
  <c r="Y7" i="21"/>
  <c r="W7" i="21"/>
  <c r="T7" i="21"/>
  <c r="K7" i="21"/>
  <c r="Y6" i="21"/>
  <c r="W6" i="21"/>
  <c r="T6" i="21"/>
  <c r="K6" i="21"/>
  <c r="Y5" i="21"/>
  <c r="W5" i="21"/>
  <c r="T5" i="21"/>
  <c r="K5" i="21"/>
  <c r="W4" i="21"/>
  <c r="K4" i="21"/>
  <c r="X4" i="21" s="1"/>
  <c r="F4" i="21"/>
  <c r="B57" i="15"/>
  <c r="D12" i="9"/>
  <c r="D32" i="8" s="1"/>
  <c r="E33" i="9"/>
  <c r="G33" i="9" s="1"/>
  <c r="E32" i="9"/>
  <c r="G32" i="9" s="1"/>
  <c r="D100" i="21" s="1"/>
  <c r="E31" i="9"/>
  <c r="G31" i="9" s="1"/>
  <c r="D88" i="21" s="1"/>
  <c r="E30" i="9"/>
  <c r="G30" i="9" s="1"/>
  <c r="D83" i="21" s="1"/>
  <c r="E29" i="9"/>
  <c r="G29" i="9" s="1"/>
  <c r="D45" i="21" s="1"/>
  <c r="E28" i="9"/>
  <c r="G28" i="9" s="1"/>
  <c r="E27" i="9"/>
  <c r="G27" i="9" s="1"/>
  <c r="D37" i="9" s="1"/>
  <c r="E26" i="9"/>
  <c r="G26" i="9" s="1"/>
  <c r="D20" i="21" s="1"/>
  <c r="E25" i="9"/>
  <c r="G25" i="9" s="1"/>
  <c r="D16" i="21" s="1"/>
  <c r="E24" i="9"/>
  <c r="G24" i="9" s="1"/>
  <c r="E5" i="20"/>
  <c r="P5" i="20"/>
  <c r="O5" i="20"/>
  <c r="N5" i="20"/>
  <c r="M5" i="20"/>
  <c r="L5" i="20"/>
  <c r="K5" i="20"/>
  <c r="J5" i="20"/>
  <c r="I5" i="20"/>
  <c r="H5" i="20"/>
  <c r="G5" i="20"/>
  <c r="E15" i="20"/>
  <c r="F15" i="20"/>
  <c r="E14" i="20"/>
  <c r="F14" i="20"/>
  <c r="E11" i="20"/>
  <c r="F11" i="20"/>
  <c r="F10" i="20"/>
  <c r="F12" i="20"/>
  <c r="F13" i="20"/>
  <c r="F16" i="20"/>
  <c r="F17" i="20"/>
  <c r="F18" i="20"/>
  <c r="F19" i="20"/>
  <c r="F20" i="20"/>
  <c r="F21" i="20"/>
  <c r="F9" i="20"/>
  <c r="E10" i="20"/>
  <c r="E12" i="20"/>
  <c r="E13" i="20"/>
  <c r="E16" i="20"/>
  <c r="E17" i="20"/>
  <c r="E18" i="20"/>
  <c r="E19" i="20"/>
  <c r="E20" i="20"/>
  <c r="E21" i="20"/>
  <c r="E9" i="20"/>
  <c r="D21" i="9"/>
  <c r="B46" i="1"/>
  <c r="A8" i="19"/>
  <c r="B68" i="1"/>
  <c r="B69" i="1" s="1"/>
  <c r="E6" i="18" s="1"/>
  <c r="E33" i="18"/>
  <c r="E7" i="17"/>
  <c r="B7" i="17"/>
  <c r="C7" i="17"/>
  <c r="E4" i="17"/>
  <c r="E3" i="17"/>
  <c r="B40" i="15"/>
  <c r="D14" i="9"/>
  <c r="D13" i="9"/>
  <c r="F41" i="18" l="1"/>
  <c r="E40" i="18"/>
  <c r="C13" i="18"/>
  <c r="C49" i="9"/>
  <c r="E4" i="18"/>
  <c r="C12" i="18" s="1"/>
  <c r="D12" i="18" s="1"/>
  <c r="A9" i="19"/>
  <c r="D74" i="21"/>
  <c r="D49" i="21"/>
  <c r="D53" i="21"/>
  <c r="D51" i="21"/>
  <c r="D63" i="21"/>
  <c r="D66" i="21"/>
  <c r="D62" i="21"/>
  <c r="D80" i="21"/>
  <c r="D55" i="21"/>
  <c r="D79" i="21"/>
  <c r="D76" i="21"/>
  <c r="D61" i="21"/>
  <c r="D58" i="21"/>
  <c r="D78" i="21"/>
  <c r="D68" i="21"/>
  <c r="D72" i="21"/>
  <c r="D47" i="21"/>
  <c r="D57" i="21"/>
  <c r="D71" i="21"/>
  <c r="D50" i="21"/>
  <c r="D70" i="21"/>
  <c r="D60" i="21"/>
  <c r="D64" i="21"/>
  <c r="D65" i="21"/>
  <c r="D67" i="21"/>
  <c r="D46" i="21"/>
  <c r="D81" i="21"/>
  <c r="D54" i="21"/>
  <c r="D52" i="21"/>
  <c r="D56" i="21"/>
  <c r="D73" i="21"/>
  <c r="D77" i="21"/>
  <c r="D75" i="21"/>
  <c r="D48" i="21"/>
  <c r="D69" i="21"/>
  <c r="D59" i="21"/>
  <c r="D98" i="21"/>
  <c r="D93" i="21"/>
  <c r="D90" i="21"/>
  <c r="D91" i="21"/>
  <c r="D89" i="21"/>
  <c r="D97" i="21"/>
  <c r="D92" i="21"/>
  <c r="D96" i="21"/>
  <c r="D95" i="21"/>
  <c r="D94" i="21"/>
  <c r="D102" i="21"/>
  <c r="D106" i="21"/>
  <c r="D101" i="21"/>
  <c r="D108" i="21"/>
  <c r="D105" i="21"/>
  <c r="D112" i="21"/>
  <c r="D111" i="21"/>
  <c r="D110" i="21"/>
  <c r="D104" i="21"/>
  <c r="D109" i="21"/>
  <c r="D103" i="21"/>
  <c r="D107" i="21"/>
  <c r="D43" i="21"/>
  <c r="D25" i="21"/>
  <c r="D30" i="21"/>
  <c r="D35" i="21"/>
  <c r="D32" i="21"/>
  <c r="D21" i="21"/>
  <c r="D28" i="21"/>
  <c r="D22" i="21"/>
  <c r="D40" i="21"/>
  <c r="D36" i="21"/>
  <c r="D38" i="21"/>
  <c r="D27" i="21"/>
  <c r="D41" i="21"/>
  <c r="D37" i="21"/>
  <c r="D42" i="21"/>
  <c r="D24" i="21"/>
  <c r="D26" i="21"/>
  <c r="D33" i="21"/>
  <c r="D29" i="21"/>
  <c r="D34" i="21"/>
  <c r="D39" i="21"/>
  <c r="D31" i="21"/>
  <c r="D23" i="21"/>
  <c r="D86" i="21"/>
  <c r="D85" i="21"/>
  <c r="D84" i="21"/>
  <c r="D18" i="21"/>
  <c r="D17" i="21"/>
  <c r="F4" i="18"/>
  <c r="E7" i="18"/>
  <c r="E34" i="9"/>
  <c r="G34" i="9" s="1"/>
  <c r="D114" i="21" s="1"/>
  <c r="K65" i="21"/>
  <c r="D11" i="9"/>
  <c r="B23" i="15"/>
  <c r="D24" i="15"/>
  <c r="D23" i="15" s="1"/>
  <c r="C24" i="15"/>
  <c r="C23" i="15" s="1"/>
  <c r="B24" i="15"/>
  <c r="B74" i="1"/>
  <c r="B6" i="1" l="1"/>
  <c r="B8" i="1" s="1"/>
  <c r="B9" i="1" s="1"/>
  <c r="A10" i="19"/>
  <c r="D116" i="21"/>
  <c r="D118" i="21"/>
  <c r="D117" i="21"/>
  <c r="D119" i="21"/>
  <c r="D115" i="21"/>
  <c r="B76" i="1"/>
  <c r="F81" i="8"/>
  <c r="B15" i="1" l="1"/>
  <c r="C3" i="13"/>
  <c r="C24" i="1"/>
  <c r="J2" i="6"/>
  <c r="I19" i="6"/>
  <c r="J19" i="6" s="1"/>
  <c r="D38" i="9"/>
  <c r="B10" i="1"/>
  <c r="B11" i="1" s="1"/>
  <c r="D15" i="1" s="1"/>
  <c r="A11" i="19"/>
  <c r="E5" i="18"/>
  <c r="D33" i="8"/>
  <c r="G9" i="14"/>
  <c r="B6" i="14"/>
  <c r="D29" i="8"/>
  <c r="A410" i="7"/>
  <c r="A411" i="7"/>
  <c r="A412" i="7" s="1"/>
  <c r="A399" i="7"/>
  <c r="A400" i="7" s="1"/>
  <c r="A401" i="7" s="1"/>
  <c r="A402" i="7" s="1"/>
  <c r="A403" i="7" s="1"/>
  <c r="A404" i="7" s="1"/>
  <c r="A405" i="7" s="1"/>
  <c r="A406" i="7" s="1"/>
  <c r="A407" i="7" s="1"/>
  <c r="A408" i="7" s="1"/>
  <c r="A409" i="7" s="1"/>
  <c r="A392" i="7"/>
  <c r="A393" i="7"/>
  <c r="A394" i="7" s="1"/>
  <c r="A395" i="7" s="1"/>
  <c r="A396" i="7" s="1"/>
  <c r="A397" i="7" s="1"/>
  <c r="A398" i="7" s="1"/>
  <c r="A385" i="7"/>
  <c r="A386" i="7" s="1"/>
  <c r="A387" i="7" s="1"/>
  <c r="A388" i="7" s="1"/>
  <c r="A389" i="7" s="1"/>
  <c r="A390" i="7" s="1"/>
  <c r="A391" i="7" s="1"/>
  <c r="A378" i="7"/>
  <c r="A379" i="7"/>
  <c r="A380" i="7" s="1"/>
  <c r="A381" i="7" s="1"/>
  <c r="A382" i="7" s="1"/>
  <c r="A383" i="7" s="1"/>
  <c r="A384" i="7" s="1"/>
  <c r="A355" i="7"/>
  <c r="A356" i="7"/>
  <c r="A357" i="7" s="1"/>
  <c r="A358" i="7" s="1"/>
  <c r="A359" i="7" s="1"/>
  <c r="A360" i="7" s="1"/>
  <c r="A361" i="7" s="1"/>
  <c r="A362" i="7" s="1"/>
  <c r="A363" i="7" s="1"/>
  <c r="A364" i="7" s="1"/>
  <c r="A365" i="7" s="1"/>
  <c r="A366" i="7" s="1"/>
  <c r="A367" i="7" s="1"/>
  <c r="A368" i="7" s="1"/>
  <c r="A369" i="7" s="1"/>
  <c r="A370" i="7" s="1"/>
  <c r="A371" i="7" s="1"/>
  <c r="A372" i="7" s="1"/>
  <c r="A373" i="7" s="1"/>
  <c r="A374" i="7" s="1"/>
  <c r="A375" i="7" s="1"/>
  <c r="A376" i="7" s="1"/>
  <c r="A377" i="7" s="1"/>
  <c r="A264" i="7"/>
  <c r="A265" i="7"/>
  <c r="A266" i="7" s="1"/>
  <c r="A267" i="7" s="1"/>
  <c r="A268" i="7" s="1"/>
  <c r="A269" i="7" s="1"/>
  <c r="A270" i="7" s="1"/>
  <c r="A271" i="7" s="1"/>
  <c r="A272" i="7" s="1"/>
  <c r="A273" i="7" s="1"/>
  <c r="A274" i="7" s="1"/>
  <c r="A275" i="7" s="1"/>
  <c r="A276" i="7" s="1"/>
  <c r="A277" i="7" s="1"/>
  <c r="A278" i="7" s="1"/>
  <c r="A279" i="7" s="1"/>
  <c r="A280" i="7" s="1"/>
  <c r="A281" i="7" s="1"/>
  <c r="A282" i="7" s="1"/>
  <c r="A283" i="7" s="1"/>
  <c r="A284" i="7" s="1"/>
  <c r="A285" i="7" s="1"/>
  <c r="A286" i="7" s="1"/>
  <c r="A287" i="7" s="1"/>
  <c r="A288" i="7" s="1"/>
  <c r="A289" i="7" s="1"/>
  <c r="A290" i="7" s="1"/>
  <c r="A291" i="7" s="1"/>
  <c r="A292" i="7" s="1"/>
  <c r="A293" i="7" s="1"/>
  <c r="A294" i="7" s="1"/>
  <c r="A295" i="7" s="1"/>
  <c r="A296" i="7" s="1"/>
  <c r="A297" i="7" s="1"/>
  <c r="A298" i="7" s="1"/>
  <c r="A299" i="7" s="1"/>
  <c r="A300" i="7" s="1"/>
  <c r="A301" i="7" s="1"/>
  <c r="A302" i="7" s="1"/>
  <c r="A303" i="7" s="1"/>
  <c r="A304" i="7" s="1"/>
  <c r="A305" i="7" s="1"/>
  <c r="A306" i="7" s="1"/>
  <c r="A307" i="7" s="1"/>
  <c r="A308" i="7" s="1"/>
  <c r="A309" i="7" s="1"/>
  <c r="A310" i="7" s="1"/>
  <c r="A311" i="7" s="1"/>
  <c r="A312" i="7" s="1"/>
  <c r="A313" i="7" s="1"/>
  <c r="A314" i="7" s="1"/>
  <c r="A315" i="7" s="1"/>
  <c r="A316" i="7" s="1"/>
  <c r="A317" i="7" s="1"/>
  <c r="A318" i="7" s="1"/>
  <c r="A319" i="7" s="1"/>
  <c r="A320" i="7" s="1"/>
  <c r="A321" i="7" s="1"/>
  <c r="A322" i="7" s="1"/>
  <c r="A323" i="7" s="1"/>
  <c r="A324" i="7" s="1"/>
  <c r="A325" i="7" s="1"/>
  <c r="A326" i="7" s="1"/>
  <c r="A327" i="7" s="1"/>
  <c r="A328" i="7" s="1"/>
  <c r="A329" i="7" s="1"/>
  <c r="A330" i="7" s="1"/>
  <c r="A331" i="7" s="1"/>
  <c r="A332" i="7" s="1"/>
  <c r="A333" i="7" s="1"/>
  <c r="A334" i="7" s="1"/>
  <c r="A335" i="7" s="1"/>
  <c r="A336" i="7" s="1"/>
  <c r="A337" i="7" s="1"/>
  <c r="A338" i="7" s="1"/>
  <c r="A339" i="7" s="1"/>
  <c r="A340" i="7" s="1"/>
  <c r="A341" i="7" s="1"/>
  <c r="A342" i="7" s="1"/>
  <c r="A343" i="7" s="1"/>
  <c r="A344" i="7" s="1"/>
  <c r="A345" i="7" s="1"/>
  <c r="A346" i="7" s="1"/>
  <c r="A347" i="7" s="1"/>
  <c r="A348" i="7" s="1"/>
  <c r="A349" i="7" s="1"/>
  <c r="A350" i="7" s="1"/>
  <c r="A351" i="7" s="1"/>
  <c r="A352" i="7" s="1"/>
  <c r="A353" i="7" s="1"/>
  <c r="A354" i="7" s="1"/>
  <c r="B104" i="1"/>
  <c r="B103" i="1"/>
  <c r="B99" i="1"/>
  <c r="A13" i="7"/>
  <c r="C6" i="13" l="1"/>
  <c r="C7" i="13" s="1"/>
  <c r="C4" i="13" s="1"/>
  <c r="C5" i="13" s="1"/>
  <c r="D24" i="1"/>
  <c r="D6" i="7"/>
  <c r="C52" i="13"/>
  <c r="C54" i="13"/>
  <c r="C56" i="13"/>
  <c r="A12" i="19"/>
  <c r="D2" i="7"/>
  <c r="D3" i="7"/>
  <c r="D5" i="7" l="1"/>
  <c r="B86" i="1"/>
  <c r="C57" i="13"/>
  <c r="A13" i="19"/>
  <c r="A14" i="19" l="1"/>
  <c r="H43" i="1"/>
  <c r="H44" i="1" s="1"/>
  <c r="F2" i="1"/>
  <c r="F6" i="1" s="1"/>
  <c r="F10" i="1" l="1"/>
  <c r="F8" i="1"/>
  <c r="F9" i="1" s="1"/>
  <c r="A15" i="19"/>
  <c r="F5" i="1"/>
  <c r="F11" i="1" l="1"/>
  <c r="A16" i="19"/>
  <c r="B12" i="7"/>
  <c r="G44" i="8"/>
  <c r="AM45" i="8" s="1"/>
  <c r="Q45" i="8"/>
  <c r="R46" i="8" s="1"/>
  <c r="S47" i="8" s="1"/>
  <c r="P45" i="8"/>
  <c r="Q46" i="8" s="1"/>
  <c r="R47" i="8" s="1"/>
  <c r="S48" i="8" s="1"/>
  <c r="G27" i="8"/>
  <c r="F16" i="8"/>
  <c r="E16" i="8"/>
  <c r="N39" i="8"/>
  <c r="A46" i="8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E25" i="8"/>
  <c r="A17" i="19" l="1"/>
  <c r="E12" i="7"/>
  <c r="AO45" i="8"/>
  <c r="AJ45" i="8"/>
  <c r="AL45" i="8"/>
  <c r="AN45" i="8"/>
  <c r="AK45" i="8"/>
  <c r="C2" i="6"/>
  <c r="A257" i="7"/>
  <c r="A258" i="7"/>
  <c r="A259" i="7" s="1"/>
  <c r="A260" i="7" s="1"/>
  <c r="A261" i="7" s="1"/>
  <c r="A262" i="7" s="1"/>
  <c r="A263" i="7" s="1"/>
  <c r="A241" i="7"/>
  <c r="A242" i="7"/>
  <c r="A243" i="7" s="1"/>
  <c r="A244" i="7" s="1"/>
  <c r="A245" i="7" s="1"/>
  <c r="A246" i="7" s="1"/>
  <c r="A247" i="7" s="1"/>
  <c r="A248" i="7" s="1"/>
  <c r="A249" i="7" s="1"/>
  <c r="A250" i="7" s="1"/>
  <c r="A251" i="7" s="1"/>
  <c r="A252" i="7" s="1"/>
  <c r="A253" i="7" s="1"/>
  <c r="A254" i="7" s="1"/>
  <c r="A255" i="7" s="1"/>
  <c r="A256" i="7" s="1"/>
  <c r="A224" i="7"/>
  <c r="A225" i="7"/>
  <c r="A226" i="7" s="1"/>
  <c r="A227" i="7" s="1"/>
  <c r="A228" i="7" s="1"/>
  <c r="A229" i="7" s="1"/>
  <c r="A230" i="7" s="1"/>
  <c r="A231" i="7" s="1"/>
  <c r="A232" i="7" s="1"/>
  <c r="A233" i="7" s="1"/>
  <c r="A234" i="7" s="1"/>
  <c r="A235" i="7" s="1"/>
  <c r="A236" i="7" s="1"/>
  <c r="A237" i="7" s="1"/>
  <c r="A238" i="7" s="1"/>
  <c r="A239" i="7" s="1"/>
  <c r="A240" i="7" s="1"/>
  <c r="A207" i="7"/>
  <c r="A208" i="7"/>
  <c r="A209" i="7" s="1"/>
  <c r="A210" i="7" s="1"/>
  <c r="A211" i="7" s="1"/>
  <c r="A212" i="7" s="1"/>
  <c r="A213" i="7" s="1"/>
  <c r="A214" i="7" s="1"/>
  <c r="A215" i="7" s="1"/>
  <c r="A216" i="7" s="1"/>
  <c r="A217" i="7" s="1"/>
  <c r="A218" i="7" s="1"/>
  <c r="A219" i="7" s="1"/>
  <c r="A220" i="7" s="1"/>
  <c r="A221" i="7" s="1"/>
  <c r="A222" i="7" s="1"/>
  <c r="A223" i="7" s="1"/>
  <c r="A194" i="7"/>
  <c r="A195" i="7"/>
  <c r="A196" i="7" s="1"/>
  <c r="A197" i="7" s="1"/>
  <c r="A198" i="7" s="1"/>
  <c r="A199" i="7" s="1"/>
  <c r="A200" i="7" s="1"/>
  <c r="A201" i="7" s="1"/>
  <c r="A202" i="7" s="1"/>
  <c r="A203" i="7" s="1"/>
  <c r="A204" i="7" s="1"/>
  <c r="A205" i="7" s="1"/>
  <c r="A206" i="7" s="1"/>
  <c r="A185" i="7"/>
  <c r="A186" i="7" s="1"/>
  <c r="A187" i="7" s="1"/>
  <c r="A188" i="7" s="1"/>
  <c r="A189" i="7" s="1"/>
  <c r="A190" i="7" s="1"/>
  <c r="A191" i="7" s="1"/>
  <c r="A192" i="7" s="1"/>
  <c r="A193" i="7" s="1"/>
  <c r="A165" i="7"/>
  <c r="A166" i="7" s="1"/>
  <c r="A167" i="7" s="1"/>
  <c r="A168" i="7" s="1"/>
  <c r="A169" i="7" s="1"/>
  <c r="A170" i="7" s="1"/>
  <c r="A171" i="7" s="1"/>
  <c r="A172" i="7" s="1"/>
  <c r="A173" i="7" s="1"/>
  <c r="A174" i="7" s="1"/>
  <c r="A175" i="7" s="1"/>
  <c r="A176" i="7" s="1"/>
  <c r="A177" i="7" s="1"/>
  <c r="A178" i="7" s="1"/>
  <c r="A179" i="7" s="1"/>
  <c r="A180" i="7" s="1"/>
  <c r="A181" i="7" s="1"/>
  <c r="A182" i="7" s="1"/>
  <c r="A183" i="7" s="1"/>
  <c r="A184" i="7" s="1"/>
  <c r="A147" i="7"/>
  <c r="A148" i="7" s="1"/>
  <c r="A149" i="7" s="1"/>
  <c r="A150" i="7" s="1"/>
  <c r="A151" i="7" s="1"/>
  <c r="A152" i="7" s="1"/>
  <c r="A153" i="7" s="1"/>
  <c r="A154" i="7" s="1"/>
  <c r="A155" i="7" s="1"/>
  <c r="A156" i="7" s="1"/>
  <c r="A157" i="7" s="1"/>
  <c r="A158" i="7" s="1"/>
  <c r="A159" i="7" s="1"/>
  <c r="A160" i="7" s="1"/>
  <c r="A161" i="7" s="1"/>
  <c r="A162" i="7" s="1"/>
  <c r="A163" i="7" s="1"/>
  <c r="A164" i="7" s="1"/>
  <c r="A14" i="7"/>
  <c r="A15" i="7" s="1"/>
  <c r="A16" i="7" s="1"/>
  <c r="A17" i="7" s="1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38" i="7" s="1"/>
  <c r="A39" i="7" s="1"/>
  <c r="A40" i="7" s="1"/>
  <c r="A41" i="7" s="1"/>
  <c r="A42" i="7" s="1"/>
  <c r="A43" i="7" s="1"/>
  <c r="A44" i="7" s="1"/>
  <c r="A45" i="7" s="1"/>
  <c r="A46" i="7" s="1"/>
  <c r="A47" i="7" s="1"/>
  <c r="A48" i="7" s="1"/>
  <c r="A49" i="7" s="1"/>
  <c r="A50" i="7" s="1"/>
  <c r="A51" i="7" s="1"/>
  <c r="A52" i="7" s="1"/>
  <c r="A53" i="7" s="1"/>
  <c r="A54" i="7" s="1"/>
  <c r="A55" i="7" s="1"/>
  <c r="A56" i="7" s="1"/>
  <c r="A57" i="7" s="1"/>
  <c r="A58" i="7" s="1"/>
  <c r="A59" i="7" s="1"/>
  <c r="A60" i="7" s="1"/>
  <c r="A61" i="7" s="1"/>
  <c r="A62" i="7" s="1"/>
  <c r="A63" i="7" s="1"/>
  <c r="A64" i="7" s="1"/>
  <c r="A65" i="7" s="1"/>
  <c r="A66" i="7" s="1"/>
  <c r="A67" i="7" s="1"/>
  <c r="A68" i="7" s="1"/>
  <c r="A69" i="7" s="1"/>
  <c r="A70" i="7" s="1"/>
  <c r="A71" i="7" s="1"/>
  <c r="A72" i="7" s="1"/>
  <c r="A73" i="7" s="1"/>
  <c r="A74" i="7" s="1"/>
  <c r="A75" i="7" s="1"/>
  <c r="A76" i="7" s="1"/>
  <c r="A77" i="7" s="1"/>
  <c r="A78" i="7" s="1"/>
  <c r="A79" i="7" s="1"/>
  <c r="A80" i="7" s="1"/>
  <c r="A81" i="7" s="1"/>
  <c r="A82" i="7" s="1"/>
  <c r="A83" i="7" s="1"/>
  <c r="A84" i="7" s="1"/>
  <c r="A85" i="7" s="1"/>
  <c r="A86" i="7" s="1"/>
  <c r="A87" i="7" s="1"/>
  <c r="A88" i="7" s="1"/>
  <c r="A89" i="7" s="1"/>
  <c r="A90" i="7" s="1"/>
  <c r="A91" i="7" s="1"/>
  <c r="A92" i="7" s="1"/>
  <c r="A93" i="7" s="1"/>
  <c r="A94" i="7" s="1"/>
  <c r="A95" i="7" s="1"/>
  <c r="A96" i="7" s="1"/>
  <c r="A97" i="7" s="1"/>
  <c r="A98" i="7" s="1"/>
  <c r="A99" i="7" s="1"/>
  <c r="A100" i="7" s="1"/>
  <c r="A101" i="7" s="1"/>
  <c r="A102" i="7" s="1"/>
  <c r="A103" i="7" s="1"/>
  <c r="A104" i="7" s="1"/>
  <c r="A105" i="7" s="1"/>
  <c r="A106" i="7" s="1"/>
  <c r="A107" i="7" s="1"/>
  <c r="A108" i="7" s="1"/>
  <c r="A109" i="7" s="1"/>
  <c r="A110" i="7" s="1"/>
  <c r="A111" i="7" s="1"/>
  <c r="A112" i="7" s="1"/>
  <c r="A113" i="7" s="1"/>
  <c r="A114" i="7" s="1"/>
  <c r="A115" i="7" s="1"/>
  <c r="A116" i="7" s="1"/>
  <c r="A117" i="7" s="1"/>
  <c r="A118" i="7" s="1"/>
  <c r="A119" i="7" s="1"/>
  <c r="A120" i="7" s="1"/>
  <c r="A121" i="7" s="1"/>
  <c r="A122" i="7" s="1"/>
  <c r="A123" i="7" s="1"/>
  <c r="A124" i="7" s="1"/>
  <c r="A125" i="7" s="1"/>
  <c r="A126" i="7" s="1"/>
  <c r="A127" i="7" s="1"/>
  <c r="A128" i="7" s="1"/>
  <c r="A129" i="7" s="1"/>
  <c r="A130" i="7" s="1"/>
  <c r="A131" i="7" s="1"/>
  <c r="A132" i="7" s="1"/>
  <c r="A133" i="7" s="1"/>
  <c r="A134" i="7" s="1"/>
  <c r="A135" i="7" s="1"/>
  <c r="A136" i="7" s="1"/>
  <c r="A137" i="7" s="1"/>
  <c r="A138" i="7" s="1"/>
  <c r="A139" i="7" s="1"/>
  <c r="A140" i="7" s="1"/>
  <c r="A141" i="7" s="1"/>
  <c r="A142" i="7" s="1"/>
  <c r="A143" i="7" s="1"/>
  <c r="A144" i="7" s="1"/>
  <c r="A145" i="7" s="1"/>
  <c r="A146" i="7" s="1"/>
  <c r="D7" i="7"/>
  <c r="D4" i="7"/>
  <c r="E41" i="1"/>
  <c r="E2" i="1"/>
  <c r="E5" i="1" s="1"/>
  <c r="D14" i="6" l="1"/>
  <c r="A18" i="19"/>
  <c r="C12" i="7"/>
  <c r="D12" i="7" s="1"/>
  <c r="F12" i="7" s="1"/>
  <c r="E6" i="1"/>
  <c r="E10" i="1" l="1"/>
  <c r="E11" i="1" s="1"/>
  <c r="E8" i="1"/>
  <c r="E9" i="1" s="1"/>
  <c r="B89" i="1"/>
  <c r="A19" i="19"/>
  <c r="C2" i="13"/>
  <c r="A20" i="19" l="1"/>
  <c r="A21" i="19" l="1"/>
  <c r="A22" i="19" l="1"/>
  <c r="A23" i="19" l="1"/>
  <c r="A24" i="19" l="1"/>
  <c r="A25" i="19" l="1"/>
  <c r="A26" i="19" l="1"/>
  <c r="A27" i="19" l="1"/>
  <c r="A28" i="19" l="1"/>
  <c r="A29" i="19" l="1"/>
  <c r="A30" i="19" l="1"/>
  <c r="A31" i="19" l="1"/>
  <c r="A32" i="19" l="1"/>
  <c r="A33" i="19" l="1"/>
  <c r="A34" i="19" l="1"/>
  <c r="A35" i="19" l="1"/>
  <c r="C14" i="6" l="1"/>
  <c r="A36" i="19"/>
  <c r="A37" i="19" l="1"/>
  <c r="A38" i="19" l="1"/>
  <c r="A39" i="19" l="1"/>
  <c r="A40" i="19" l="1"/>
  <c r="A41" i="19" l="1"/>
  <c r="A42" i="19" l="1"/>
  <c r="A43" i="19" l="1"/>
  <c r="A44" i="19" l="1"/>
  <c r="A45" i="19" l="1"/>
  <c r="A46" i="19" l="1"/>
  <c r="A47" i="19" l="1"/>
  <c r="A48" i="19" l="1"/>
  <c r="A49" i="19" l="1"/>
  <c r="A50" i="19" l="1"/>
  <c r="A51" i="19" l="1"/>
  <c r="A52" i="19" l="1"/>
  <c r="A53" i="19" l="1"/>
  <c r="A54" i="19" l="1"/>
  <c r="A55" i="19" l="1"/>
  <c r="A56" i="19" l="1"/>
  <c r="A57" i="19" l="1"/>
  <c r="A58" i="19" l="1"/>
  <c r="A59" i="19" l="1"/>
  <c r="A60" i="19" l="1"/>
  <c r="A61" i="19" l="1"/>
  <c r="A62" i="19" l="1"/>
  <c r="A63" i="19" l="1"/>
  <c r="A64" i="19" l="1"/>
  <c r="A65" i="19" l="1"/>
  <c r="A66" i="19" l="1"/>
  <c r="A67" i="19" l="1"/>
  <c r="A68" i="19" l="1"/>
  <c r="A69" i="19" l="1"/>
  <c r="A70" i="19" l="1"/>
  <c r="A71" i="19" l="1"/>
  <c r="A72" i="19" l="1"/>
  <c r="A73" i="19" l="1"/>
  <c r="A74" i="19" l="1"/>
  <c r="A75" i="19" l="1"/>
  <c r="A76" i="19" l="1"/>
  <c r="A77" i="19" l="1"/>
  <c r="A78" i="19" l="1"/>
  <c r="A79" i="19" l="1"/>
  <c r="A80" i="19" l="1"/>
  <c r="A81" i="19" l="1"/>
  <c r="A82" i="19" l="1"/>
  <c r="A83" i="19" l="1"/>
  <c r="A84" i="19" l="1"/>
  <c r="A85" i="19" l="1"/>
  <c r="A86" i="19" l="1"/>
  <c r="A87" i="19" l="1"/>
  <c r="A88" i="19" l="1"/>
  <c r="A89" i="19" l="1"/>
  <c r="A90" i="19" l="1"/>
  <c r="A91" i="19" l="1"/>
  <c r="A92" i="19" l="1"/>
  <c r="A93" i="19" l="1"/>
  <c r="A94" i="19" l="1"/>
  <c r="A95" i="19" l="1"/>
  <c r="A96" i="19" l="1"/>
  <c r="A97" i="19" l="1"/>
  <c r="A98" i="19" l="1"/>
  <c r="A99" i="19" l="1"/>
  <c r="A100" i="19" l="1"/>
  <c r="A101" i="19" l="1"/>
  <c r="A102" i="19" l="1"/>
  <c r="A103" i="19" l="1"/>
  <c r="A104" i="19" l="1"/>
  <c r="A105" i="19" l="1"/>
  <c r="A106" i="19" l="1"/>
  <c r="A107" i="19" l="1"/>
  <c r="X69" i="8"/>
  <c r="Y70" i="8" s="1"/>
  <c r="X47" i="8"/>
  <c r="Y48" i="8" s="1"/>
  <c r="X49" i="8"/>
  <c r="Y50" i="8" s="1"/>
  <c r="X73" i="8"/>
  <c r="Y74" i="8" s="1"/>
  <c r="X65" i="8"/>
  <c r="Y66" i="8" s="1"/>
  <c r="X63" i="8"/>
  <c r="Y64" i="8" s="1"/>
  <c r="X53" i="8"/>
  <c r="Y54" i="8" s="1"/>
  <c r="X71" i="8"/>
  <c r="Y72" i="8" s="1"/>
  <c r="X66" i="8"/>
  <c r="Y67" i="8" s="1"/>
  <c r="X77" i="8"/>
  <c r="Y78" i="8" s="1"/>
  <c r="X58" i="8"/>
  <c r="Y59" i="8" s="1"/>
  <c r="X54" i="8"/>
  <c r="Y55" i="8" s="1"/>
  <c r="X55" i="8"/>
  <c r="Y56" i="8" s="1"/>
  <c r="X76" i="8"/>
  <c r="Y77" i="8" s="1"/>
  <c r="X51" i="8"/>
  <c r="Y52" i="8" s="1"/>
  <c r="X61" i="8"/>
  <c r="Y62" i="8" s="1"/>
  <c r="X74" i="8"/>
  <c r="Y75" i="8" s="1"/>
  <c r="X50" i="8"/>
  <c r="Y51" i="8" s="1"/>
  <c r="X68" i="8"/>
  <c r="Y69" i="8" s="1"/>
  <c r="X57" i="8"/>
  <c r="Y58" i="8" s="1"/>
  <c r="X75" i="8"/>
  <c r="Y76" i="8" s="1"/>
  <c r="X64" i="8"/>
  <c r="Y65" i="8" s="1"/>
  <c r="X46" i="8"/>
  <c r="Y47" i="8" s="1"/>
  <c r="X59" i="8"/>
  <c r="Y60" i="8" s="1"/>
  <c r="X67" i="8"/>
  <c r="Y68" i="8" s="1"/>
  <c r="X56" i="8"/>
  <c r="Y57" i="8" s="1"/>
  <c r="X70" i="8"/>
  <c r="Y71" i="8" s="1"/>
  <c r="X60" i="8"/>
  <c r="Y61" i="8" s="1"/>
  <c r="X72" i="8"/>
  <c r="Y73" i="8" s="1"/>
  <c r="X45" i="8"/>
  <c r="X52" i="8"/>
  <c r="Y53" i="8" s="1"/>
  <c r="F20" i="8"/>
  <c r="I44" i="8"/>
  <c r="X44" i="8"/>
  <c r="X78" i="8"/>
  <c r="Y79" i="8" s="1"/>
  <c r="X48" i="8"/>
  <c r="Y49" i="8" s="1"/>
  <c r="X62" i="8"/>
  <c r="Y63" i="8" s="1"/>
  <c r="X80" i="8"/>
  <c r="X79" i="8"/>
  <c r="Y80" i="8" s="1"/>
  <c r="A108" i="19" l="1"/>
  <c r="Y46" i="8"/>
  <c r="C44" i="8"/>
  <c r="I45" i="8" s="1"/>
  <c r="Y45" i="8"/>
  <c r="AE45" i="8"/>
  <c r="AB45" i="8"/>
  <c r="AC45" i="8"/>
  <c r="AF45" i="8"/>
  <c r="AD45" i="8"/>
  <c r="AA45" i="8"/>
  <c r="Z45" i="8"/>
  <c r="A109" i="19" l="1"/>
  <c r="AC46" i="8"/>
  <c r="AD46" i="8"/>
  <c r="AB46" i="8"/>
  <c r="AF46" i="8"/>
  <c r="Z46" i="8"/>
  <c r="AA46" i="8"/>
  <c r="AE46" i="8"/>
  <c r="C45" i="8"/>
  <c r="I46" i="8" s="1"/>
  <c r="A110" i="19" l="1"/>
  <c r="AA47" i="8"/>
  <c r="AC47" i="8"/>
  <c r="C46" i="8"/>
  <c r="I47" i="8" s="1"/>
  <c r="Z48" i="8" s="1"/>
  <c r="Z47" i="8"/>
  <c r="AE47" i="8"/>
  <c r="AF47" i="8"/>
  <c r="AB47" i="8"/>
  <c r="AD47" i="8"/>
  <c r="A111" i="19" l="1"/>
  <c r="AC48" i="8"/>
  <c r="AD48" i="8"/>
  <c r="AF48" i="8"/>
  <c r="AA48" i="8"/>
  <c r="C47" i="8"/>
  <c r="I48" i="8" s="1"/>
  <c r="Z49" i="8" s="1"/>
  <c r="AE48" i="8"/>
  <c r="AB48" i="8"/>
  <c r="A112" i="19" l="1"/>
  <c r="AF49" i="8"/>
  <c r="AE49" i="8"/>
  <c r="AA49" i="8"/>
  <c r="AC49" i="8"/>
  <c r="AB49" i="8"/>
  <c r="C48" i="8"/>
  <c r="I49" i="8" s="1"/>
  <c r="AF50" i="8" s="1"/>
  <c r="AD49" i="8"/>
  <c r="A113" i="19" l="1"/>
  <c r="AE50" i="8"/>
  <c r="AC50" i="8"/>
  <c r="AD50" i="8"/>
  <c r="C49" i="8"/>
  <c r="I50" i="8" s="1"/>
  <c r="Z50" i="8"/>
  <c r="AA50" i="8"/>
  <c r="AB50" i="8"/>
  <c r="A114" i="19" l="1"/>
  <c r="AC51" i="8"/>
  <c r="AF51" i="8"/>
  <c r="AE51" i="8"/>
  <c r="AD51" i="8"/>
  <c r="Z51" i="8"/>
  <c r="C50" i="8"/>
  <c r="I51" i="8" s="1"/>
  <c r="Z52" i="8" s="1"/>
  <c r="AB51" i="8"/>
  <c r="AA51" i="8"/>
  <c r="A115" i="19" l="1"/>
  <c r="AB52" i="8"/>
  <c r="AC52" i="8"/>
  <c r="AE52" i="8"/>
  <c r="AA52" i="8"/>
  <c r="C51" i="8"/>
  <c r="I52" i="8" s="1"/>
  <c r="AF52" i="8"/>
  <c r="AD52" i="8"/>
  <c r="A116" i="19" l="1"/>
  <c r="AE53" i="8"/>
  <c r="AB53" i="8"/>
  <c r="AF53" i="8"/>
  <c r="AD53" i="8"/>
  <c r="Z53" i="8"/>
  <c r="C52" i="8"/>
  <c r="I53" i="8" s="1"/>
  <c r="Z54" i="8" s="1"/>
  <c r="AA53" i="8"/>
  <c r="AC53" i="8"/>
  <c r="A117" i="19" l="1"/>
  <c r="AD54" i="8"/>
  <c r="AB54" i="8"/>
  <c r="AF54" i="8"/>
  <c r="AE54" i="8"/>
  <c r="C53" i="8"/>
  <c r="I54" i="8" s="1"/>
  <c r="AA54" i="8"/>
  <c r="AC54" i="8"/>
  <c r="A118" i="19" l="1"/>
  <c r="Z55" i="8"/>
  <c r="AE55" i="8"/>
  <c r="AF55" i="8"/>
  <c r="AA55" i="8"/>
  <c r="AB55" i="8"/>
  <c r="C54" i="8"/>
  <c r="I55" i="8" s="1"/>
  <c r="Z56" i="8" s="1"/>
  <c r="AD55" i="8"/>
  <c r="AC55" i="8"/>
  <c r="A119" i="19" l="1"/>
  <c r="AC56" i="8"/>
  <c r="AE56" i="8"/>
  <c r="AF56" i="8"/>
  <c r="AD56" i="8"/>
  <c r="AB56" i="8"/>
  <c r="C55" i="8"/>
  <c r="I56" i="8" s="1"/>
  <c r="Z57" i="8" s="1"/>
  <c r="AA56" i="8"/>
  <c r="A120" i="19" l="1"/>
  <c r="AF57" i="8"/>
  <c r="AB57" i="8"/>
  <c r="AD57" i="8"/>
  <c r="C56" i="8"/>
  <c r="I57" i="8" s="1"/>
  <c r="AC57" i="8"/>
  <c r="AE57" i="8"/>
  <c r="AA57" i="8"/>
  <c r="A121" i="19" l="1"/>
  <c r="Z58" i="8"/>
  <c r="AA58" i="8"/>
  <c r="AE58" i="8"/>
  <c r="AC58" i="8"/>
  <c r="AF58" i="8"/>
  <c r="AB58" i="8"/>
  <c r="AD58" i="8"/>
  <c r="C57" i="8"/>
  <c r="I58" i="8" s="1"/>
  <c r="Z59" i="8" s="1"/>
  <c r="AN5" i="6" l="1"/>
  <c r="A122" i="19"/>
  <c r="AF59" i="8"/>
  <c r="AD59" i="8"/>
  <c r="AB59" i="8"/>
  <c r="AE59" i="8"/>
  <c r="AC59" i="8"/>
  <c r="AA59" i="8"/>
  <c r="C58" i="8"/>
  <c r="I59" i="8" s="1"/>
  <c r="A123" i="19" l="1"/>
  <c r="AB60" i="8"/>
  <c r="AF60" i="8"/>
  <c r="AC60" i="8"/>
  <c r="Z60" i="8"/>
  <c r="AD60" i="8"/>
  <c r="AE60" i="8"/>
  <c r="C59" i="8"/>
  <c r="I60" i="8" s="1"/>
  <c r="Z61" i="8" s="1"/>
  <c r="AA60" i="8"/>
  <c r="A124" i="19" l="1"/>
  <c r="AB61" i="8"/>
  <c r="AE61" i="8"/>
  <c r="C60" i="8"/>
  <c r="I61" i="8" s="1"/>
  <c r="Z62" i="8" s="1"/>
  <c r="AA61" i="8"/>
  <c r="AD61" i="8"/>
  <c r="AC61" i="8"/>
  <c r="AF61" i="8"/>
  <c r="A125" i="19" l="1"/>
  <c r="AE62" i="8"/>
  <c r="C61" i="8"/>
  <c r="I62" i="8" s="1"/>
  <c r="AB62" i="8"/>
  <c r="AF62" i="8"/>
  <c r="AA62" i="8"/>
  <c r="AD62" i="8"/>
  <c r="AC62" i="8"/>
  <c r="A126" i="19" l="1"/>
  <c r="Z63" i="8"/>
  <c r="AF63" i="8"/>
  <c r="AA63" i="8"/>
  <c r="AE63" i="8"/>
  <c r="AD63" i="8"/>
  <c r="AB63" i="8"/>
  <c r="AC63" i="8"/>
  <c r="C62" i="8"/>
  <c r="I63" i="8" s="1"/>
  <c r="Z64" i="8" s="1"/>
  <c r="A127" i="19" l="1"/>
  <c r="AF64" i="8"/>
  <c r="AC64" i="8"/>
  <c r="AB64" i="8"/>
  <c r="AA64" i="8"/>
  <c r="C63" i="8"/>
  <c r="I64" i="8" s="1"/>
  <c r="Z65" i="8" s="1"/>
  <c r="AE64" i="8"/>
  <c r="AD64" i="8"/>
  <c r="A128" i="19" l="1"/>
  <c r="AE65" i="8"/>
  <c r="AB65" i="8"/>
  <c r="AC65" i="8"/>
  <c r="AF65" i="8"/>
  <c r="AD65" i="8"/>
  <c r="C64" i="8"/>
  <c r="I65" i="8" s="1"/>
  <c r="AA65" i="8"/>
  <c r="A129" i="19" l="1"/>
  <c r="AE66" i="8"/>
  <c r="Z66" i="8"/>
  <c r="AF66" i="8"/>
  <c r="AA66" i="8"/>
  <c r="AD66" i="8"/>
  <c r="AB66" i="8"/>
  <c r="C65" i="8"/>
  <c r="I66" i="8" s="1"/>
  <c r="Z67" i="8" s="1"/>
  <c r="AC66" i="8"/>
  <c r="A130" i="19" l="1"/>
  <c r="AB67" i="8"/>
  <c r="AD67" i="8"/>
  <c r="AF67" i="8"/>
  <c r="AC67" i="8"/>
  <c r="AE67" i="8"/>
  <c r="C66" i="8"/>
  <c r="I67" i="8" s="1"/>
  <c r="AA67" i="8"/>
  <c r="A131" i="19" l="1"/>
  <c r="Z68" i="8"/>
  <c r="AA68" i="8"/>
  <c r="AC68" i="8"/>
  <c r="AE68" i="8"/>
  <c r="C67" i="8"/>
  <c r="I68" i="8" s="1"/>
  <c r="Z69" i="8" s="1"/>
  <c r="AB68" i="8"/>
  <c r="AD68" i="8"/>
  <c r="AF68" i="8"/>
  <c r="A132" i="19" l="1"/>
  <c r="AE69" i="8"/>
  <c r="AD69" i="8"/>
  <c r="AC69" i="8"/>
  <c r="AF69" i="8"/>
  <c r="AB69" i="8"/>
  <c r="AA69" i="8"/>
  <c r="C68" i="8"/>
  <c r="I69" i="8" s="1"/>
  <c r="AF70" i="8" s="1"/>
  <c r="A133" i="19" l="1"/>
  <c r="C69" i="8"/>
  <c r="I70" i="8" s="1"/>
  <c r="Z71" i="8" s="1"/>
  <c r="AA70" i="8"/>
  <c r="Z70" i="8"/>
  <c r="AD70" i="8"/>
  <c r="AC70" i="8"/>
  <c r="AB70" i="8"/>
  <c r="AE70" i="8"/>
  <c r="AF71" i="8" s="1"/>
  <c r="A134" i="19" l="1"/>
  <c r="AC71" i="8"/>
  <c r="AD71" i="8"/>
  <c r="AB71" i="8"/>
  <c r="AE71" i="8"/>
  <c r="AA71" i="8"/>
  <c r="C70" i="8"/>
  <c r="I71" i="8" s="1"/>
  <c r="A135" i="19" l="1"/>
  <c r="AF72" i="8"/>
  <c r="AE72" i="8"/>
  <c r="AC72" i="8"/>
  <c r="AB72" i="8"/>
  <c r="C71" i="8"/>
  <c r="I72" i="8" s="1"/>
  <c r="Z73" i="8" s="1"/>
  <c r="AA72" i="8"/>
  <c r="Z72" i="8"/>
  <c r="AD72" i="8"/>
  <c r="A136" i="19" l="1"/>
  <c r="AE73" i="8"/>
  <c r="AA73" i="8"/>
  <c r="C72" i="8"/>
  <c r="I73" i="8" s="1"/>
  <c r="AB73" i="8"/>
  <c r="AC73" i="8"/>
  <c r="AF73" i="8"/>
  <c r="AD73" i="8"/>
  <c r="A137" i="19" l="1"/>
  <c r="AD74" i="8"/>
  <c r="AE74" i="8"/>
  <c r="C73" i="8"/>
  <c r="I74" i="8" s="1"/>
  <c r="Z75" i="8" s="1"/>
  <c r="AA74" i="8"/>
  <c r="Z74" i="8"/>
  <c r="AC74" i="8"/>
  <c r="AB74" i="8"/>
  <c r="AF74" i="8"/>
  <c r="A138" i="19" l="1"/>
  <c r="AD75" i="8"/>
  <c r="AC75" i="8"/>
  <c r="AF75" i="8"/>
  <c r="AE75" i="8"/>
  <c r="AB75" i="8"/>
  <c r="AA75" i="8"/>
  <c r="C74" i="8"/>
  <c r="I75" i="8" s="1"/>
  <c r="A139" i="19" l="1"/>
  <c r="AF76" i="8"/>
  <c r="AD76" i="8"/>
  <c r="AC76" i="8"/>
  <c r="AB76" i="8"/>
  <c r="C75" i="8"/>
  <c r="I76" i="8" s="1"/>
  <c r="Z77" i="8" s="1"/>
  <c r="Z76" i="8"/>
  <c r="AA76" i="8"/>
  <c r="AE76" i="8"/>
  <c r="A140" i="19" l="1"/>
  <c r="AC77" i="8"/>
  <c r="AA77" i="8"/>
  <c r="C76" i="8"/>
  <c r="I77" i="8" s="1"/>
  <c r="AB77" i="8"/>
  <c r="AD77" i="8"/>
  <c r="AF77" i="8"/>
  <c r="AE77" i="8"/>
  <c r="A141" i="19" l="1"/>
  <c r="AD78" i="8"/>
  <c r="Z78" i="8"/>
  <c r="AC78" i="8"/>
  <c r="AA78" i="8"/>
  <c r="AB78" i="8"/>
  <c r="AE78" i="8"/>
  <c r="AF78" i="8"/>
  <c r="C77" i="8"/>
  <c r="I78" i="8" s="1"/>
  <c r="Z79" i="8" s="1"/>
  <c r="A142" i="19" l="1"/>
  <c r="AD79" i="8"/>
  <c r="AE79" i="8"/>
  <c r="AB79" i="8"/>
  <c r="C78" i="8"/>
  <c r="I79" i="8" s="1"/>
  <c r="Z80" i="8" s="1"/>
  <c r="AA79" i="8"/>
  <c r="AF79" i="8"/>
  <c r="AC79" i="8"/>
  <c r="A143" i="19" l="1"/>
  <c r="AF80" i="8"/>
  <c r="AE80" i="8"/>
  <c r="AD80" i="8"/>
  <c r="AA80" i="8"/>
  <c r="AB80" i="8"/>
  <c r="C79" i="8"/>
  <c r="I80" i="8" s="1"/>
  <c r="AC80" i="8"/>
  <c r="A144" i="19" l="1"/>
  <c r="C80" i="8"/>
  <c r="A145" i="19" l="1"/>
  <c r="A146" i="19" l="1"/>
  <c r="A147" i="19" l="1"/>
  <c r="A148" i="19" l="1"/>
  <c r="A149" i="19" l="1"/>
  <c r="A150" i="19" l="1"/>
  <c r="A151" i="19" l="1"/>
  <c r="A152" i="19" l="1"/>
  <c r="A153" i="19" l="1"/>
  <c r="A154" i="19" l="1"/>
  <c r="A155" i="19" l="1"/>
  <c r="A156" i="19" l="1"/>
  <c r="A157" i="19" l="1"/>
  <c r="A158" i="19" l="1"/>
  <c r="A159" i="19" s="1"/>
  <c r="A160" i="19" s="1"/>
  <c r="A161" i="19" s="1"/>
  <c r="A162" i="19" s="1"/>
  <c r="A163" i="19" s="1"/>
  <c r="A164" i="19" s="1"/>
  <c r="A165" i="19" s="1"/>
  <c r="A166" i="19" s="1"/>
  <c r="A167" i="19" s="1"/>
  <c r="A168" i="19" s="1"/>
  <c r="A169" i="19" s="1"/>
  <c r="A170" i="19" s="1"/>
  <c r="A171" i="19" s="1"/>
  <c r="A172" i="19" s="1"/>
  <c r="A173" i="19" s="1"/>
  <c r="A174" i="19" s="1"/>
  <c r="A175" i="19" s="1"/>
  <c r="A176" i="19" s="1"/>
  <c r="A177" i="19" s="1"/>
  <c r="A178" i="19" s="1"/>
  <c r="A179" i="19" s="1"/>
  <c r="A180" i="19" s="1"/>
  <c r="A181" i="19" s="1"/>
  <c r="A182" i="19" s="1"/>
  <c r="A183" i="19" s="1"/>
  <c r="A184" i="19" s="1"/>
  <c r="A185" i="19" s="1"/>
  <c r="A186" i="19" s="1"/>
  <c r="A187" i="19" s="1"/>
  <c r="A188" i="19" s="1"/>
  <c r="A189" i="19" s="1"/>
  <c r="A190" i="19" s="1"/>
  <c r="A191" i="19" s="1"/>
  <c r="A192" i="19" s="1"/>
  <c r="A193" i="19" s="1"/>
  <c r="A194" i="19" s="1"/>
  <c r="A195" i="19" s="1"/>
  <c r="A196" i="19" s="1"/>
  <c r="A197" i="19" s="1"/>
  <c r="A198" i="19" s="1"/>
  <c r="A199" i="19" s="1"/>
  <c r="A200" i="19" s="1"/>
  <c r="A201" i="19" s="1"/>
  <c r="A202" i="19" s="1"/>
  <c r="A203" i="19" s="1"/>
  <c r="A204" i="19" s="1"/>
  <c r="A205" i="19" s="1"/>
  <c r="A206" i="19" s="1"/>
  <c r="A207" i="19" s="1"/>
  <c r="A208" i="19" s="1"/>
  <c r="F18" i="8" l="1"/>
  <c r="B5" i="15"/>
  <c r="B32" i="1" l="1"/>
  <c r="D14" i="8" l="1"/>
  <c r="E20" i="8" s="1"/>
  <c r="J127" i="21" l="1"/>
  <c r="G127" i="21" s="1"/>
  <c r="C27" i="18" l="1"/>
  <c r="B48" i="1" l="1"/>
  <c r="D44" i="27" s="1"/>
  <c r="F44" i="27" s="1"/>
  <c r="F40" i="18"/>
  <c r="E46" i="18"/>
  <c r="E41" i="18"/>
  <c r="D10" i="18"/>
  <c r="E6" i="19" s="1"/>
  <c r="E58" i="18" l="1"/>
  <c r="E45" i="18"/>
  <c r="E42" i="18"/>
  <c r="E8" i="18"/>
  <c r="C10" i="18"/>
  <c r="F10" i="18"/>
  <c r="E10" i="18"/>
  <c r="H6" i="19" s="1"/>
  <c r="B52" i="1"/>
  <c r="E49" i="18"/>
  <c r="E50" i="13" s="1"/>
  <c r="E55" i="13" s="1"/>
  <c r="C48" i="1"/>
  <c r="D48" i="1"/>
  <c r="D11" i="18" l="1"/>
  <c r="C29" i="18"/>
  <c r="D6" i="19"/>
  <c r="B79" i="1"/>
  <c r="B54" i="1"/>
  <c r="B81" i="1" s="1"/>
  <c r="G6" i="19"/>
  <c r="I6" i="19"/>
  <c r="C49" i="13"/>
  <c r="B51" i="1"/>
  <c r="E48" i="18"/>
  <c r="B53" i="1" s="1"/>
  <c r="B80" i="1" s="1"/>
  <c r="E47" i="18"/>
  <c r="E57" i="18"/>
  <c r="E59" i="18" s="1"/>
  <c r="E62" i="18" s="1"/>
  <c r="B83" i="1" l="1"/>
  <c r="E63" i="18"/>
  <c r="F6" i="19"/>
  <c r="D7" i="19"/>
  <c r="F7" i="19" l="1"/>
  <c r="D8" i="19"/>
  <c r="E7" i="19"/>
  <c r="E8" i="19" l="1"/>
  <c r="H7" i="19"/>
  <c r="F8" i="19"/>
  <c r="D9" i="19"/>
  <c r="F9" i="19" l="1"/>
  <c r="D10" i="19"/>
  <c r="G7" i="19"/>
  <c r="I7" i="19"/>
  <c r="J7" i="19"/>
  <c r="H8" i="19"/>
  <c r="E9" i="19"/>
  <c r="J8" i="19" l="1"/>
  <c r="I8" i="19"/>
  <c r="G8" i="19"/>
  <c r="H9" i="19"/>
  <c r="E10" i="19"/>
  <c r="F10" i="19"/>
  <c r="D11" i="19"/>
  <c r="H10" i="19" l="1"/>
  <c r="E11" i="19"/>
  <c r="I9" i="19"/>
  <c r="J9" i="19"/>
  <c r="G9" i="19"/>
  <c r="F11" i="19"/>
  <c r="D12" i="19"/>
  <c r="F12" i="19" l="1"/>
  <c r="D13" i="19"/>
  <c r="H11" i="19"/>
  <c r="E12" i="19"/>
  <c r="G10" i="19"/>
  <c r="I10" i="19"/>
  <c r="J10" i="19"/>
  <c r="H12" i="19" l="1"/>
  <c r="E13" i="19"/>
  <c r="G11" i="19"/>
  <c r="I11" i="19"/>
  <c r="J11" i="19"/>
  <c r="F13" i="19"/>
  <c r="D14" i="19"/>
  <c r="F14" i="19" l="1"/>
  <c r="D15" i="19"/>
  <c r="H13" i="19"/>
  <c r="E14" i="19"/>
  <c r="G12" i="19"/>
  <c r="J12" i="19"/>
  <c r="I12" i="19"/>
  <c r="I13" i="19" l="1"/>
  <c r="J13" i="19"/>
  <c r="G13" i="19"/>
  <c r="H14" i="19"/>
  <c r="E15" i="19"/>
  <c r="F15" i="19"/>
  <c r="D16" i="19"/>
  <c r="F16" i="19" l="1"/>
  <c r="D17" i="19"/>
  <c r="H15" i="19"/>
  <c r="E16" i="19"/>
  <c r="G14" i="19"/>
  <c r="I14" i="19"/>
  <c r="J14" i="19"/>
  <c r="F17" i="19" l="1"/>
  <c r="D18" i="19"/>
  <c r="H16" i="19"/>
  <c r="E17" i="19"/>
  <c r="G15" i="19"/>
  <c r="I15" i="19"/>
  <c r="J15" i="19"/>
  <c r="H17" i="19" l="1"/>
  <c r="E18" i="19"/>
  <c r="I16" i="19"/>
  <c r="J16" i="19"/>
  <c r="G16" i="19"/>
  <c r="F18" i="19"/>
  <c r="D19" i="19"/>
  <c r="F19" i="19" l="1"/>
  <c r="D20" i="19"/>
  <c r="H18" i="19"/>
  <c r="E19" i="19"/>
  <c r="G17" i="19"/>
  <c r="I17" i="19"/>
  <c r="J17" i="19"/>
  <c r="H19" i="19" l="1"/>
  <c r="E20" i="19"/>
  <c r="I18" i="19"/>
  <c r="G18" i="19"/>
  <c r="J18" i="19"/>
  <c r="F20" i="19"/>
  <c r="D21" i="19"/>
  <c r="F21" i="19" l="1"/>
  <c r="D22" i="19"/>
  <c r="H20" i="19"/>
  <c r="E21" i="19"/>
  <c r="J19" i="19"/>
  <c r="G19" i="19"/>
  <c r="I19" i="19"/>
  <c r="H21" i="19" l="1"/>
  <c r="E22" i="19"/>
  <c r="I20" i="19"/>
  <c r="J20" i="19"/>
  <c r="G20" i="19"/>
  <c r="F22" i="19"/>
  <c r="D23" i="19"/>
  <c r="F23" i="19" l="1"/>
  <c r="D24" i="19"/>
  <c r="H22" i="19"/>
  <c r="E23" i="19"/>
  <c r="G21" i="19"/>
  <c r="I21" i="19"/>
  <c r="J21" i="19"/>
  <c r="H23" i="19" l="1"/>
  <c r="E24" i="19"/>
  <c r="J22" i="19"/>
  <c r="G22" i="19"/>
  <c r="I22" i="19"/>
  <c r="F24" i="19"/>
  <c r="D25" i="19"/>
  <c r="H24" i="19" l="1"/>
  <c r="E25" i="19"/>
  <c r="F25" i="19"/>
  <c r="D26" i="19"/>
  <c r="G23" i="19"/>
  <c r="I23" i="19"/>
  <c r="J23" i="19"/>
  <c r="H25" i="19" l="1"/>
  <c r="E26" i="19"/>
  <c r="F26" i="19"/>
  <c r="D27" i="19"/>
  <c r="I24" i="19"/>
  <c r="J24" i="19"/>
  <c r="G24" i="19"/>
  <c r="F27" i="19" l="1"/>
  <c r="D28" i="19"/>
  <c r="H26" i="19"/>
  <c r="E27" i="19"/>
  <c r="G25" i="19"/>
  <c r="I25" i="19"/>
  <c r="J25" i="19"/>
  <c r="H27" i="19" l="1"/>
  <c r="E28" i="19"/>
  <c r="I26" i="19"/>
  <c r="G26" i="19"/>
  <c r="J26" i="19"/>
  <c r="F28" i="19"/>
  <c r="D29" i="19"/>
  <c r="H28" i="19" l="1"/>
  <c r="E29" i="19"/>
  <c r="F29" i="19"/>
  <c r="D30" i="19"/>
  <c r="J27" i="19"/>
  <c r="I27" i="19"/>
  <c r="G27" i="19"/>
  <c r="F30" i="19" l="1"/>
  <c r="D31" i="19"/>
  <c r="H29" i="19"/>
  <c r="E30" i="19"/>
  <c r="J28" i="19"/>
  <c r="I28" i="19"/>
  <c r="G28" i="19"/>
  <c r="H30" i="19" l="1"/>
  <c r="E31" i="19"/>
  <c r="G29" i="19"/>
  <c r="I29" i="19"/>
  <c r="J29" i="19"/>
  <c r="F31" i="19"/>
  <c r="D32" i="19"/>
  <c r="H31" i="19" l="1"/>
  <c r="E32" i="19"/>
  <c r="F32" i="19"/>
  <c r="D33" i="19"/>
  <c r="G30" i="19"/>
  <c r="J30" i="19"/>
  <c r="I30" i="19"/>
  <c r="F33" i="19" l="1"/>
  <c r="D34" i="19"/>
  <c r="H32" i="19"/>
  <c r="E33" i="19"/>
  <c r="G31" i="19"/>
  <c r="J31" i="19"/>
  <c r="I31" i="19"/>
  <c r="H33" i="19" l="1"/>
  <c r="E34" i="19"/>
  <c r="J32" i="19"/>
  <c r="I32" i="19"/>
  <c r="G32" i="19"/>
  <c r="F34" i="19"/>
  <c r="D35" i="19"/>
  <c r="F35" i="19" l="1"/>
  <c r="D36" i="19"/>
  <c r="H34" i="19"/>
  <c r="E35" i="19"/>
  <c r="I33" i="19"/>
  <c r="G33" i="19"/>
  <c r="J33" i="19"/>
  <c r="H35" i="19" l="1"/>
  <c r="E36" i="19"/>
  <c r="G34" i="19"/>
  <c r="J34" i="19"/>
  <c r="I34" i="19"/>
  <c r="F36" i="19"/>
  <c r="D37" i="19"/>
  <c r="H36" i="19" l="1"/>
  <c r="E37" i="19"/>
  <c r="F37" i="19"/>
  <c r="D38" i="19"/>
  <c r="J35" i="19"/>
  <c r="I35" i="19"/>
  <c r="G35" i="19"/>
  <c r="F38" i="19" l="1"/>
  <c r="D39" i="19"/>
  <c r="H37" i="19"/>
  <c r="E38" i="19"/>
  <c r="I36" i="19"/>
  <c r="G36" i="19"/>
  <c r="J36" i="19"/>
  <c r="H38" i="19" l="1"/>
  <c r="E39" i="19"/>
  <c r="G37" i="19"/>
  <c r="I37" i="19"/>
  <c r="J37" i="19"/>
  <c r="F39" i="19"/>
  <c r="D40" i="19"/>
  <c r="F40" i="19" l="1"/>
  <c r="D41" i="19"/>
  <c r="H39" i="19"/>
  <c r="E40" i="19"/>
  <c r="J38" i="19"/>
  <c r="I38" i="19"/>
  <c r="G38" i="19"/>
  <c r="H40" i="19" l="1"/>
  <c r="E41" i="19"/>
  <c r="I39" i="19"/>
  <c r="G39" i="19"/>
  <c r="J39" i="19"/>
  <c r="F41" i="19"/>
  <c r="D42" i="19"/>
  <c r="F42" i="19" l="1"/>
  <c r="D43" i="19"/>
  <c r="H41" i="19"/>
  <c r="E42" i="19"/>
  <c r="G40" i="19"/>
  <c r="J40" i="19"/>
  <c r="I40" i="19"/>
  <c r="H42" i="19" l="1"/>
  <c r="E43" i="19"/>
  <c r="J41" i="19"/>
  <c r="I41" i="19"/>
  <c r="G41" i="19"/>
  <c r="F43" i="19"/>
  <c r="D44" i="19"/>
  <c r="F44" i="19" l="1"/>
  <c r="D45" i="19"/>
  <c r="H43" i="19"/>
  <c r="E44" i="19"/>
  <c r="J42" i="19"/>
  <c r="I42" i="19"/>
  <c r="G42" i="19"/>
  <c r="H44" i="19" l="1"/>
  <c r="E45" i="19"/>
  <c r="J43" i="19"/>
  <c r="I43" i="19"/>
  <c r="G43" i="19"/>
  <c r="F45" i="19"/>
  <c r="D46" i="19"/>
  <c r="F46" i="19" l="1"/>
  <c r="D47" i="19"/>
  <c r="H45" i="19"/>
  <c r="E46" i="19"/>
  <c r="I44" i="19"/>
  <c r="J44" i="19"/>
  <c r="G44" i="19"/>
  <c r="H46" i="19" l="1"/>
  <c r="E47" i="19"/>
  <c r="I45" i="19"/>
  <c r="J45" i="19"/>
  <c r="G45" i="19"/>
  <c r="F47" i="19"/>
  <c r="D48" i="19"/>
  <c r="F48" i="19" l="1"/>
  <c r="D49" i="19"/>
  <c r="H47" i="19"/>
  <c r="E48" i="19"/>
  <c r="I46" i="19"/>
  <c r="G46" i="19"/>
  <c r="J46" i="19"/>
  <c r="H48" i="19" l="1"/>
  <c r="E49" i="19"/>
  <c r="I47" i="19"/>
  <c r="J47" i="19"/>
  <c r="G47" i="19"/>
  <c r="F49" i="19"/>
  <c r="D50" i="19"/>
  <c r="F50" i="19" l="1"/>
  <c r="D51" i="19"/>
  <c r="H49" i="19"/>
  <c r="E50" i="19"/>
  <c r="I48" i="19"/>
  <c r="J48" i="19"/>
  <c r="G48" i="19"/>
  <c r="H50" i="19" l="1"/>
  <c r="E51" i="19"/>
  <c r="I49" i="19"/>
  <c r="G49" i="19"/>
  <c r="J49" i="19"/>
  <c r="F51" i="19"/>
  <c r="D52" i="19"/>
  <c r="H51" i="19" l="1"/>
  <c r="E52" i="19"/>
  <c r="F52" i="19"/>
  <c r="D53" i="19"/>
  <c r="I50" i="19"/>
  <c r="G50" i="19"/>
  <c r="J50" i="19"/>
  <c r="F53" i="19" l="1"/>
  <c r="D54" i="19"/>
  <c r="H52" i="19"/>
  <c r="E53" i="19"/>
  <c r="G51" i="19"/>
  <c r="J51" i="19"/>
  <c r="I51" i="19"/>
  <c r="H53" i="19" l="1"/>
  <c r="E54" i="19"/>
  <c r="I52" i="19"/>
  <c r="J52" i="19"/>
  <c r="G52" i="19"/>
  <c r="F54" i="19"/>
  <c r="D55" i="19"/>
  <c r="F55" i="19" l="1"/>
  <c r="D56" i="19"/>
  <c r="H54" i="19"/>
  <c r="E55" i="19"/>
  <c r="I53" i="19"/>
  <c r="J53" i="19"/>
  <c r="G53" i="19"/>
  <c r="H55" i="19" l="1"/>
  <c r="E56" i="19"/>
  <c r="J54" i="19"/>
  <c r="I54" i="19"/>
  <c r="G54" i="19"/>
  <c r="F56" i="19"/>
  <c r="D57" i="19"/>
  <c r="F57" i="19" l="1"/>
  <c r="D58" i="19"/>
  <c r="H56" i="19"/>
  <c r="E57" i="19"/>
  <c r="I55" i="19"/>
  <c r="G55" i="19"/>
  <c r="J55" i="19"/>
  <c r="H57" i="19" l="1"/>
  <c r="E58" i="19"/>
  <c r="G56" i="19"/>
  <c r="J56" i="19"/>
  <c r="I56" i="19"/>
  <c r="F58" i="19"/>
  <c r="D59" i="19"/>
  <c r="F59" i="19" l="1"/>
  <c r="D60" i="19"/>
  <c r="H58" i="19"/>
  <c r="E59" i="19"/>
  <c r="J57" i="19"/>
  <c r="I57" i="19"/>
  <c r="G57" i="19"/>
  <c r="H59" i="19" l="1"/>
  <c r="E60" i="19"/>
  <c r="I58" i="19"/>
  <c r="G58" i="19"/>
  <c r="J58" i="19"/>
  <c r="F60" i="19"/>
  <c r="D61" i="19"/>
  <c r="F61" i="19" l="1"/>
  <c r="D62" i="19"/>
  <c r="H60" i="19"/>
  <c r="E61" i="19"/>
  <c r="G59" i="19"/>
  <c r="J59" i="19"/>
  <c r="I59" i="19"/>
  <c r="H61" i="19" l="1"/>
  <c r="E62" i="19"/>
  <c r="F62" i="19"/>
  <c r="D63" i="19"/>
  <c r="J60" i="19"/>
  <c r="G60" i="19"/>
  <c r="I60" i="19"/>
  <c r="H62" i="19" l="1"/>
  <c r="E63" i="19"/>
  <c r="F63" i="19"/>
  <c r="D64" i="19"/>
  <c r="I61" i="19"/>
  <c r="J61" i="19"/>
  <c r="G61" i="19"/>
  <c r="F64" i="19" l="1"/>
  <c r="D65" i="19"/>
  <c r="H63" i="19"/>
  <c r="E64" i="19"/>
  <c r="J62" i="19"/>
  <c r="I62" i="19"/>
  <c r="G62" i="19"/>
  <c r="H64" i="19" l="1"/>
  <c r="E65" i="19"/>
  <c r="I63" i="19"/>
  <c r="G63" i="19"/>
  <c r="J63" i="19"/>
  <c r="F65" i="19"/>
  <c r="D66" i="19"/>
  <c r="F66" i="19" l="1"/>
  <c r="D67" i="19"/>
  <c r="H65" i="19"/>
  <c r="E66" i="19"/>
  <c r="G64" i="19"/>
  <c r="J64" i="19"/>
  <c r="I64" i="19"/>
  <c r="H66" i="19" l="1"/>
  <c r="E67" i="19"/>
  <c r="I65" i="19"/>
  <c r="G65" i="19"/>
  <c r="J65" i="19"/>
  <c r="F67" i="19"/>
  <c r="D68" i="19"/>
  <c r="F68" i="19" l="1"/>
  <c r="D69" i="19"/>
  <c r="H67" i="19"/>
  <c r="E68" i="19"/>
  <c r="I66" i="19"/>
  <c r="G66" i="19"/>
  <c r="J66" i="19"/>
  <c r="H68" i="19" l="1"/>
  <c r="E69" i="19"/>
  <c r="J67" i="19"/>
  <c r="I67" i="19"/>
  <c r="G67" i="19"/>
  <c r="F69" i="19"/>
  <c r="D70" i="19"/>
  <c r="H69" i="19" l="1"/>
  <c r="E70" i="19"/>
  <c r="F70" i="19"/>
  <c r="D71" i="19"/>
  <c r="I68" i="19"/>
  <c r="G68" i="19"/>
  <c r="J68" i="19"/>
  <c r="H70" i="19" l="1"/>
  <c r="E71" i="19"/>
  <c r="F71" i="19"/>
  <c r="D72" i="19"/>
  <c r="I69" i="19"/>
  <c r="J69" i="19"/>
  <c r="G69" i="19"/>
  <c r="F72" i="19" l="1"/>
  <c r="D73" i="19"/>
  <c r="H71" i="19"/>
  <c r="E72" i="19"/>
  <c r="J70" i="19"/>
  <c r="I70" i="19"/>
  <c r="G70" i="19"/>
  <c r="H72" i="19" l="1"/>
  <c r="E73" i="19"/>
  <c r="J71" i="19"/>
  <c r="I71" i="19"/>
  <c r="G71" i="19"/>
  <c r="F73" i="19"/>
  <c r="D74" i="19"/>
  <c r="H73" i="19" l="1"/>
  <c r="E74" i="19"/>
  <c r="F74" i="19"/>
  <c r="D75" i="19"/>
  <c r="G72" i="19"/>
  <c r="J72" i="19"/>
  <c r="I72" i="19"/>
  <c r="H74" i="19" l="1"/>
  <c r="E75" i="19"/>
  <c r="F75" i="19"/>
  <c r="D76" i="19"/>
  <c r="I73" i="19"/>
  <c r="J73" i="19"/>
  <c r="G73" i="19"/>
  <c r="F76" i="19" l="1"/>
  <c r="D77" i="19"/>
  <c r="H75" i="19"/>
  <c r="E76" i="19"/>
  <c r="I74" i="19"/>
  <c r="G74" i="19"/>
  <c r="J74" i="19"/>
  <c r="H76" i="19" l="1"/>
  <c r="E77" i="19"/>
  <c r="G75" i="19"/>
  <c r="J75" i="19"/>
  <c r="I75" i="19"/>
  <c r="F77" i="19"/>
  <c r="D78" i="19"/>
  <c r="F78" i="19" l="1"/>
  <c r="D79" i="19"/>
  <c r="H77" i="19"/>
  <c r="E78" i="19"/>
  <c r="I76" i="19"/>
  <c r="G76" i="19"/>
  <c r="J76" i="19"/>
  <c r="H78" i="19" l="1"/>
  <c r="E79" i="19"/>
  <c r="I77" i="19"/>
  <c r="J77" i="19"/>
  <c r="G77" i="19"/>
  <c r="F79" i="19"/>
  <c r="D80" i="19"/>
  <c r="F80" i="19" l="1"/>
  <c r="D81" i="19"/>
  <c r="H79" i="19"/>
  <c r="E80" i="19"/>
  <c r="I78" i="19"/>
  <c r="G78" i="19"/>
  <c r="J78" i="19"/>
  <c r="H80" i="19" l="1"/>
  <c r="E81" i="19"/>
  <c r="G79" i="19"/>
  <c r="J79" i="19"/>
  <c r="I79" i="19"/>
  <c r="F81" i="19"/>
  <c r="D82" i="19"/>
  <c r="F82" i="19" l="1"/>
  <c r="D83" i="19"/>
  <c r="H81" i="19"/>
  <c r="E82" i="19"/>
  <c r="G80" i="19"/>
  <c r="J80" i="19"/>
  <c r="I80" i="19"/>
  <c r="H82" i="19" l="1"/>
  <c r="E83" i="19"/>
  <c r="I81" i="19"/>
  <c r="G81" i="19"/>
  <c r="J81" i="19"/>
  <c r="F83" i="19"/>
  <c r="D84" i="19"/>
  <c r="F84" i="19" l="1"/>
  <c r="D85" i="19"/>
  <c r="H83" i="19"/>
  <c r="E84" i="19"/>
  <c r="I82" i="19"/>
  <c r="G82" i="19"/>
  <c r="J82" i="19"/>
  <c r="H84" i="19" l="1"/>
  <c r="E85" i="19"/>
  <c r="J83" i="19"/>
  <c r="I83" i="19"/>
  <c r="G83" i="19"/>
  <c r="F85" i="19"/>
  <c r="D86" i="19"/>
  <c r="F86" i="19" l="1"/>
  <c r="D87" i="19"/>
  <c r="H85" i="19"/>
  <c r="E86" i="19"/>
  <c r="G84" i="19"/>
  <c r="J84" i="19"/>
  <c r="I84" i="19"/>
  <c r="H86" i="19" l="1"/>
  <c r="E87" i="19"/>
  <c r="G85" i="19"/>
  <c r="J85" i="19"/>
  <c r="I85" i="19"/>
  <c r="F87" i="19"/>
  <c r="D88" i="19"/>
  <c r="F88" i="19" l="1"/>
  <c r="D89" i="19"/>
  <c r="H87" i="19"/>
  <c r="E88" i="19"/>
  <c r="J86" i="19"/>
  <c r="I86" i="19"/>
  <c r="G86" i="19"/>
  <c r="H88" i="19" l="1"/>
  <c r="E89" i="19"/>
  <c r="I87" i="19"/>
  <c r="G87" i="19"/>
  <c r="J87" i="19"/>
  <c r="F89" i="19"/>
  <c r="D90" i="19"/>
  <c r="F90" i="19" l="1"/>
  <c r="D91" i="19"/>
  <c r="H89" i="19"/>
  <c r="E90" i="19"/>
  <c r="G88" i="19"/>
  <c r="J88" i="19"/>
  <c r="I88" i="19"/>
  <c r="H90" i="19" l="1"/>
  <c r="E91" i="19"/>
  <c r="I89" i="19"/>
  <c r="G89" i="19"/>
  <c r="J89" i="19"/>
  <c r="F91" i="19"/>
  <c r="D92" i="19"/>
  <c r="F92" i="19" l="1"/>
  <c r="D93" i="19"/>
  <c r="H91" i="19"/>
  <c r="E92" i="19"/>
  <c r="I90" i="19"/>
  <c r="G90" i="19"/>
  <c r="J90" i="19"/>
  <c r="H92" i="19" l="1"/>
  <c r="E93" i="19"/>
  <c r="G91" i="19"/>
  <c r="J91" i="19"/>
  <c r="I91" i="19"/>
  <c r="F93" i="19"/>
  <c r="D94" i="19"/>
  <c r="F94" i="19" l="1"/>
  <c r="D95" i="19"/>
  <c r="H93" i="19"/>
  <c r="E94" i="19"/>
  <c r="I92" i="19"/>
  <c r="J92" i="19"/>
  <c r="G92" i="19"/>
  <c r="H94" i="19" l="1"/>
  <c r="E95" i="19"/>
  <c r="G93" i="19"/>
  <c r="I93" i="19"/>
  <c r="J93" i="19"/>
  <c r="F95" i="19"/>
  <c r="D96" i="19"/>
  <c r="F96" i="19" l="1"/>
  <c r="D97" i="19"/>
  <c r="H95" i="19"/>
  <c r="E96" i="19"/>
  <c r="G94" i="19"/>
  <c r="I94" i="19"/>
  <c r="J94" i="19"/>
  <c r="H96" i="19" l="1"/>
  <c r="E97" i="19"/>
  <c r="G95" i="19"/>
  <c r="J95" i="19"/>
  <c r="I95" i="19"/>
  <c r="F97" i="19"/>
  <c r="D98" i="19"/>
  <c r="H97" i="19" l="1"/>
  <c r="E98" i="19"/>
  <c r="F98" i="19"/>
  <c r="D99" i="19"/>
  <c r="G96" i="19"/>
  <c r="J96" i="19"/>
  <c r="I96" i="19"/>
  <c r="H98" i="19" l="1"/>
  <c r="E99" i="19"/>
  <c r="F99" i="19"/>
  <c r="D100" i="19"/>
  <c r="I97" i="19"/>
  <c r="G97" i="19"/>
  <c r="J97" i="19"/>
  <c r="F100" i="19" l="1"/>
  <c r="D101" i="19"/>
  <c r="H99" i="19"/>
  <c r="E100" i="19"/>
  <c r="G98" i="19"/>
  <c r="J98" i="19"/>
  <c r="I98" i="19"/>
  <c r="G99" i="19" l="1"/>
  <c r="J99" i="19"/>
  <c r="I99" i="19"/>
  <c r="H100" i="19"/>
  <c r="E101" i="19"/>
  <c r="F101" i="19"/>
  <c r="D102" i="19"/>
  <c r="H101" i="19" l="1"/>
  <c r="E102" i="19"/>
  <c r="F102" i="19"/>
  <c r="D103" i="19"/>
  <c r="I100" i="19"/>
  <c r="G100" i="19"/>
  <c r="J100" i="19"/>
  <c r="F103" i="19" l="1"/>
  <c r="D104" i="19"/>
  <c r="H102" i="19"/>
  <c r="E103" i="19"/>
  <c r="J101" i="19"/>
  <c r="G101" i="19"/>
  <c r="I101" i="19"/>
  <c r="H103" i="19" l="1"/>
  <c r="E104" i="19"/>
  <c r="J102" i="19"/>
  <c r="I102" i="19"/>
  <c r="G102" i="19"/>
  <c r="F104" i="19"/>
  <c r="D105" i="19"/>
  <c r="H104" i="19" l="1"/>
  <c r="E105" i="19"/>
  <c r="F105" i="19"/>
  <c r="D106" i="19"/>
  <c r="I103" i="19"/>
  <c r="G103" i="19"/>
  <c r="J103" i="19"/>
  <c r="H105" i="19" l="1"/>
  <c r="E106" i="19"/>
  <c r="F106" i="19"/>
  <c r="D107" i="19"/>
  <c r="I104" i="19"/>
  <c r="J104" i="19"/>
  <c r="G104" i="19"/>
  <c r="F107" i="19" l="1"/>
  <c r="D108" i="19"/>
  <c r="H106" i="19"/>
  <c r="E107" i="19"/>
  <c r="J105" i="19"/>
  <c r="I105" i="19"/>
  <c r="G105" i="19"/>
  <c r="H107" i="19" l="1"/>
  <c r="E108" i="19"/>
  <c r="I106" i="19"/>
  <c r="G106" i="19"/>
  <c r="J106" i="19"/>
  <c r="F108" i="19"/>
  <c r="D109" i="19"/>
  <c r="H108" i="19" l="1"/>
  <c r="E109" i="19"/>
  <c r="F109" i="19"/>
  <c r="D110" i="19"/>
  <c r="J107" i="19"/>
  <c r="I107" i="19"/>
  <c r="G107" i="19"/>
  <c r="H109" i="19" l="1"/>
  <c r="E110" i="19"/>
  <c r="F110" i="19"/>
  <c r="D111" i="19"/>
  <c r="G108" i="19"/>
  <c r="J108" i="19"/>
  <c r="I108" i="19"/>
  <c r="H110" i="19" l="1"/>
  <c r="E111" i="19"/>
  <c r="F111" i="19"/>
  <c r="D112" i="19"/>
  <c r="G109" i="19"/>
  <c r="J109" i="19"/>
  <c r="I109" i="19"/>
  <c r="F112" i="19" l="1"/>
  <c r="D113" i="19"/>
  <c r="H111" i="19"/>
  <c r="E112" i="19"/>
  <c r="I110" i="19"/>
  <c r="G110" i="19"/>
  <c r="J110" i="19"/>
  <c r="H112" i="19" l="1"/>
  <c r="E113" i="19"/>
  <c r="I111" i="19"/>
  <c r="G111" i="19"/>
  <c r="J111" i="19"/>
  <c r="F113" i="19"/>
  <c r="D114" i="19"/>
  <c r="F114" i="19" l="1"/>
  <c r="D115" i="19"/>
  <c r="H113" i="19"/>
  <c r="E114" i="19"/>
  <c r="G112" i="19"/>
  <c r="J112" i="19"/>
  <c r="I112" i="19"/>
  <c r="H114" i="19" l="1"/>
  <c r="E115" i="19"/>
  <c r="G113" i="19"/>
  <c r="J113" i="19"/>
  <c r="I113" i="19"/>
  <c r="F115" i="19"/>
  <c r="D116" i="19"/>
  <c r="F116" i="19" l="1"/>
  <c r="D117" i="19"/>
  <c r="H115" i="19"/>
  <c r="E116" i="19"/>
  <c r="I114" i="19"/>
  <c r="G114" i="19"/>
  <c r="J114" i="19"/>
  <c r="H116" i="19" l="1"/>
  <c r="E117" i="19"/>
  <c r="I115" i="19"/>
  <c r="J115" i="19"/>
  <c r="G115" i="19"/>
  <c r="F117" i="19"/>
  <c r="D118" i="19"/>
  <c r="F118" i="19" l="1"/>
  <c r="D119" i="19"/>
  <c r="H117" i="19"/>
  <c r="E118" i="19"/>
  <c r="I116" i="19"/>
  <c r="J116" i="19"/>
  <c r="G116" i="19"/>
  <c r="H118" i="19" l="1"/>
  <c r="E119" i="19"/>
  <c r="G117" i="19"/>
  <c r="I117" i="19"/>
  <c r="J117" i="19"/>
  <c r="F119" i="19"/>
  <c r="D120" i="19"/>
  <c r="H119" i="19" l="1"/>
  <c r="E120" i="19"/>
  <c r="F120" i="19"/>
  <c r="D121" i="19"/>
  <c r="G118" i="19"/>
  <c r="I118" i="19"/>
  <c r="J118" i="19"/>
  <c r="F121" i="19" l="1"/>
  <c r="D122" i="19"/>
  <c r="H120" i="19"/>
  <c r="E121" i="19"/>
  <c r="I119" i="19"/>
  <c r="G119" i="19"/>
  <c r="J119" i="19"/>
  <c r="H121" i="19" l="1"/>
  <c r="E122" i="19"/>
  <c r="I120" i="19"/>
  <c r="G120" i="19"/>
  <c r="J120" i="19"/>
  <c r="F122" i="19"/>
  <c r="D123" i="19"/>
  <c r="H122" i="19" l="1"/>
  <c r="E123" i="19"/>
  <c r="F123" i="19"/>
  <c r="D124" i="19"/>
  <c r="J121" i="19"/>
  <c r="I121" i="19"/>
  <c r="G121" i="19"/>
  <c r="F124" i="19" l="1"/>
  <c r="D125" i="19"/>
  <c r="H123" i="19"/>
  <c r="E124" i="19"/>
  <c r="I122" i="19"/>
  <c r="G122" i="19"/>
  <c r="J122" i="19"/>
  <c r="H124" i="19" l="1"/>
  <c r="E125" i="19"/>
  <c r="I123" i="19"/>
  <c r="J123" i="19"/>
  <c r="G123" i="19"/>
  <c r="F125" i="19"/>
  <c r="D126" i="19"/>
  <c r="F126" i="19" l="1"/>
  <c r="D127" i="19"/>
  <c r="H125" i="19"/>
  <c r="E126" i="19"/>
  <c r="J124" i="19"/>
  <c r="I124" i="19"/>
  <c r="G124" i="19"/>
  <c r="H126" i="19" l="1"/>
  <c r="E127" i="19"/>
  <c r="J125" i="19"/>
  <c r="I125" i="19"/>
  <c r="G125" i="19"/>
  <c r="F127" i="19"/>
  <c r="D128" i="19"/>
  <c r="F128" i="19" l="1"/>
  <c r="D129" i="19"/>
  <c r="B29" i="18"/>
  <c r="H127" i="19"/>
  <c r="E128" i="19"/>
  <c r="J126" i="19"/>
  <c r="I126" i="19"/>
  <c r="G126" i="19"/>
  <c r="H128" i="19" l="1"/>
  <c r="E129" i="19"/>
  <c r="G127" i="19"/>
  <c r="J127" i="19"/>
  <c r="I127" i="19"/>
  <c r="D29" i="18"/>
  <c r="C2" i="19"/>
  <c r="F129" i="19"/>
  <c r="D130" i="19"/>
  <c r="E3" i="19" l="1"/>
  <c r="D3" i="19"/>
  <c r="C17" i="19" s="1"/>
  <c r="H129" i="19"/>
  <c r="E130" i="19"/>
  <c r="F130" i="19"/>
  <c r="D131" i="19"/>
  <c r="I128" i="19"/>
  <c r="G128" i="19"/>
  <c r="J128" i="19"/>
  <c r="F131" i="19" l="1"/>
  <c r="D132" i="19"/>
  <c r="H130" i="19"/>
  <c r="E131" i="19"/>
  <c r="I129" i="19"/>
  <c r="G129" i="19"/>
  <c r="J129" i="19"/>
  <c r="H131" i="19" l="1"/>
  <c r="E132" i="19"/>
  <c r="I130" i="19"/>
  <c r="G130" i="19"/>
  <c r="J130" i="19"/>
  <c r="F132" i="19"/>
  <c r="D133" i="19"/>
  <c r="F133" i="19" l="1"/>
  <c r="D134" i="19"/>
  <c r="H132" i="19"/>
  <c r="E133" i="19"/>
  <c r="J131" i="19"/>
  <c r="I131" i="19"/>
  <c r="G131" i="19"/>
  <c r="H133" i="19" l="1"/>
  <c r="E134" i="19"/>
  <c r="I132" i="19"/>
  <c r="G132" i="19"/>
  <c r="J132" i="19"/>
  <c r="F134" i="19"/>
  <c r="D135" i="19"/>
  <c r="F135" i="19" l="1"/>
  <c r="D136" i="19"/>
  <c r="H134" i="19"/>
  <c r="E135" i="19"/>
  <c r="G133" i="19"/>
  <c r="J133" i="19"/>
  <c r="I133" i="19"/>
  <c r="E136" i="19" l="1"/>
  <c r="H135" i="19"/>
  <c r="G134" i="19"/>
  <c r="J134" i="19"/>
  <c r="I134" i="19"/>
  <c r="F136" i="19"/>
  <c r="D137" i="19"/>
  <c r="F137" i="19" l="1"/>
  <c r="D138" i="19"/>
  <c r="G135" i="19"/>
  <c r="J135" i="19"/>
  <c r="I135" i="19"/>
  <c r="H136" i="19"/>
  <c r="E137" i="19"/>
  <c r="H137" i="19" l="1"/>
  <c r="E138" i="19"/>
  <c r="I136" i="19"/>
  <c r="J136" i="19"/>
  <c r="G136" i="19"/>
  <c r="F138" i="19"/>
  <c r="D139" i="19"/>
  <c r="D140" i="19" l="1"/>
  <c r="F139" i="19"/>
  <c r="H138" i="19"/>
  <c r="E139" i="19"/>
  <c r="I137" i="19"/>
  <c r="J137" i="19"/>
  <c r="G137" i="19"/>
  <c r="H139" i="19" l="1"/>
  <c r="E140" i="19"/>
  <c r="G138" i="19"/>
  <c r="I138" i="19"/>
  <c r="J138" i="19"/>
  <c r="F140" i="19"/>
  <c r="D141" i="19"/>
  <c r="F141" i="19" l="1"/>
  <c r="D142" i="19"/>
  <c r="H140" i="19"/>
  <c r="E141" i="19"/>
  <c r="I139" i="19"/>
  <c r="G139" i="19"/>
  <c r="J139" i="19"/>
  <c r="H141" i="19" l="1"/>
  <c r="E142" i="19"/>
  <c r="G140" i="19"/>
  <c r="J140" i="19"/>
  <c r="I140" i="19"/>
  <c r="F142" i="19"/>
  <c r="D143" i="19"/>
  <c r="H142" i="19" l="1"/>
  <c r="E143" i="19"/>
  <c r="F143" i="19"/>
  <c r="D144" i="19"/>
  <c r="I141" i="19"/>
  <c r="G141" i="19"/>
  <c r="J141" i="19"/>
  <c r="H143" i="19" l="1"/>
  <c r="E144" i="19"/>
  <c r="F144" i="19"/>
  <c r="D145" i="19"/>
  <c r="I142" i="19"/>
  <c r="G142" i="19"/>
  <c r="J142" i="19"/>
  <c r="H144" i="19" l="1"/>
  <c r="E145" i="19"/>
  <c r="F145" i="19"/>
  <c r="D146" i="19"/>
  <c r="G143" i="19"/>
  <c r="J143" i="19"/>
  <c r="I143" i="19"/>
  <c r="H145" i="19" l="1"/>
  <c r="E146" i="19"/>
  <c r="F146" i="19"/>
  <c r="D147" i="19"/>
  <c r="G144" i="19"/>
  <c r="I144" i="19"/>
  <c r="J144" i="19"/>
  <c r="E147" i="19" l="1"/>
  <c r="H146" i="19"/>
  <c r="F147" i="19"/>
  <c r="D148" i="19"/>
  <c r="I145" i="19"/>
  <c r="G145" i="19"/>
  <c r="J145" i="19"/>
  <c r="F148" i="19" l="1"/>
  <c r="D149" i="19"/>
  <c r="G146" i="19"/>
  <c r="J146" i="19"/>
  <c r="I146" i="19"/>
  <c r="H147" i="19"/>
  <c r="E148" i="19"/>
  <c r="H148" i="19" l="1"/>
  <c r="E149" i="19"/>
  <c r="I147" i="19"/>
  <c r="J147" i="19"/>
  <c r="G147" i="19"/>
  <c r="F149" i="19"/>
  <c r="D150" i="19"/>
  <c r="F150" i="19" l="1"/>
  <c r="D151" i="19"/>
  <c r="H149" i="19"/>
  <c r="E150" i="19"/>
  <c r="G148" i="19"/>
  <c r="J148" i="19"/>
  <c r="I148" i="19"/>
  <c r="H150" i="19" l="1"/>
  <c r="E151" i="19"/>
  <c r="G149" i="19"/>
  <c r="J149" i="19"/>
  <c r="I149" i="19"/>
  <c r="F151" i="19"/>
  <c r="D152" i="19"/>
  <c r="F152" i="19" l="1"/>
  <c r="D153" i="19"/>
  <c r="H151" i="19"/>
  <c r="E152" i="19"/>
  <c r="I150" i="19"/>
  <c r="G150" i="19"/>
  <c r="J150" i="19"/>
  <c r="H152" i="19" l="1"/>
  <c r="E153" i="19"/>
  <c r="G151" i="19"/>
  <c r="J151" i="19"/>
  <c r="I151" i="19"/>
  <c r="F153" i="19"/>
  <c r="D154" i="19"/>
  <c r="F154" i="19" l="1"/>
  <c r="D155" i="19"/>
  <c r="H153" i="19"/>
  <c r="E154" i="19"/>
  <c r="G152" i="19"/>
  <c r="I152" i="19"/>
  <c r="J152" i="19"/>
  <c r="G153" i="19" l="1"/>
  <c r="I153" i="19"/>
  <c r="J153" i="19"/>
  <c r="E155" i="19"/>
  <c r="H154" i="19"/>
  <c r="F155" i="19"/>
  <c r="D156" i="19"/>
  <c r="G154" i="19" l="1"/>
  <c r="J154" i="19"/>
  <c r="I154" i="19"/>
  <c r="F156" i="19"/>
  <c r="D157" i="19"/>
  <c r="H155" i="19"/>
  <c r="E156" i="19"/>
  <c r="H156" i="19" l="1"/>
  <c r="E157" i="19"/>
  <c r="I155" i="19"/>
  <c r="G155" i="19"/>
  <c r="J155" i="19"/>
  <c r="F157" i="19"/>
  <c r="D158" i="19"/>
  <c r="H157" i="19" l="1"/>
  <c r="E158" i="19"/>
  <c r="F158" i="19"/>
  <c r="D159" i="19"/>
  <c r="J156" i="19"/>
  <c r="G156" i="19"/>
  <c r="I156" i="19"/>
  <c r="H158" i="19" l="1"/>
  <c r="E159" i="19"/>
  <c r="F159" i="19"/>
  <c r="D160" i="19"/>
  <c r="J157" i="19"/>
  <c r="I157" i="19"/>
  <c r="G157" i="19"/>
  <c r="F160" i="19" l="1"/>
  <c r="D161" i="19"/>
  <c r="H159" i="19"/>
  <c r="E160" i="19"/>
  <c r="G158" i="19"/>
  <c r="I158" i="19"/>
  <c r="J158" i="19"/>
  <c r="H160" i="19" l="1"/>
  <c r="E161" i="19"/>
  <c r="I159" i="19"/>
  <c r="J159" i="19"/>
  <c r="G159" i="19"/>
  <c r="F161" i="19"/>
  <c r="D162" i="19"/>
  <c r="F162" i="19" l="1"/>
  <c r="D163" i="19"/>
  <c r="H161" i="19"/>
  <c r="E162" i="19"/>
  <c r="I160" i="19"/>
  <c r="G160" i="19"/>
  <c r="J160" i="19"/>
  <c r="E163" i="19" l="1"/>
  <c r="H162" i="19"/>
  <c r="I161" i="19"/>
  <c r="G161" i="19"/>
  <c r="J161" i="19"/>
  <c r="F163" i="19"/>
  <c r="D164" i="19"/>
  <c r="F164" i="19" l="1"/>
  <c r="D165" i="19"/>
  <c r="J162" i="19"/>
  <c r="I162" i="19"/>
  <c r="G162" i="19"/>
  <c r="H163" i="19"/>
  <c r="E164" i="19"/>
  <c r="H164" i="19" l="1"/>
  <c r="E165" i="19"/>
  <c r="I163" i="19"/>
  <c r="G163" i="19"/>
  <c r="J163" i="19"/>
  <c r="F165" i="19"/>
  <c r="D166" i="19"/>
  <c r="H165" i="19" l="1"/>
  <c r="E166" i="19"/>
  <c r="F166" i="19"/>
  <c r="D167" i="19"/>
  <c r="J164" i="19"/>
  <c r="I164" i="19"/>
  <c r="G164" i="19"/>
  <c r="F167" i="19" l="1"/>
  <c r="D168" i="19"/>
  <c r="H166" i="19"/>
  <c r="E167" i="19"/>
  <c r="I165" i="19"/>
  <c r="J165" i="19"/>
  <c r="G165" i="19"/>
  <c r="H167" i="19" l="1"/>
  <c r="E168" i="19"/>
  <c r="I166" i="19"/>
  <c r="G166" i="19"/>
  <c r="J166" i="19"/>
  <c r="F168" i="19"/>
  <c r="D169" i="19"/>
  <c r="F169" i="19" l="1"/>
  <c r="D170" i="19"/>
  <c r="H168" i="19"/>
  <c r="E169" i="19"/>
  <c r="J167" i="19"/>
  <c r="I167" i="19"/>
  <c r="G167" i="19"/>
  <c r="H169" i="19" l="1"/>
  <c r="E170" i="19"/>
  <c r="I168" i="19"/>
  <c r="J168" i="19"/>
  <c r="G168" i="19"/>
  <c r="D171" i="19"/>
  <c r="F170" i="19"/>
  <c r="D172" i="19" l="1"/>
  <c r="F171" i="19"/>
  <c r="H170" i="19"/>
  <c r="E171" i="19"/>
  <c r="I169" i="19"/>
  <c r="J169" i="19"/>
  <c r="G169" i="19"/>
  <c r="G170" i="19" l="1"/>
  <c r="I170" i="19"/>
  <c r="J170" i="19"/>
  <c r="H171" i="19"/>
  <c r="E172" i="19"/>
  <c r="F172" i="19"/>
  <c r="D173" i="19"/>
  <c r="H172" i="19" l="1"/>
  <c r="E173" i="19"/>
  <c r="F173" i="19"/>
  <c r="D174" i="19"/>
  <c r="J171" i="19"/>
  <c r="G171" i="19"/>
  <c r="I171" i="19"/>
  <c r="H173" i="19" l="1"/>
  <c r="E174" i="19"/>
  <c r="F174" i="19"/>
  <c r="D175" i="19"/>
  <c r="G172" i="19"/>
  <c r="J172" i="19"/>
  <c r="I172" i="19"/>
  <c r="H174" i="19" l="1"/>
  <c r="E175" i="19"/>
  <c r="F175" i="19"/>
  <c r="D176" i="19"/>
  <c r="G173" i="19"/>
  <c r="I173" i="19"/>
  <c r="J173" i="19"/>
  <c r="F176" i="19" l="1"/>
  <c r="D177" i="19"/>
  <c r="H175" i="19"/>
  <c r="E176" i="19"/>
  <c r="G174" i="19"/>
  <c r="I174" i="19"/>
  <c r="J174" i="19"/>
  <c r="H176" i="19" l="1"/>
  <c r="E177" i="19"/>
  <c r="I175" i="19"/>
  <c r="J175" i="19"/>
  <c r="G175" i="19"/>
  <c r="F177" i="19"/>
  <c r="D178" i="19"/>
  <c r="F178" i="19" l="1"/>
  <c r="D179" i="19"/>
  <c r="H177" i="19"/>
  <c r="E178" i="19"/>
  <c r="J176" i="19"/>
  <c r="I176" i="19"/>
  <c r="G176" i="19"/>
  <c r="E179" i="19" l="1"/>
  <c r="H178" i="19"/>
  <c r="I177" i="19"/>
  <c r="J177" i="19"/>
  <c r="G177" i="19"/>
  <c r="F179" i="19"/>
  <c r="D180" i="19"/>
  <c r="F180" i="19" l="1"/>
  <c r="D181" i="19"/>
  <c r="J178" i="19"/>
  <c r="G178" i="19"/>
  <c r="I178" i="19"/>
  <c r="H179" i="19"/>
  <c r="E180" i="19"/>
  <c r="H180" i="19" l="1"/>
  <c r="E181" i="19"/>
  <c r="I179" i="19"/>
  <c r="J179" i="19"/>
  <c r="G179" i="19"/>
  <c r="F181" i="19"/>
  <c r="D182" i="19"/>
  <c r="F182" i="19" l="1"/>
  <c r="D183" i="19"/>
  <c r="H181" i="19"/>
  <c r="E182" i="19"/>
  <c r="J180" i="19"/>
  <c r="G180" i="19"/>
  <c r="I180" i="19"/>
  <c r="H182" i="19" l="1"/>
  <c r="E183" i="19"/>
  <c r="I181" i="19"/>
  <c r="J181" i="19"/>
  <c r="G181" i="19"/>
  <c r="F183" i="19"/>
  <c r="D184" i="19"/>
  <c r="F184" i="19" l="1"/>
  <c r="D185" i="19"/>
  <c r="H183" i="19"/>
  <c r="E184" i="19"/>
  <c r="J182" i="19"/>
  <c r="I182" i="19"/>
  <c r="G182" i="19"/>
  <c r="H184" i="19" l="1"/>
  <c r="E185" i="19"/>
  <c r="J183" i="19"/>
  <c r="I183" i="19"/>
  <c r="G183" i="19"/>
  <c r="F185" i="19"/>
  <c r="D186" i="19"/>
  <c r="F186" i="19" l="1"/>
  <c r="D187" i="19"/>
  <c r="H185" i="19"/>
  <c r="E186" i="19"/>
  <c r="G184" i="19"/>
  <c r="J184" i="19"/>
  <c r="I184" i="19"/>
  <c r="E187" i="19" l="1"/>
  <c r="H186" i="19"/>
  <c r="G185" i="19"/>
  <c r="J185" i="19"/>
  <c r="I185" i="19"/>
  <c r="F187" i="19"/>
  <c r="D188" i="19"/>
  <c r="F188" i="19" l="1"/>
  <c r="D189" i="19"/>
  <c r="G186" i="19"/>
  <c r="I186" i="19"/>
  <c r="J186" i="19"/>
  <c r="H187" i="19"/>
  <c r="E188" i="19"/>
  <c r="I187" i="19" l="1"/>
  <c r="J187" i="19"/>
  <c r="G187" i="19"/>
  <c r="H188" i="19"/>
  <c r="E189" i="19"/>
  <c r="F189" i="19"/>
  <c r="D190" i="19"/>
  <c r="H189" i="19" l="1"/>
  <c r="E190" i="19"/>
  <c r="F190" i="19"/>
  <c r="D191" i="19"/>
  <c r="J188" i="19"/>
  <c r="I188" i="19"/>
  <c r="G188" i="19"/>
  <c r="F191" i="19" l="1"/>
  <c r="D192" i="19"/>
  <c r="H190" i="19"/>
  <c r="E191" i="19"/>
  <c r="G189" i="19"/>
  <c r="I189" i="19"/>
  <c r="J189" i="19"/>
  <c r="H191" i="19" l="1"/>
  <c r="E192" i="19"/>
  <c r="G190" i="19"/>
  <c r="J190" i="19"/>
  <c r="I190" i="19"/>
  <c r="F192" i="19"/>
  <c r="D193" i="19"/>
  <c r="F193" i="19" l="1"/>
  <c r="D194" i="19"/>
  <c r="H192" i="19"/>
  <c r="E193" i="19"/>
  <c r="J191" i="19"/>
  <c r="I191" i="19"/>
  <c r="G191" i="19"/>
  <c r="H193" i="19" l="1"/>
  <c r="E194" i="19"/>
  <c r="G192" i="19"/>
  <c r="I192" i="19"/>
  <c r="J192" i="19"/>
  <c r="F194" i="19"/>
  <c r="D195" i="19"/>
  <c r="F195" i="19" l="1"/>
  <c r="D196" i="19"/>
  <c r="H194" i="19"/>
  <c r="E195" i="19"/>
  <c r="I193" i="19"/>
  <c r="J193" i="19"/>
  <c r="G193" i="19"/>
  <c r="H195" i="19" l="1"/>
  <c r="E196" i="19"/>
  <c r="I194" i="19"/>
  <c r="G194" i="19"/>
  <c r="J194" i="19"/>
  <c r="F196" i="19"/>
  <c r="D197" i="19"/>
  <c r="F197" i="19" l="1"/>
  <c r="D198" i="19"/>
  <c r="H196" i="19"/>
  <c r="E197" i="19"/>
  <c r="G195" i="19"/>
  <c r="I195" i="19"/>
  <c r="J195" i="19"/>
  <c r="H197" i="19" l="1"/>
  <c r="E198" i="19"/>
  <c r="I196" i="19"/>
  <c r="J196" i="19"/>
  <c r="G196" i="19"/>
  <c r="F198" i="19"/>
  <c r="D199" i="19"/>
  <c r="F199" i="19" l="1"/>
  <c r="D200" i="19"/>
  <c r="H198" i="19"/>
  <c r="E199" i="19"/>
  <c r="I197" i="19"/>
  <c r="J197" i="19"/>
  <c r="G197" i="19"/>
  <c r="H199" i="19" l="1"/>
  <c r="E200" i="19"/>
  <c r="I198" i="19"/>
  <c r="G198" i="19"/>
  <c r="J198" i="19"/>
  <c r="F200" i="19"/>
  <c r="D201" i="19"/>
  <c r="F201" i="19" l="1"/>
  <c r="D202" i="19"/>
  <c r="H200" i="19"/>
  <c r="E201" i="19"/>
  <c r="G199" i="19"/>
  <c r="J199" i="19"/>
  <c r="I199" i="19"/>
  <c r="H201" i="19" l="1"/>
  <c r="E202" i="19"/>
  <c r="G200" i="19"/>
  <c r="I200" i="19"/>
  <c r="J200" i="19"/>
  <c r="F202" i="19"/>
  <c r="D203" i="19"/>
  <c r="F203" i="19" l="1"/>
  <c r="D204" i="19"/>
  <c r="H202" i="19"/>
  <c r="E203" i="19"/>
  <c r="G201" i="19"/>
  <c r="I201" i="19"/>
  <c r="J201" i="19"/>
  <c r="H203" i="19" l="1"/>
  <c r="E204" i="19"/>
  <c r="J202" i="19"/>
  <c r="G202" i="19"/>
  <c r="I202" i="19"/>
  <c r="D205" i="19"/>
  <c r="F204" i="19"/>
  <c r="D206" i="19" l="1"/>
  <c r="F205" i="19"/>
  <c r="H204" i="19"/>
  <c r="E205" i="19"/>
  <c r="G203" i="19"/>
  <c r="J203" i="19"/>
  <c r="I203" i="19"/>
  <c r="H205" i="19" l="1"/>
  <c r="E206" i="19"/>
  <c r="I204" i="19"/>
  <c r="G204" i="19"/>
  <c r="J204" i="19"/>
  <c r="D207" i="19"/>
  <c r="F206" i="19"/>
  <c r="D208" i="19" l="1"/>
  <c r="F208" i="19" s="1"/>
  <c r="F207" i="19"/>
  <c r="H206" i="19"/>
  <c r="E207" i="19"/>
  <c r="J205" i="19"/>
  <c r="G205" i="19"/>
  <c r="I205" i="19"/>
  <c r="E208" i="19" l="1"/>
  <c r="H208" i="19" s="1"/>
  <c r="H207" i="19"/>
  <c r="I206" i="19"/>
  <c r="G206" i="19"/>
  <c r="J206" i="19"/>
  <c r="I207" i="19" l="1"/>
  <c r="J207" i="19"/>
  <c r="G207" i="19"/>
  <c r="G208" i="19"/>
  <c r="J208" i="19"/>
  <c r="C18" i="18" s="1"/>
  <c r="I208" i="19"/>
  <c r="E36" i="18" l="1"/>
  <c r="C17" i="18"/>
  <c r="D18" i="18"/>
  <c r="F19" i="18"/>
  <c r="C25" i="18"/>
  <c r="B49" i="1"/>
  <c r="E38" i="18" l="1"/>
  <c r="B50" i="1" s="1"/>
  <c r="C1" i="19"/>
  <c r="C49" i="1"/>
  <c r="B55" i="1"/>
  <c r="D25" i="18"/>
  <c r="F25" i="18" s="1"/>
  <c r="E51" i="18"/>
  <c r="E52" i="18" s="1"/>
  <c r="E54" i="18" s="1"/>
  <c r="B41" i="1" l="1"/>
  <c r="E25" i="18"/>
  <c r="C27" i="19"/>
  <c r="C82" i="19"/>
  <c r="C162" i="19"/>
  <c r="C94" i="19"/>
  <c r="C66" i="19"/>
  <c r="C115" i="19"/>
  <c r="C95" i="19"/>
  <c r="C140" i="19"/>
  <c r="C158" i="19"/>
  <c r="C65" i="19"/>
  <c r="C75" i="19"/>
  <c r="C132" i="19"/>
  <c r="C153" i="19"/>
  <c r="C97" i="19"/>
  <c r="C208" i="19"/>
  <c r="C81" i="19"/>
  <c r="C102" i="19"/>
  <c r="C144" i="19"/>
  <c r="C205" i="19"/>
  <c r="C207" i="19"/>
  <c r="C131" i="19"/>
  <c r="C40" i="19"/>
  <c r="C8" i="19"/>
  <c r="C55" i="19"/>
  <c r="C125" i="19"/>
  <c r="C161" i="19"/>
  <c r="C42" i="19"/>
  <c r="C14" i="19"/>
  <c r="C32" i="19"/>
  <c r="C19" i="19"/>
  <c r="C106" i="19"/>
  <c r="C104" i="19"/>
  <c r="C46" i="19"/>
  <c r="C108" i="19"/>
  <c r="C37" i="19"/>
  <c r="C119" i="19"/>
  <c r="C149" i="19"/>
  <c r="C128" i="19"/>
  <c r="C73" i="19"/>
  <c r="C69" i="19"/>
  <c r="C141" i="19"/>
  <c r="C86" i="19"/>
  <c r="C57" i="19"/>
  <c r="C146" i="19"/>
  <c r="C38" i="19"/>
  <c r="C118" i="19"/>
  <c r="C166" i="19"/>
  <c r="C163" i="19"/>
  <c r="C136" i="19"/>
  <c r="C54" i="19"/>
  <c r="C15" i="19"/>
  <c r="C121" i="19"/>
  <c r="C85" i="19"/>
  <c r="C90" i="19"/>
  <c r="C10" i="19"/>
  <c r="C184" i="19"/>
  <c r="C124" i="19"/>
  <c r="C122" i="19"/>
  <c r="C142" i="19"/>
  <c r="C138" i="19"/>
  <c r="C24" i="19"/>
  <c r="C93" i="19"/>
  <c r="C143" i="19"/>
  <c r="C195" i="19"/>
  <c r="C127" i="19"/>
  <c r="C182" i="19"/>
  <c r="C139" i="19"/>
  <c r="C79" i="19"/>
  <c r="C112" i="19"/>
  <c r="C91" i="19"/>
  <c r="C22" i="19"/>
  <c r="C53" i="19"/>
  <c r="C164" i="19"/>
  <c r="C62" i="19"/>
  <c r="C150" i="19"/>
  <c r="C11" i="19"/>
  <c r="C134" i="19"/>
  <c r="C117" i="19"/>
  <c r="C130" i="19"/>
  <c r="C123" i="19"/>
  <c r="C110" i="19"/>
  <c r="C145" i="19"/>
  <c r="C189" i="19"/>
  <c r="C101" i="19"/>
  <c r="C88" i="19"/>
  <c r="C63" i="19"/>
  <c r="C58" i="19"/>
  <c r="C29" i="19"/>
  <c r="C151" i="19"/>
  <c r="C80" i="19"/>
  <c r="C92" i="19"/>
  <c r="C48" i="19"/>
  <c r="C116" i="19"/>
  <c r="C180" i="19"/>
  <c r="C70" i="19"/>
  <c r="C155" i="19"/>
  <c r="C181" i="19"/>
  <c r="C36" i="19"/>
  <c r="C72" i="19"/>
  <c r="C9" i="19"/>
  <c r="C159" i="19"/>
  <c r="C137" i="19"/>
  <c r="C199" i="19"/>
  <c r="C170" i="19"/>
  <c r="C147" i="19"/>
  <c r="C194" i="19"/>
  <c r="C178" i="19"/>
  <c r="C74" i="19"/>
  <c r="C50" i="19"/>
  <c r="C87" i="19"/>
  <c r="C176" i="19"/>
  <c r="C76" i="19"/>
  <c r="C129" i="19"/>
  <c r="C171" i="19"/>
  <c r="C41" i="19"/>
  <c r="C167" i="19"/>
  <c r="C206" i="19"/>
  <c r="C186" i="19"/>
  <c r="C98" i="19"/>
  <c r="C107" i="19"/>
  <c r="C135" i="19"/>
  <c r="C154" i="19"/>
  <c r="C25" i="19"/>
  <c r="C185" i="19"/>
  <c r="C179" i="19"/>
  <c r="C190" i="19"/>
  <c r="C49" i="19"/>
  <c r="C113" i="19"/>
  <c r="C173" i="19"/>
  <c r="C16" i="19"/>
  <c r="C114" i="19"/>
  <c r="C34" i="19"/>
  <c r="C77" i="19"/>
  <c r="C99" i="19"/>
  <c r="C177" i="19"/>
  <c r="C202" i="19"/>
  <c r="C188" i="19"/>
  <c r="C174" i="19"/>
  <c r="C18" i="19"/>
  <c r="C197" i="19"/>
  <c r="C26" i="19"/>
  <c r="C148" i="19"/>
  <c r="C169" i="19"/>
  <c r="C204" i="19"/>
  <c r="C168" i="19"/>
  <c r="C60" i="19"/>
  <c r="C111" i="19"/>
  <c r="C33" i="19"/>
  <c r="C21" i="19"/>
  <c r="C39" i="19"/>
  <c r="C201" i="19"/>
  <c r="C196" i="19"/>
  <c r="C109" i="19"/>
  <c r="C105" i="19"/>
  <c r="C28" i="19"/>
  <c r="C64" i="19"/>
  <c r="C13" i="19"/>
  <c r="C83" i="19"/>
  <c r="C187" i="19"/>
  <c r="C175" i="19"/>
  <c r="C160" i="19"/>
  <c r="C78" i="19"/>
  <c r="C103" i="19"/>
  <c r="C84" i="19"/>
  <c r="C192" i="19"/>
  <c r="C67" i="19"/>
  <c r="C200" i="19"/>
  <c r="C126" i="19"/>
  <c r="C44" i="19"/>
  <c r="C203" i="19"/>
  <c r="C20" i="19"/>
  <c r="C172" i="19"/>
  <c r="C52" i="19"/>
  <c r="C12" i="19"/>
  <c r="C43" i="19"/>
  <c r="C31" i="19"/>
  <c r="C191" i="19"/>
  <c r="C157" i="19"/>
  <c r="C89" i="19"/>
  <c r="C61" i="19"/>
  <c r="C198" i="19"/>
  <c r="C68" i="19"/>
  <c r="C193" i="19"/>
  <c r="C35" i="19"/>
  <c r="C133" i="19"/>
  <c r="C23" i="19"/>
  <c r="C47" i="19"/>
  <c r="C100" i="19"/>
  <c r="C56" i="19"/>
  <c r="C96" i="19"/>
  <c r="C45" i="19"/>
  <c r="C30" i="19"/>
  <c r="C156" i="19"/>
  <c r="C59" i="19"/>
  <c r="C165" i="19"/>
  <c r="C152" i="19"/>
  <c r="C51" i="19"/>
  <c r="C71" i="19"/>
  <c r="C120" i="19"/>
  <c r="C183" i="19"/>
  <c r="C7" i="19"/>
  <c r="E55" i="18"/>
  <c r="E56" i="18" s="1"/>
  <c r="E64" i="18" s="1"/>
  <c r="F64" i="18" s="1"/>
  <c r="F62" i="18"/>
  <c r="L100" i="19" l="1"/>
  <c r="O100" i="19"/>
  <c r="N100" i="19"/>
  <c r="K100" i="19"/>
  <c r="P100" i="19"/>
  <c r="M100" i="19"/>
  <c r="P34" i="19"/>
  <c r="M34" i="19"/>
  <c r="O34" i="19"/>
  <c r="L34" i="19"/>
  <c r="N34" i="19"/>
  <c r="K34" i="19"/>
  <c r="N185" i="19"/>
  <c r="M185" i="19"/>
  <c r="P185" i="19"/>
  <c r="O185" i="19"/>
  <c r="K185" i="19"/>
  <c r="L185" i="19"/>
  <c r="O167" i="19"/>
  <c r="K167" i="19"/>
  <c r="P167" i="19"/>
  <c r="N167" i="19"/>
  <c r="M167" i="19"/>
  <c r="L167" i="19"/>
  <c r="L74" i="19"/>
  <c r="K74" i="19"/>
  <c r="P74" i="19"/>
  <c r="N74" i="19"/>
  <c r="M74" i="19"/>
  <c r="O74" i="19"/>
  <c r="M9" i="19"/>
  <c r="N9" i="19"/>
  <c r="L9" i="19"/>
  <c r="P9" i="19"/>
  <c r="K9" i="19"/>
  <c r="O9" i="19"/>
  <c r="L116" i="19"/>
  <c r="O116" i="19"/>
  <c r="N116" i="19"/>
  <c r="M116" i="19"/>
  <c r="K116" i="19"/>
  <c r="P116" i="19"/>
  <c r="N88" i="19"/>
  <c r="O88" i="19"/>
  <c r="L88" i="19"/>
  <c r="P88" i="19"/>
  <c r="K88" i="19"/>
  <c r="M88" i="19"/>
  <c r="M134" i="19"/>
  <c r="O134" i="19"/>
  <c r="N134" i="19"/>
  <c r="L134" i="19"/>
  <c r="P134" i="19"/>
  <c r="K134" i="19"/>
  <c r="N112" i="19"/>
  <c r="K112" i="19"/>
  <c r="M112" i="19"/>
  <c r="P112" i="19"/>
  <c r="L112" i="19"/>
  <c r="O112" i="19"/>
  <c r="K24" i="19"/>
  <c r="M24" i="19"/>
  <c r="N24" i="19"/>
  <c r="O24" i="19"/>
  <c r="L24" i="19"/>
  <c r="P24" i="19"/>
  <c r="L85" i="19"/>
  <c r="K85" i="19"/>
  <c r="O85" i="19"/>
  <c r="M85" i="19"/>
  <c r="N85" i="19"/>
  <c r="P85" i="19"/>
  <c r="K38" i="19"/>
  <c r="N38" i="19"/>
  <c r="P38" i="19"/>
  <c r="O38" i="19"/>
  <c r="M38" i="19"/>
  <c r="L38" i="19"/>
  <c r="L149" i="19"/>
  <c r="O149" i="19"/>
  <c r="K149" i="19"/>
  <c r="N149" i="19"/>
  <c r="M149" i="19"/>
  <c r="P149" i="19"/>
  <c r="K32" i="19"/>
  <c r="P32" i="19"/>
  <c r="M32" i="19"/>
  <c r="N32" i="19"/>
  <c r="O32" i="19"/>
  <c r="L32" i="19"/>
  <c r="L131" i="19"/>
  <c r="P131" i="19"/>
  <c r="N131" i="19"/>
  <c r="K131" i="19"/>
  <c r="O131" i="19"/>
  <c r="M131" i="19"/>
  <c r="M153" i="19"/>
  <c r="K153" i="19"/>
  <c r="O153" i="19"/>
  <c r="L153" i="19"/>
  <c r="N153" i="19"/>
  <c r="P153" i="19"/>
  <c r="O66" i="19"/>
  <c r="M66" i="19"/>
  <c r="K66" i="19"/>
  <c r="N66" i="19"/>
  <c r="L66" i="19"/>
  <c r="P66" i="19"/>
  <c r="K84" i="19"/>
  <c r="P84" i="19"/>
  <c r="M84" i="19"/>
  <c r="O84" i="19"/>
  <c r="N84" i="19"/>
  <c r="L84" i="19"/>
  <c r="K47" i="19"/>
  <c r="M47" i="19"/>
  <c r="O47" i="19"/>
  <c r="L47" i="19"/>
  <c r="N47" i="19"/>
  <c r="P47" i="19"/>
  <c r="O18" i="19"/>
  <c r="P18" i="19"/>
  <c r="N18" i="19"/>
  <c r="M18" i="19"/>
  <c r="L18" i="19"/>
  <c r="K18" i="19"/>
  <c r="L114" i="19"/>
  <c r="M114" i="19"/>
  <c r="P114" i="19"/>
  <c r="N114" i="19"/>
  <c r="O114" i="19"/>
  <c r="K114" i="19"/>
  <c r="P25" i="19"/>
  <c r="M25" i="19"/>
  <c r="N25" i="19"/>
  <c r="O25" i="19"/>
  <c r="L25" i="19"/>
  <c r="K25" i="19"/>
  <c r="K41" i="19"/>
  <c r="P41" i="19"/>
  <c r="M41" i="19"/>
  <c r="L41" i="19"/>
  <c r="N41" i="19"/>
  <c r="O41" i="19"/>
  <c r="M178" i="19"/>
  <c r="K178" i="19"/>
  <c r="P178" i="19"/>
  <c r="O178" i="19"/>
  <c r="N178" i="19"/>
  <c r="L178" i="19"/>
  <c r="O72" i="19"/>
  <c r="N72" i="19"/>
  <c r="L72" i="19"/>
  <c r="P72" i="19"/>
  <c r="M72" i="19"/>
  <c r="K72" i="19"/>
  <c r="P48" i="19"/>
  <c r="O48" i="19"/>
  <c r="N48" i="19"/>
  <c r="L48" i="19"/>
  <c r="M48" i="19"/>
  <c r="K48" i="19"/>
  <c r="N101" i="19"/>
  <c r="K101" i="19"/>
  <c r="L101" i="19"/>
  <c r="M101" i="19"/>
  <c r="O101" i="19"/>
  <c r="P101" i="19"/>
  <c r="O11" i="19"/>
  <c r="N11" i="19"/>
  <c r="M11" i="19"/>
  <c r="L11" i="19"/>
  <c r="K11" i="19"/>
  <c r="P11" i="19"/>
  <c r="P79" i="19"/>
  <c r="L79" i="19"/>
  <c r="M79" i="19"/>
  <c r="K79" i="19"/>
  <c r="N79" i="19"/>
  <c r="O79" i="19"/>
  <c r="P138" i="19"/>
  <c r="M138" i="19"/>
  <c r="N138" i="19"/>
  <c r="O138" i="19"/>
  <c r="L138" i="19"/>
  <c r="K138" i="19"/>
  <c r="K121" i="19"/>
  <c r="N121" i="19"/>
  <c r="O121" i="19"/>
  <c r="M121" i="19"/>
  <c r="L121" i="19"/>
  <c r="P121" i="19"/>
  <c r="K146" i="19"/>
  <c r="L146" i="19"/>
  <c r="M146" i="19"/>
  <c r="N146" i="19"/>
  <c r="P146" i="19"/>
  <c r="O146" i="19"/>
  <c r="K119" i="19"/>
  <c r="P119" i="19"/>
  <c r="N119" i="19"/>
  <c r="O119" i="19"/>
  <c r="L119" i="19"/>
  <c r="M119" i="19"/>
  <c r="O14" i="19"/>
  <c r="K14" i="19"/>
  <c r="L14" i="19"/>
  <c r="P14" i="19"/>
  <c r="N14" i="19"/>
  <c r="M14" i="19"/>
  <c r="P132" i="19"/>
  <c r="L132" i="19"/>
  <c r="N132" i="19"/>
  <c r="K132" i="19"/>
  <c r="O132" i="19"/>
  <c r="M132" i="19"/>
  <c r="K94" i="19"/>
  <c r="M94" i="19"/>
  <c r="O94" i="19"/>
  <c r="N94" i="19"/>
  <c r="L94" i="19"/>
  <c r="P94" i="19"/>
  <c r="P61" i="19"/>
  <c r="L61" i="19"/>
  <c r="N61" i="19"/>
  <c r="M61" i="19"/>
  <c r="O61" i="19"/>
  <c r="K61" i="19"/>
  <c r="O111" i="19"/>
  <c r="L111" i="19"/>
  <c r="P111" i="19"/>
  <c r="M111" i="19"/>
  <c r="K111" i="19"/>
  <c r="N111" i="19"/>
  <c r="M59" i="19"/>
  <c r="N59" i="19"/>
  <c r="K59" i="19"/>
  <c r="L59" i="19"/>
  <c r="O59" i="19"/>
  <c r="P59" i="19"/>
  <c r="O157" i="19"/>
  <c r="K157" i="19"/>
  <c r="M157" i="19"/>
  <c r="P157" i="19"/>
  <c r="L157" i="19"/>
  <c r="N157" i="19"/>
  <c r="O78" i="19"/>
  <c r="L78" i="19"/>
  <c r="M78" i="19"/>
  <c r="P78" i="19"/>
  <c r="N78" i="19"/>
  <c r="K78" i="19"/>
  <c r="K60" i="19"/>
  <c r="O60" i="19"/>
  <c r="L60" i="19"/>
  <c r="M60" i="19"/>
  <c r="N60" i="19"/>
  <c r="P60" i="19"/>
  <c r="O174" i="19"/>
  <c r="L174" i="19"/>
  <c r="P174" i="19"/>
  <c r="K174" i="19"/>
  <c r="N174" i="19"/>
  <c r="M174" i="19"/>
  <c r="K16" i="19"/>
  <c r="N16" i="19"/>
  <c r="P16" i="19"/>
  <c r="L16" i="19"/>
  <c r="M16" i="19"/>
  <c r="O16" i="19"/>
  <c r="M154" i="19"/>
  <c r="N154" i="19"/>
  <c r="P154" i="19"/>
  <c r="O154" i="19"/>
  <c r="L154" i="19"/>
  <c r="K154" i="19"/>
  <c r="K171" i="19"/>
  <c r="P171" i="19"/>
  <c r="L171" i="19"/>
  <c r="M171" i="19"/>
  <c r="O171" i="19"/>
  <c r="N171" i="19"/>
  <c r="N194" i="19"/>
  <c r="P194" i="19"/>
  <c r="M194" i="19"/>
  <c r="K194" i="19"/>
  <c r="L194" i="19"/>
  <c r="O194" i="19"/>
  <c r="P36" i="19"/>
  <c r="L36" i="19"/>
  <c r="N36" i="19"/>
  <c r="K36" i="19"/>
  <c r="M36" i="19"/>
  <c r="O36" i="19"/>
  <c r="L92" i="19"/>
  <c r="P92" i="19"/>
  <c r="N92" i="19"/>
  <c r="K92" i="19"/>
  <c r="O92" i="19"/>
  <c r="M92" i="19"/>
  <c r="N189" i="19"/>
  <c r="M189" i="19"/>
  <c r="O189" i="19"/>
  <c r="L189" i="19"/>
  <c r="K189" i="19"/>
  <c r="P189" i="19"/>
  <c r="N150" i="19"/>
  <c r="O150" i="19"/>
  <c r="P150" i="19"/>
  <c r="K150" i="19"/>
  <c r="L150" i="19"/>
  <c r="M150" i="19"/>
  <c r="N139" i="19"/>
  <c r="O139" i="19"/>
  <c r="M139" i="19"/>
  <c r="K139" i="19"/>
  <c r="L139" i="19"/>
  <c r="P139" i="19"/>
  <c r="O142" i="19"/>
  <c r="L142" i="19"/>
  <c r="K142" i="19"/>
  <c r="P142" i="19"/>
  <c r="M142" i="19"/>
  <c r="N142" i="19"/>
  <c r="L15" i="19"/>
  <c r="P15" i="19"/>
  <c r="M15" i="19"/>
  <c r="K15" i="19"/>
  <c r="N15" i="19"/>
  <c r="O15" i="19"/>
  <c r="M57" i="19"/>
  <c r="K57" i="19"/>
  <c r="L57" i="19"/>
  <c r="N57" i="19"/>
  <c r="P57" i="19"/>
  <c r="O57" i="19"/>
  <c r="M37" i="19"/>
  <c r="K37" i="19"/>
  <c r="N37" i="19"/>
  <c r="O37" i="19"/>
  <c r="L37" i="19"/>
  <c r="P37" i="19"/>
  <c r="K42" i="19"/>
  <c r="M42" i="19"/>
  <c r="L42" i="19"/>
  <c r="P42" i="19"/>
  <c r="N42" i="19"/>
  <c r="O42" i="19"/>
  <c r="O205" i="19"/>
  <c r="K205" i="19"/>
  <c r="P205" i="19"/>
  <c r="L205" i="19"/>
  <c r="M205" i="19"/>
  <c r="N205" i="19"/>
  <c r="K75" i="19"/>
  <c r="P75" i="19"/>
  <c r="L75" i="19"/>
  <c r="O75" i="19"/>
  <c r="M75" i="19"/>
  <c r="N75" i="19"/>
  <c r="N162" i="19"/>
  <c r="K162" i="19"/>
  <c r="P162" i="19"/>
  <c r="O162" i="19"/>
  <c r="M162" i="19"/>
  <c r="L162" i="19"/>
  <c r="O64" i="19"/>
  <c r="P64" i="19"/>
  <c r="L64" i="19"/>
  <c r="N64" i="19"/>
  <c r="K64" i="19"/>
  <c r="M64" i="19"/>
  <c r="L20" i="19"/>
  <c r="N20" i="19"/>
  <c r="M20" i="19"/>
  <c r="O20" i="19"/>
  <c r="K20" i="19"/>
  <c r="P20" i="19"/>
  <c r="K23" i="19"/>
  <c r="N23" i="19"/>
  <c r="O23" i="19"/>
  <c r="M23" i="19"/>
  <c r="L23" i="19"/>
  <c r="P23" i="19"/>
  <c r="L203" i="19"/>
  <c r="P203" i="19"/>
  <c r="O203" i="19"/>
  <c r="M203" i="19"/>
  <c r="K203" i="19"/>
  <c r="N203" i="19"/>
  <c r="N105" i="19"/>
  <c r="K105" i="19"/>
  <c r="P105" i="19"/>
  <c r="O105" i="19"/>
  <c r="L105" i="19"/>
  <c r="M105" i="19"/>
  <c r="L7" i="19"/>
  <c r="N7" i="19"/>
  <c r="P7" i="19"/>
  <c r="M7" i="19"/>
  <c r="O7" i="19"/>
  <c r="K7" i="19"/>
  <c r="P156" i="19"/>
  <c r="O156" i="19"/>
  <c r="L156" i="19"/>
  <c r="N156" i="19"/>
  <c r="K156" i="19"/>
  <c r="M156" i="19"/>
  <c r="M133" i="19"/>
  <c r="P133" i="19"/>
  <c r="K133" i="19"/>
  <c r="L133" i="19"/>
  <c r="N133" i="19"/>
  <c r="O133" i="19"/>
  <c r="M191" i="19"/>
  <c r="N191" i="19"/>
  <c r="O191" i="19"/>
  <c r="K191" i="19"/>
  <c r="L191" i="19"/>
  <c r="P191" i="19"/>
  <c r="K44" i="19"/>
  <c r="O44" i="19"/>
  <c r="M44" i="19"/>
  <c r="P44" i="19"/>
  <c r="N44" i="19"/>
  <c r="L44" i="19"/>
  <c r="K160" i="19"/>
  <c r="N160" i="19"/>
  <c r="O160" i="19"/>
  <c r="P160" i="19"/>
  <c r="M160" i="19"/>
  <c r="L160" i="19"/>
  <c r="L109" i="19"/>
  <c r="N109" i="19"/>
  <c r="M109" i="19"/>
  <c r="P109" i="19"/>
  <c r="O109" i="19"/>
  <c r="K109" i="19"/>
  <c r="K168" i="19"/>
  <c r="P168" i="19"/>
  <c r="M168" i="19"/>
  <c r="N168" i="19"/>
  <c r="L168" i="19"/>
  <c r="O168" i="19"/>
  <c r="K188" i="19"/>
  <c r="M188" i="19"/>
  <c r="P188" i="19"/>
  <c r="O188" i="19"/>
  <c r="L188" i="19"/>
  <c r="N188" i="19"/>
  <c r="O173" i="19"/>
  <c r="L173" i="19"/>
  <c r="M173" i="19"/>
  <c r="K173" i="19"/>
  <c r="N173" i="19"/>
  <c r="P173" i="19"/>
  <c r="L135" i="19"/>
  <c r="P135" i="19"/>
  <c r="K135" i="19"/>
  <c r="M135" i="19"/>
  <c r="N135" i="19"/>
  <c r="O135" i="19"/>
  <c r="O129" i="19"/>
  <c r="N129" i="19"/>
  <c r="P129" i="19"/>
  <c r="K129" i="19"/>
  <c r="M129" i="19"/>
  <c r="L129" i="19"/>
  <c r="K147" i="19"/>
  <c r="M147" i="19"/>
  <c r="L147" i="19"/>
  <c r="P147" i="19"/>
  <c r="O147" i="19"/>
  <c r="N147" i="19"/>
  <c r="O17" i="19"/>
  <c r="P17" i="19"/>
  <c r="M17" i="19"/>
  <c r="L17" i="19"/>
  <c r="K17" i="19"/>
  <c r="N17" i="19"/>
  <c r="P80" i="19"/>
  <c r="L80" i="19"/>
  <c r="M80" i="19"/>
  <c r="O80" i="19"/>
  <c r="K80" i="19"/>
  <c r="N80" i="19"/>
  <c r="L145" i="19"/>
  <c r="N145" i="19"/>
  <c r="P145" i="19"/>
  <c r="M145" i="19"/>
  <c r="O145" i="19"/>
  <c r="K145" i="19"/>
  <c r="M62" i="19"/>
  <c r="O62" i="19"/>
  <c r="N62" i="19"/>
  <c r="L62" i="19"/>
  <c r="P62" i="19"/>
  <c r="K62" i="19"/>
  <c r="O182" i="19"/>
  <c r="K182" i="19"/>
  <c r="M182" i="19"/>
  <c r="N182" i="19"/>
  <c r="P182" i="19"/>
  <c r="L182" i="19"/>
  <c r="O122" i="19"/>
  <c r="M122" i="19"/>
  <c r="L122" i="19"/>
  <c r="K122" i="19"/>
  <c r="P122" i="19"/>
  <c r="N122" i="19"/>
  <c r="P54" i="19"/>
  <c r="O54" i="19"/>
  <c r="L54" i="19"/>
  <c r="K54" i="19"/>
  <c r="N54" i="19"/>
  <c r="M54" i="19"/>
  <c r="O86" i="19"/>
  <c r="P86" i="19"/>
  <c r="L86" i="19"/>
  <c r="K86" i="19"/>
  <c r="M86" i="19"/>
  <c r="N86" i="19"/>
  <c r="P108" i="19"/>
  <c r="K108" i="19"/>
  <c r="O108" i="19"/>
  <c r="L108" i="19"/>
  <c r="N108" i="19"/>
  <c r="M108" i="19"/>
  <c r="M161" i="19"/>
  <c r="N161" i="19"/>
  <c r="L161" i="19"/>
  <c r="K161" i="19"/>
  <c r="O161" i="19"/>
  <c r="P161" i="19"/>
  <c r="O144" i="19"/>
  <c r="M144" i="19"/>
  <c r="N144" i="19"/>
  <c r="K144" i="19"/>
  <c r="P144" i="19"/>
  <c r="L144" i="19"/>
  <c r="O65" i="19"/>
  <c r="N65" i="19"/>
  <c r="L65" i="19"/>
  <c r="M65" i="19"/>
  <c r="P65" i="19"/>
  <c r="K65" i="19"/>
  <c r="O82" i="19"/>
  <c r="P82" i="19"/>
  <c r="M82" i="19"/>
  <c r="K82" i="19"/>
  <c r="N82" i="19"/>
  <c r="L82" i="19"/>
  <c r="M172" i="19"/>
  <c r="N172" i="19"/>
  <c r="P172" i="19"/>
  <c r="L172" i="19"/>
  <c r="K172" i="19"/>
  <c r="O172" i="19"/>
  <c r="N28" i="19"/>
  <c r="P28" i="19"/>
  <c r="L28" i="19"/>
  <c r="K28" i="19"/>
  <c r="M28" i="19"/>
  <c r="O28" i="19"/>
  <c r="O183" i="19"/>
  <c r="M183" i="19"/>
  <c r="L183" i="19"/>
  <c r="K183" i="19"/>
  <c r="P183" i="19"/>
  <c r="N183" i="19"/>
  <c r="N175" i="19"/>
  <c r="L175" i="19"/>
  <c r="P175" i="19"/>
  <c r="O175" i="19"/>
  <c r="K175" i="19"/>
  <c r="M175" i="19"/>
  <c r="K113" i="19"/>
  <c r="O113" i="19"/>
  <c r="N113" i="19"/>
  <c r="L113" i="19"/>
  <c r="P113" i="19"/>
  <c r="M113" i="19"/>
  <c r="P181" i="19"/>
  <c r="N181" i="19"/>
  <c r="K181" i="19"/>
  <c r="M181" i="19"/>
  <c r="O181" i="19"/>
  <c r="L181" i="19"/>
  <c r="K127" i="19"/>
  <c r="O127" i="19"/>
  <c r="N127" i="19"/>
  <c r="P127" i="19"/>
  <c r="L127" i="19"/>
  <c r="M127" i="19"/>
  <c r="P124" i="19"/>
  <c r="L124" i="19"/>
  <c r="O124" i="19"/>
  <c r="N124" i="19"/>
  <c r="K124" i="19"/>
  <c r="M124" i="19"/>
  <c r="M46" i="19"/>
  <c r="L46" i="19"/>
  <c r="N46" i="19"/>
  <c r="P46" i="19"/>
  <c r="O46" i="19"/>
  <c r="K46" i="19"/>
  <c r="P102" i="19"/>
  <c r="O102" i="19"/>
  <c r="N102" i="19"/>
  <c r="L102" i="19"/>
  <c r="K102" i="19"/>
  <c r="M102" i="19"/>
  <c r="L158" i="19"/>
  <c r="K158" i="19"/>
  <c r="N158" i="19"/>
  <c r="P158" i="19"/>
  <c r="O158" i="19"/>
  <c r="M158" i="19"/>
  <c r="O27" i="19"/>
  <c r="L27" i="19"/>
  <c r="M27" i="19"/>
  <c r="K27" i="19"/>
  <c r="P27" i="19"/>
  <c r="N27" i="19"/>
  <c r="O33" i="19"/>
  <c r="L33" i="19"/>
  <c r="K33" i="19"/>
  <c r="N33" i="19"/>
  <c r="P33" i="19"/>
  <c r="M33" i="19"/>
  <c r="N165" i="19"/>
  <c r="P165" i="19"/>
  <c r="L165" i="19"/>
  <c r="M165" i="19"/>
  <c r="K165" i="19"/>
  <c r="O165" i="19"/>
  <c r="O89" i="19"/>
  <c r="L89" i="19"/>
  <c r="M89" i="19"/>
  <c r="K89" i="19"/>
  <c r="N89" i="19"/>
  <c r="P89" i="19"/>
  <c r="O30" i="19"/>
  <c r="M30" i="19"/>
  <c r="N30" i="19"/>
  <c r="P30" i="19"/>
  <c r="K30" i="19"/>
  <c r="L30" i="19"/>
  <c r="O126" i="19"/>
  <c r="L126" i="19"/>
  <c r="K126" i="19"/>
  <c r="N126" i="19"/>
  <c r="P126" i="19"/>
  <c r="M126" i="19"/>
  <c r="O202" i="19"/>
  <c r="L202" i="19"/>
  <c r="P202" i="19"/>
  <c r="M202" i="19"/>
  <c r="K202" i="19"/>
  <c r="N202" i="19"/>
  <c r="L170" i="19"/>
  <c r="N170" i="19"/>
  <c r="P170" i="19"/>
  <c r="O170" i="19"/>
  <c r="K170" i="19"/>
  <c r="M170" i="19"/>
  <c r="M164" i="19"/>
  <c r="N164" i="19"/>
  <c r="K164" i="19"/>
  <c r="O164" i="19"/>
  <c r="P164" i="19"/>
  <c r="L164" i="19"/>
  <c r="K141" i="19"/>
  <c r="P141" i="19"/>
  <c r="L141" i="19"/>
  <c r="O141" i="19"/>
  <c r="M141" i="19"/>
  <c r="N141" i="19"/>
  <c r="K43" i="19"/>
  <c r="M43" i="19"/>
  <c r="L43" i="19"/>
  <c r="N43" i="19"/>
  <c r="O43" i="19"/>
  <c r="P43" i="19"/>
  <c r="N200" i="19"/>
  <c r="M200" i="19"/>
  <c r="L200" i="19"/>
  <c r="K200" i="19"/>
  <c r="O200" i="19"/>
  <c r="P200" i="19"/>
  <c r="K187" i="19"/>
  <c r="L187" i="19"/>
  <c r="O187" i="19"/>
  <c r="M187" i="19"/>
  <c r="P187" i="19"/>
  <c r="N187" i="19"/>
  <c r="M201" i="19"/>
  <c r="O201" i="19"/>
  <c r="P201" i="19"/>
  <c r="N201" i="19"/>
  <c r="K201" i="19"/>
  <c r="L201" i="19"/>
  <c r="L169" i="19"/>
  <c r="K169" i="19"/>
  <c r="M169" i="19"/>
  <c r="P169" i="19"/>
  <c r="O169" i="19"/>
  <c r="N169" i="19"/>
  <c r="N177" i="19"/>
  <c r="P177" i="19"/>
  <c r="M177" i="19"/>
  <c r="L177" i="19"/>
  <c r="K177" i="19"/>
  <c r="O177" i="19"/>
  <c r="M49" i="19"/>
  <c r="N49" i="19"/>
  <c r="O49" i="19"/>
  <c r="L49" i="19"/>
  <c r="K49" i="19"/>
  <c r="P49" i="19"/>
  <c r="O98" i="19"/>
  <c r="N98" i="19"/>
  <c r="P98" i="19"/>
  <c r="L98" i="19"/>
  <c r="M98" i="19"/>
  <c r="K98" i="19"/>
  <c r="K176" i="19"/>
  <c r="N176" i="19"/>
  <c r="L176" i="19"/>
  <c r="P176" i="19"/>
  <c r="M176" i="19"/>
  <c r="O176" i="19"/>
  <c r="M199" i="19"/>
  <c r="P199" i="19"/>
  <c r="L199" i="19"/>
  <c r="O199" i="19"/>
  <c r="N199" i="19"/>
  <c r="K199" i="19"/>
  <c r="N155" i="19"/>
  <c r="O155" i="19"/>
  <c r="P155" i="19"/>
  <c r="L155" i="19"/>
  <c r="K155" i="19"/>
  <c r="M155" i="19"/>
  <c r="O29" i="19"/>
  <c r="L29" i="19"/>
  <c r="K29" i="19"/>
  <c r="N29" i="19"/>
  <c r="M29" i="19"/>
  <c r="P29" i="19"/>
  <c r="K123" i="19"/>
  <c r="M123" i="19"/>
  <c r="O123" i="19"/>
  <c r="L123" i="19"/>
  <c r="P123" i="19"/>
  <c r="N123" i="19"/>
  <c r="L53" i="19"/>
  <c r="K53" i="19"/>
  <c r="N53" i="19"/>
  <c r="M53" i="19"/>
  <c r="O53" i="19"/>
  <c r="P53" i="19"/>
  <c r="K195" i="19"/>
  <c r="N195" i="19"/>
  <c r="L195" i="19"/>
  <c r="M195" i="19"/>
  <c r="P195" i="19"/>
  <c r="O195" i="19"/>
  <c r="P184" i="19"/>
  <c r="M184" i="19"/>
  <c r="O184" i="19"/>
  <c r="N184" i="19"/>
  <c r="L184" i="19"/>
  <c r="K184" i="19"/>
  <c r="N163" i="19"/>
  <c r="O163" i="19"/>
  <c r="L163" i="19"/>
  <c r="M163" i="19"/>
  <c r="P163" i="19"/>
  <c r="K163" i="19"/>
  <c r="O69" i="19"/>
  <c r="M69" i="19"/>
  <c r="N69" i="19"/>
  <c r="K69" i="19"/>
  <c r="P69" i="19"/>
  <c r="L69" i="19"/>
  <c r="P104" i="19"/>
  <c r="N104" i="19"/>
  <c r="K104" i="19"/>
  <c r="L104" i="19"/>
  <c r="M104" i="19"/>
  <c r="O104" i="19"/>
  <c r="L55" i="19"/>
  <c r="K55" i="19"/>
  <c r="P55" i="19"/>
  <c r="M55" i="19"/>
  <c r="N55" i="19"/>
  <c r="O55" i="19"/>
  <c r="P81" i="19"/>
  <c r="N81" i="19"/>
  <c r="L81" i="19"/>
  <c r="M81" i="19"/>
  <c r="O81" i="19"/>
  <c r="K81" i="19"/>
  <c r="O140" i="19"/>
  <c r="P140" i="19"/>
  <c r="L140" i="19"/>
  <c r="M140" i="19"/>
  <c r="N140" i="19"/>
  <c r="K140" i="19"/>
  <c r="L31" i="19"/>
  <c r="N31" i="19"/>
  <c r="M31" i="19"/>
  <c r="K31" i="19"/>
  <c r="P31" i="19"/>
  <c r="O31" i="19"/>
  <c r="O204" i="19"/>
  <c r="K204" i="19"/>
  <c r="P204" i="19"/>
  <c r="L204" i="19"/>
  <c r="M204" i="19"/>
  <c r="N204" i="19"/>
  <c r="N76" i="19"/>
  <c r="K76" i="19"/>
  <c r="O76" i="19"/>
  <c r="L76" i="19"/>
  <c r="P76" i="19"/>
  <c r="M76" i="19"/>
  <c r="O110" i="19"/>
  <c r="L110" i="19"/>
  <c r="K110" i="19"/>
  <c r="P110" i="19"/>
  <c r="N110" i="19"/>
  <c r="M110" i="19"/>
  <c r="M125" i="19"/>
  <c r="P125" i="19"/>
  <c r="O125" i="19"/>
  <c r="N125" i="19"/>
  <c r="K125" i="19"/>
  <c r="L125" i="19"/>
  <c r="N193" i="19"/>
  <c r="M193" i="19"/>
  <c r="O193" i="19"/>
  <c r="K193" i="19"/>
  <c r="L193" i="19"/>
  <c r="P193" i="19"/>
  <c r="K71" i="19"/>
  <c r="O71" i="19"/>
  <c r="P71" i="19"/>
  <c r="N71" i="19"/>
  <c r="M71" i="19"/>
  <c r="L71" i="19"/>
  <c r="L96" i="19"/>
  <c r="M96" i="19"/>
  <c r="N96" i="19"/>
  <c r="P96" i="19"/>
  <c r="O96" i="19"/>
  <c r="K96" i="19"/>
  <c r="M68" i="19"/>
  <c r="K68" i="19"/>
  <c r="L68" i="19"/>
  <c r="P68" i="19"/>
  <c r="O68" i="19"/>
  <c r="N68" i="19"/>
  <c r="M12" i="19"/>
  <c r="N12" i="19"/>
  <c r="K12" i="19"/>
  <c r="P12" i="19"/>
  <c r="L12" i="19"/>
  <c r="O12" i="19"/>
  <c r="N67" i="19"/>
  <c r="K67" i="19"/>
  <c r="O67" i="19"/>
  <c r="L67" i="19"/>
  <c r="P67" i="19"/>
  <c r="M67" i="19"/>
  <c r="N83" i="19"/>
  <c r="K83" i="19"/>
  <c r="M83" i="19"/>
  <c r="P83" i="19"/>
  <c r="L83" i="19"/>
  <c r="O83" i="19"/>
  <c r="K39" i="19"/>
  <c r="L39" i="19"/>
  <c r="O39" i="19"/>
  <c r="M39" i="19"/>
  <c r="P39" i="19"/>
  <c r="N39" i="19"/>
  <c r="P148" i="19"/>
  <c r="K148" i="19"/>
  <c r="M148" i="19"/>
  <c r="O148" i="19"/>
  <c r="N148" i="19"/>
  <c r="L148" i="19"/>
  <c r="P99" i="19"/>
  <c r="M99" i="19"/>
  <c r="L99" i="19"/>
  <c r="N99" i="19"/>
  <c r="K99" i="19"/>
  <c r="O99" i="19"/>
  <c r="M190" i="19"/>
  <c r="O190" i="19"/>
  <c r="L190" i="19"/>
  <c r="K190" i="19"/>
  <c r="P190" i="19"/>
  <c r="N190" i="19"/>
  <c r="L186" i="19"/>
  <c r="P186" i="19"/>
  <c r="M186" i="19"/>
  <c r="O186" i="19"/>
  <c r="N186" i="19"/>
  <c r="K186" i="19"/>
  <c r="P87" i="19"/>
  <c r="O87" i="19"/>
  <c r="N87" i="19"/>
  <c r="M87" i="19"/>
  <c r="L87" i="19"/>
  <c r="K87" i="19"/>
  <c r="L137" i="19"/>
  <c r="O137" i="19"/>
  <c r="P137" i="19"/>
  <c r="N137" i="19"/>
  <c r="K137" i="19"/>
  <c r="M137" i="19"/>
  <c r="L70" i="19"/>
  <c r="P70" i="19"/>
  <c r="O70" i="19"/>
  <c r="M70" i="19"/>
  <c r="N70" i="19"/>
  <c r="K70" i="19"/>
  <c r="L58" i="19"/>
  <c r="O58" i="19"/>
  <c r="K58" i="19"/>
  <c r="N58" i="19"/>
  <c r="P58" i="19"/>
  <c r="M58" i="19"/>
  <c r="M130" i="19"/>
  <c r="O130" i="19"/>
  <c r="L130" i="19"/>
  <c r="N130" i="19"/>
  <c r="K130" i="19"/>
  <c r="P130" i="19"/>
  <c r="M22" i="19"/>
  <c r="L22" i="19"/>
  <c r="K22" i="19"/>
  <c r="N22" i="19"/>
  <c r="P22" i="19"/>
  <c r="O22" i="19"/>
  <c r="N143" i="19"/>
  <c r="O143" i="19"/>
  <c r="M143" i="19"/>
  <c r="L143" i="19"/>
  <c r="K143" i="19"/>
  <c r="P143" i="19"/>
  <c r="O10" i="19"/>
  <c r="N10" i="19"/>
  <c r="M10" i="19"/>
  <c r="K10" i="19"/>
  <c r="L10" i="19"/>
  <c r="P10" i="19"/>
  <c r="M166" i="19"/>
  <c r="L166" i="19"/>
  <c r="N166" i="19"/>
  <c r="O166" i="19"/>
  <c r="P166" i="19"/>
  <c r="K166" i="19"/>
  <c r="M73" i="19"/>
  <c r="O73" i="19"/>
  <c r="L73" i="19"/>
  <c r="P73" i="19"/>
  <c r="K73" i="19"/>
  <c r="N73" i="19"/>
  <c r="O106" i="19"/>
  <c r="N106" i="19"/>
  <c r="K106" i="19"/>
  <c r="P106" i="19"/>
  <c r="L106" i="19"/>
  <c r="M106" i="19"/>
  <c r="K8" i="19"/>
  <c r="O8" i="19"/>
  <c r="L8" i="19"/>
  <c r="N8" i="19"/>
  <c r="P8" i="19"/>
  <c r="M8" i="19"/>
  <c r="L95" i="19"/>
  <c r="O95" i="19"/>
  <c r="P95" i="19"/>
  <c r="M95" i="19"/>
  <c r="N95" i="19"/>
  <c r="K95" i="19"/>
  <c r="M152" i="19"/>
  <c r="N152" i="19"/>
  <c r="P152" i="19"/>
  <c r="L152" i="19"/>
  <c r="O152" i="19"/>
  <c r="K152" i="19"/>
  <c r="N197" i="19"/>
  <c r="M197" i="19"/>
  <c r="O197" i="19"/>
  <c r="L197" i="19"/>
  <c r="P197" i="19"/>
  <c r="K197" i="19"/>
  <c r="N103" i="19"/>
  <c r="M103" i="19"/>
  <c r="K103" i="19"/>
  <c r="L103" i="19"/>
  <c r="O103" i="19"/>
  <c r="P103" i="19"/>
  <c r="L35" i="19"/>
  <c r="M35" i="19"/>
  <c r="P35" i="19"/>
  <c r="K35" i="19"/>
  <c r="N35" i="19"/>
  <c r="O35" i="19"/>
  <c r="O196" i="19"/>
  <c r="K196" i="19"/>
  <c r="M196" i="19"/>
  <c r="P196" i="19"/>
  <c r="L196" i="19"/>
  <c r="N196" i="19"/>
  <c r="M107" i="19"/>
  <c r="P107" i="19"/>
  <c r="N107" i="19"/>
  <c r="K107" i="19"/>
  <c r="L107" i="19"/>
  <c r="O107" i="19"/>
  <c r="P151" i="19"/>
  <c r="K151" i="19"/>
  <c r="L151" i="19"/>
  <c r="M151" i="19"/>
  <c r="O151" i="19"/>
  <c r="N151" i="19"/>
  <c r="M136" i="19"/>
  <c r="P136" i="19"/>
  <c r="K136" i="19"/>
  <c r="L136" i="19"/>
  <c r="O136" i="19"/>
  <c r="N136" i="19"/>
  <c r="L120" i="19"/>
  <c r="P120" i="19"/>
  <c r="K120" i="19"/>
  <c r="N120" i="19"/>
  <c r="M120" i="19"/>
  <c r="O120" i="19"/>
  <c r="P45" i="19"/>
  <c r="M45" i="19"/>
  <c r="O45" i="19"/>
  <c r="N45" i="19"/>
  <c r="L45" i="19"/>
  <c r="K45" i="19"/>
  <c r="L51" i="19"/>
  <c r="O51" i="19"/>
  <c r="M51" i="19"/>
  <c r="P51" i="19"/>
  <c r="N51" i="19"/>
  <c r="K51" i="19"/>
  <c r="M56" i="19"/>
  <c r="P56" i="19"/>
  <c r="K56" i="19"/>
  <c r="O56" i="19"/>
  <c r="L56" i="19"/>
  <c r="N56" i="19"/>
  <c r="M198" i="19"/>
  <c r="P198" i="19"/>
  <c r="N198" i="19"/>
  <c r="O198" i="19"/>
  <c r="K198" i="19"/>
  <c r="L198" i="19"/>
  <c r="O52" i="19"/>
  <c r="M52" i="19"/>
  <c r="L52" i="19"/>
  <c r="P52" i="19"/>
  <c r="K52" i="19"/>
  <c r="N52" i="19"/>
  <c r="K192" i="19"/>
  <c r="O192" i="19"/>
  <c r="M192" i="19"/>
  <c r="L192" i="19"/>
  <c r="N192" i="19"/>
  <c r="P192" i="19"/>
  <c r="N13" i="19"/>
  <c r="L13" i="19"/>
  <c r="O13" i="19"/>
  <c r="M13" i="19"/>
  <c r="K13" i="19"/>
  <c r="P13" i="19"/>
  <c r="P21" i="19"/>
  <c r="L21" i="19"/>
  <c r="K21" i="19"/>
  <c r="N21" i="19"/>
  <c r="O21" i="19"/>
  <c r="M21" i="19"/>
  <c r="K26" i="19"/>
  <c r="N26" i="19"/>
  <c r="P26" i="19"/>
  <c r="M26" i="19"/>
  <c r="O26" i="19"/>
  <c r="L26" i="19"/>
  <c r="K77" i="19"/>
  <c r="L77" i="19"/>
  <c r="N77" i="19"/>
  <c r="M77" i="19"/>
  <c r="P77" i="19"/>
  <c r="O77" i="19"/>
  <c r="P179" i="19"/>
  <c r="O179" i="19"/>
  <c r="M179" i="19"/>
  <c r="N179" i="19"/>
  <c r="K179" i="19"/>
  <c r="L179" i="19"/>
  <c r="N206" i="19"/>
  <c r="K206" i="19"/>
  <c r="O206" i="19"/>
  <c r="P206" i="19"/>
  <c r="L206" i="19"/>
  <c r="M206" i="19"/>
  <c r="P50" i="19"/>
  <c r="M50" i="19"/>
  <c r="N50" i="19"/>
  <c r="L50" i="19"/>
  <c r="K50" i="19"/>
  <c r="O50" i="19"/>
  <c r="O159" i="19"/>
  <c r="L159" i="19"/>
  <c r="N159" i="19"/>
  <c r="K159" i="19"/>
  <c r="P159" i="19"/>
  <c r="M159" i="19"/>
  <c r="K180" i="19"/>
  <c r="M180" i="19"/>
  <c r="P180" i="19"/>
  <c r="L180" i="19"/>
  <c r="O180" i="19"/>
  <c r="N180" i="19"/>
  <c r="L63" i="19"/>
  <c r="P63" i="19"/>
  <c r="K63" i="19"/>
  <c r="M63" i="19"/>
  <c r="N63" i="19"/>
  <c r="O63" i="19"/>
  <c r="L117" i="19"/>
  <c r="K117" i="19"/>
  <c r="N117" i="19"/>
  <c r="P117" i="19"/>
  <c r="M117" i="19"/>
  <c r="O117" i="19"/>
  <c r="N91" i="19"/>
  <c r="L91" i="19"/>
  <c r="K91" i="19"/>
  <c r="M91" i="19"/>
  <c r="O91" i="19"/>
  <c r="P91" i="19"/>
  <c r="L93" i="19"/>
  <c r="P93" i="19"/>
  <c r="K93" i="19"/>
  <c r="M93" i="19"/>
  <c r="N93" i="19"/>
  <c r="O93" i="19"/>
  <c r="M90" i="19"/>
  <c r="L90" i="19"/>
  <c r="N90" i="19"/>
  <c r="P90" i="19"/>
  <c r="K90" i="19"/>
  <c r="O90" i="19"/>
  <c r="L118" i="19"/>
  <c r="P118" i="19"/>
  <c r="M118" i="19"/>
  <c r="O118" i="19"/>
  <c r="K118" i="19"/>
  <c r="N118" i="19"/>
  <c r="L128" i="19"/>
  <c r="M128" i="19"/>
  <c r="P128" i="19"/>
  <c r="O128" i="19"/>
  <c r="N128" i="19"/>
  <c r="K128" i="19"/>
  <c r="P19" i="19"/>
  <c r="O19" i="19"/>
  <c r="L19" i="19"/>
  <c r="N19" i="19"/>
  <c r="M19" i="19"/>
  <c r="K19" i="19"/>
  <c r="N40" i="19"/>
  <c r="O40" i="19"/>
  <c r="P40" i="19"/>
  <c r="K40" i="19"/>
  <c r="L40" i="19"/>
  <c r="M40" i="19"/>
  <c r="N97" i="19"/>
  <c r="L97" i="19"/>
  <c r="K97" i="19"/>
  <c r="P97" i="19"/>
  <c r="M97" i="19"/>
  <c r="O97" i="19"/>
  <c r="K115" i="19"/>
  <c r="L115" i="19"/>
  <c r="O115" i="19"/>
  <c r="M115" i="19"/>
  <c r="P115" i="19"/>
  <c r="N115" i="19"/>
  <c r="D2" i="8"/>
  <c r="D1" i="9"/>
  <c r="B42" i="1"/>
  <c r="B45" i="1"/>
  <c r="B44" i="1"/>
  <c r="F40" i="1" s="1"/>
  <c r="F41" i="1"/>
  <c r="B43" i="1"/>
  <c r="C19" i="18" l="1"/>
  <c r="C24" i="18"/>
  <c r="C22" i="18"/>
  <c r="C20" i="18"/>
  <c r="C23" i="18"/>
  <c r="C38" i="1" l="1"/>
  <c r="C34" i="1"/>
  <c r="C37" i="1"/>
  <c r="D24" i="18"/>
  <c r="F24" i="18" s="1"/>
  <c r="C35" i="1"/>
  <c r="C36" i="1"/>
  <c r="E19" i="18"/>
  <c r="E35" i="1" l="1"/>
  <c r="F35" i="1" s="1"/>
  <c r="E24" i="18"/>
  <c r="E37" i="1"/>
  <c r="F37" i="1" s="1"/>
  <c r="E34" i="1"/>
  <c r="F34" i="1" s="1"/>
  <c r="C26" i="13"/>
  <c r="D36" i="1"/>
  <c r="E36" i="1"/>
  <c r="F36" i="1" s="1"/>
  <c r="E38" i="1"/>
  <c r="F38" i="1" s="1"/>
  <c r="C27" i="13" l="1"/>
  <c r="C28" i="13"/>
  <c r="B6" i="6"/>
  <c r="J3" i="6" l="1"/>
  <c r="B11" i="6"/>
  <c r="AS2" i="28"/>
  <c r="AS3" i="28" s="1"/>
  <c r="AS4" i="28" s="1"/>
  <c r="AS5" i="28" s="1"/>
  <c r="AS6" i="28" s="1"/>
  <c r="AS7" i="28" s="1"/>
  <c r="AS8" i="28" s="1"/>
  <c r="AS9" i="28" s="1"/>
  <c r="AS10" i="28" s="1"/>
  <c r="AS11" i="28" s="1"/>
  <c r="AS12" i="28" s="1"/>
  <c r="AS13" i="28" s="1"/>
  <c r="AS14" i="28" s="1"/>
  <c r="AS15" i="28" s="1"/>
  <c r="AS16" i="28" s="1"/>
  <c r="AS17" i="28" s="1"/>
  <c r="AS18" i="28" s="1"/>
  <c r="AS19" i="28" s="1"/>
  <c r="AS20" i="28" s="1"/>
  <c r="AS21" i="28" s="1"/>
  <c r="AS22" i="28" s="1"/>
  <c r="AS23" i="28" s="1"/>
  <c r="AS24" i="28" s="1"/>
  <c r="AS25" i="28" s="1"/>
  <c r="AS26" i="28" s="1"/>
  <c r="AS27" i="28" s="1"/>
  <c r="AS28" i="28" s="1"/>
  <c r="AS29" i="28" s="1"/>
  <c r="AS30" i="28" s="1"/>
  <c r="AS31" i="28" s="1"/>
  <c r="AS32" i="28" s="1"/>
  <c r="AS33" i="28" s="1"/>
  <c r="AS34" i="28" s="1"/>
  <c r="AS35" i="28" s="1"/>
  <c r="AS36" i="28" s="1"/>
  <c r="AS37" i="28" s="1"/>
  <c r="AS38" i="28" s="1"/>
  <c r="AS39" i="28" s="1"/>
  <c r="AS40" i="28" s="1"/>
  <c r="AS41" i="28" s="1"/>
  <c r="AS42" i="28" s="1"/>
  <c r="AS43" i="28" s="1"/>
  <c r="AS44" i="28" s="1"/>
  <c r="AS45" i="28" s="1"/>
  <c r="AS46" i="28" s="1"/>
  <c r="AS47" i="28" s="1"/>
  <c r="AS48" i="28" s="1"/>
  <c r="AS49" i="28" s="1"/>
  <c r="AS50" i="28" s="1"/>
  <c r="AS51" i="28" s="1"/>
  <c r="AS52" i="28" s="1"/>
  <c r="AS53" i="28" s="1"/>
  <c r="AS54" i="28" s="1"/>
  <c r="AS55" i="28" s="1"/>
  <c r="AS56" i="28" s="1"/>
  <c r="AS57" i="28" s="1"/>
  <c r="AS58" i="28" s="1"/>
  <c r="AS59" i="28" s="1"/>
  <c r="AS60" i="28" s="1"/>
  <c r="AS61" i="28" s="1"/>
  <c r="AS62" i="28" s="1"/>
  <c r="AS63" i="28" s="1"/>
  <c r="AS64" i="28" s="1"/>
  <c r="AS65" i="28" s="1"/>
  <c r="AS66" i="28" s="1"/>
  <c r="AS67" i="28" s="1"/>
  <c r="AS68" i="28" s="1"/>
  <c r="AS69" i="28" s="1"/>
  <c r="AS70" i="28" s="1"/>
  <c r="AS71" i="28" s="1"/>
  <c r="AS72" i="28" s="1"/>
  <c r="AS73" i="28" s="1"/>
  <c r="AS74" i="28" s="1"/>
  <c r="AS75" i="28" s="1"/>
  <c r="AS76" i="28" s="1"/>
  <c r="AS77" i="28" s="1"/>
  <c r="AS78" i="28" s="1"/>
  <c r="AS79" i="28" s="1"/>
  <c r="AS80" i="28" s="1"/>
  <c r="AS81" i="28" s="1"/>
  <c r="AS82" i="28" s="1"/>
  <c r="AS83" i="28" s="1"/>
  <c r="AS84" i="28" s="1"/>
  <c r="AS85" i="28" s="1"/>
  <c r="AS86" i="28" s="1"/>
  <c r="AS87" i="28" s="1"/>
  <c r="AS88" i="28" s="1"/>
  <c r="AS89" i="28" s="1"/>
  <c r="AS90" i="28" s="1"/>
  <c r="AS91" i="28" s="1"/>
  <c r="AS92" i="28" s="1"/>
  <c r="AS93" i="28" s="1"/>
  <c r="AS94" i="28" s="1"/>
  <c r="AS95" i="28" s="1"/>
  <c r="AS96" i="28" s="1"/>
  <c r="AS97" i="28" s="1"/>
  <c r="AS98" i="28" s="1"/>
  <c r="AS99" i="28" s="1"/>
  <c r="AS100" i="28" s="1"/>
  <c r="AS101" i="28" s="1"/>
  <c r="AS102" i="28" s="1"/>
  <c r="AS103" i="28" s="1"/>
  <c r="AS104" i="28" s="1"/>
  <c r="AS105" i="28" s="1"/>
  <c r="AS106" i="28" s="1"/>
  <c r="AS107" i="28" s="1"/>
  <c r="AS108" i="28" s="1"/>
  <c r="AS109" i="28" s="1"/>
  <c r="AS110" i="28" s="1"/>
  <c r="AS111" i="28" s="1"/>
  <c r="AS112" i="28" s="1"/>
  <c r="AS113" i="28" s="1"/>
  <c r="AS114" i="28" s="1"/>
  <c r="AS115" i="28" s="1"/>
  <c r="J49" i="6" l="1"/>
  <c r="AQ2" i="28" s="1"/>
  <c r="J44" i="6"/>
  <c r="AL2" i="28" s="1"/>
  <c r="J46" i="6"/>
  <c r="AN2" i="28" s="1"/>
  <c r="J34" i="6"/>
  <c r="AB2" i="28" s="1"/>
  <c r="J42" i="6"/>
  <c r="AJ2" i="28" s="1"/>
  <c r="J36" i="6"/>
  <c r="AD2" i="28" s="1"/>
  <c r="J45" i="6"/>
  <c r="AM2" i="28" s="1"/>
  <c r="J47" i="6"/>
  <c r="AO2" i="28" s="1"/>
  <c r="J37" i="6"/>
  <c r="J40" i="6"/>
  <c r="AH2" i="28" s="1"/>
  <c r="J35" i="6"/>
  <c r="AC2" i="28" s="1"/>
  <c r="J48" i="6"/>
  <c r="AP2" i="28" s="1"/>
  <c r="J39" i="6"/>
  <c r="AG2" i="28" s="1"/>
  <c r="J43" i="6"/>
  <c r="AK2" i="28" s="1"/>
  <c r="J41" i="6"/>
  <c r="AI2" i="28" s="1"/>
  <c r="J50" i="6"/>
  <c r="AR2" i="28" s="1"/>
  <c r="J38" i="6"/>
  <c r="J33" i="6"/>
  <c r="R3" i="28" l="1"/>
  <c r="AP3" i="28"/>
  <c r="AD3" i="28"/>
  <c r="AC3" i="28"/>
  <c r="AE4" i="28" s="1"/>
  <c r="AN3" i="28"/>
  <c r="AK3" i="28"/>
  <c r="AO3" i="28"/>
  <c r="AP4" i="28" s="1"/>
  <c r="AM3" i="28"/>
  <c r="AI3" i="28"/>
  <c r="AL3" i="28"/>
  <c r="AQ3" i="28"/>
  <c r="J15" i="6"/>
  <c r="J27" i="6"/>
  <c r="AA2" i="28"/>
  <c r="AJ3" i="28"/>
  <c r="AL4" i="28" s="1"/>
  <c r="AF2" i="28"/>
  <c r="AF3" i="28" s="1"/>
  <c r="J13" i="6"/>
  <c r="J14" i="6"/>
  <c r="AE2" i="28"/>
  <c r="AE3" i="28" s="1"/>
  <c r="AR3" i="28"/>
  <c r="R4" i="28" s="1"/>
  <c r="B2" i="28" l="1"/>
  <c r="AO4" i="28"/>
  <c r="AP5" i="28" s="1"/>
  <c r="AM4" i="28"/>
  <c r="AF4" i="28"/>
  <c r="AR4" i="28"/>
  <c r="R5" i="28" s="1"/>
  <c r="AN4" i="28"/>
  <c r="AN5" i="28" s="1"/>
  <c r="AQ4" i="28"/>
  <c r="AR5" i="28" s="1"/>
  <c r="R6" i="28" s="1"/>
  <c r="AK4" i="28"/>
  <c r="AM5" i="28" s="1"/>
  <c r="AB3" i="28"/>
  <c r="I3" i="28"/>
  <c r="H3" i="28"/>
  <c r="H2" i="28"/>
  <c r="L2" i="28" s="1"/>
  <c r="AH3" i="28"/>
  <c r="AJ4" i="28" s="1"/>
  <c r="AL5" i="28" s="1"/>
  <c r="D3" i="28"/>
  <c r="J16" i="6"/>
  <c r="X2" i="28" s="1"/>
  <c r="Y2" i="28" s="1"/>
  <c r="N3" i="28"/>
  <c r="N2" i="28"/>
  <c r="AG3" i="28"/>
  <c r="AI4" i="28" s="1"/>
  <c r="AK5" i="28" l="1"/>
  <c r="AM6" i="28" s="1"/>
  <c r="AQ5" i="28"/>
  <c r="AN6" i="28"/>
  <c r="AO5" i="28"/>
  <c r="AP6" i="28" s="1"/>
  <c r="AG4" i="28"/>
  <c r="D4" i="28"/>
  <c r="AH4" i="28"/>
  <c r="AJ5" i="28" s="1"/>
  <c r="AL6" i="28" s="1"/>
  <c r="AN7" i="28" s="1"/>
  <c r="AC4" i="28"/>
  <c r="AE5" i="28" s="1"/>
  <c r="AD4" i="28"/>
  <c r="N4" i="28"/>
  <c r="H4" i="28"/>
  <c r="J3" i="28"/>
  <c r="F6" i="24"/>
  <c r="Z2" i="28"/>
  <c r="U3" i="28" s="1"/>
  <c r="V3" i="28"/>
  <c r="T2" i="28"/>
  <c r="W3" i="28" s="1"/>
  <c r="AR6" i="28" l="1"/>
  <c r="R7" i="28" s="1"/>
  <c r="AQ6" i="28"/>
  <c r="AR7" i="28" s="1"/>
  <c r="AH5" i="28"/>
  <c r="AJ6" i="28" s="1"/>
  <c r="AL7" i="28" s="1"/>
  <c r="AI5" i="28"/>
  <c r="AK6" i="28" s="1"/>
  <c r="AM7" i="28" s="1"/>
  <c r="N5" i="28"/>
  <c r="AG5" i="28"/>
  <c r="AI6" i="28" s="1"/>
  <c r="AK7" i="28" s="1"/>
  <c r="H5" i="28"/>
  <c r="X3" i="28"/>
  <c r="Q3" i="28" s="1"/>
  <c r="AO6" i="28"/>
  <c r="D5" i="28"/>
  <c r="AF5" i="28"/>
  <c r="Z3" i="28" l="1"/>
  <c r="T3" i="28"/>
  <c r="W4" i="28" s="1"/>
  <c r="AQ7" i="28"/>
  <c r="AR8" i="28" s="1"/>
  <c r="AP7" i="28"/>
  <c r="AQ8" i="28" s="1"/>
  <c r="AO7" i="28"/>
  <c r="H6" i="28"/>
  <c r="AH6" i="28"/>
  <c r="AJ7" i="28" s="1"/>
  <c r="N6" i="28"/>
  <c r="V4" i="28"/>
  <c r="Y3" i="28"/>
  <c r="U4" i="28" s="1"/>
  <c r="AG6" i="28"/>
  <c r="AI7" i="28" s="1"/>
  <c r="X4" i="28" l="1"/>
  <c r="Z4" i="28"/>
  <c r="T4" i="28"/>
  <c r="W5" i="28" s="1"/>
  <c r="V5" i="28"/>
  <c r="Y4" i="28"/>
  <c r="R9" i="28"/>
  <c r="R8" i="28"/>
  <c r="AN8" i="28"/>
  <c r="AM8" i="28"/>
  <c r="AR9" i="28"/>
  <c r="AO8" i="28"/>
  <c r="AO9" i="28" l="1"/>
  <c r="U5" i="28"/>
  <c r="X5" i="28" s="1"/>
  <c r="AL8" i="28"/>
  <c r="R10" i="28"/>
  <c r="AK8" i="28"/>
  <c r="AP8" i="28"/>
  <c r="AP9" i="28" s="1"/>
  <c r="T5" i="28" l="1"/>
  <c r="W6" i="28" s="1"/>
  <c r="V6" i="28"/>
  <c r="Z5" i="28"/>
  <c r="Y5" i="28"/>
  <c r="U6" i="28" s="1"/>
  <c r="AP10" i="28"/>
  <c r="AN9" i="28"/>
  <c r="AQ9" i="28"/>
  <c r="AM9" i="28"/>
  <c r="X6" i="28" l="1"/>
  <c r="V7" i="28"/>
  <c r="T6" i="28"/>
  <c r="W7" i="28" s="1"/>
  <c r="Z6" i="28"/>
  <c r="Y6" i="28"/>
  <c r="AO10" i="28"/>
  <c r="AR10" i="28"/>
  <c r="AQ10" i="28"/>
  <c r="U7" i="28" l="1"/>
  <c r="X7" i="28"/>
  <c r="AR11" i="28"/>
  <c r="R12" i="28" s="1"/>
  <c r="AQ11" i="28"/>
  <c r="R11" i="28"/>
  <c r="AP11" i="28"/>
  <c r="V8" i="28" l="1"/>
  <c r="AR12" i="28"/>
  <c r="AQ12" i="28"/>
  <c r="AR13" i="28" l="1"/>
  <c r="R13" i="28"/>
  <c r="R14" i="28"/>
  <c r="D19" i="24" l="1"/>
  <c r="E19" i="24" s="1"/>
  <c r="D21" i="24"/>
  <c r="E21" i="24" s="1"/>
  <c r="D25" i="24"/>
  <c r="E25" i="24" s="1"/>
  <c r="D17" i="24"/>
  <c r="E17" i="24" s="1"/>
  <c r="D22" i="24"/>
  <c r="E22" i="24" s="1"/>
  <c r="D18" i="24"/>
  <c r="E18" i="24" s="1"/>
  <c r="D26" i="24"/>
  <c r="E26" i="24" s="1"/>
  <c r="D23" i="24"/>
  <c r="E23" i="24" s="1"/>
  <c r="D28" i="24"/>
  <c r="D24" i="24"/>
  <c r="E24" i="24" s="1"/>
  <c r="E16" i="24"/>
  <c r="D20" i="24"/>
  <c r="E20" i="24" s="1"/>
  <c r="E15" i="24" l="1"/>
  <c r="D10" i="24"/>
  <c r="F28" i="24"/>
  <c r="E28" i="24"/>
  <c r="G28" i="24" l="1"/>
  <c r="D43" i="24" l="1"/>
  <c r="E43" i="24" s="1"/>
  <c r="D41" i="24"/>
  <c r="E41" i="24" s="1"/>
  <c r="D42" i="24"/>
  <c r="E42" i="24" s="1"/>
  <c r="D39" i="24"/>
  <c r="E40" i="24"/>
  <c r="D44" i="24"/>
  <c r="E44" i="24" s="1"/>
  <c r="D37" i="24" l="1"/>
  <c r="E39" i="24"/>
  <c r="E38" i="24" s="1"/>
  <c r="D12" i="24" s="1"/>
  <c r="D40" i="24"/>
  <c r="D32" i="6" l="1"/>
  <c r="C32" i="6"/>
  <c r="D50" i="6"/>
  <c r="E32" i="6"/>
  <c r="O2" i="28"/>
  <c r="F3" i="28"/>
  <c r="S2" i="28"/>
  <c r="E3" i="28"/>
  <c r="G3" i="28" s="1"/>
  <c r="AA3" i="28" s="1"/>
  <c r="B3" i="28" s="1"/>
  <c r="C3" i="28" s="1"/>
  <c r="K3" i="28" l="1"/>
  <c r="I4" i="28"/>
  <c r="AB4" i="28"/>
  <c r="F7" i="24"/>
  <c r="L3" i="28"/>
  <c r="AD5" i="28" l="1"/>
  <c r="AC5" i="28"/>
  <c r="J4" i="28"/>
  <c r="Q4" i="28"/>
  <c r="O3" i="28"/>
  <c r="S3" i="28"/>
  <c r="F4" i="28"/>
  <c r="H20" i="6"/>
  <c r="B25" i="1"/>
  <c r="F1" i="24" s="1"/>
  <c r="P3" i="28"/>
  <c r="E4" i="28"/>
  <c r="G4" i="28" s="1"/>
  <c r="H21" i="6"/>
  <c r="B26" i="1"/>
  <c r="AE6" i="28" l="1"/>
  <c r="D6" i="28"/>
  <c r="AF6" i="28"/>
  <c r="L4" i="28"/>
  <c r="AA4" i="28"/>
  <c r="B4" i="28" s="1"/>
  <c r="C4" i="28" s="1"/>
  <c r="H22" i="6"/>
  <c r="F8" i="24"/>
  <c r="F5" i="24" s="1"/>
  <c r="F25" i="24"/>
  <c r="G25" i="24" s="1"/>
  <c r="F17" i="24"/>
  <c r="G17" i="24" s="1"/>
  <c r="F19" i="24"/>
  <c r="G19" i="24" s="1"/>
  <c r="F22" i="24"/>
  <c r="G22" i="24" s="1"/>
  <c r="F18" i="24"/>
  <c r="G18" i="24" s="1"/>
  <c r="F26" i="24"/>
  <c r="G26" i="24" s="1"/>
  <c r="F21" i="24"/>
  <c r="G21" i="24" s="1"/>
  <c r="F20" i="24"/>
  <c r="G20" i="24" s="1"/>
  <c r="F24" i="24"/>
  <c r="G24" i="24" s="1"/>
  <c r="F23" i="24"/>
  <c r="G23" i="24" s="1"/>
  <c r="F16" i="24"/>
  <c r="G16" i="24" s="1"/>
  <c r="F9" i="24" l="1"/>
  <c r="N7" i="28"/>
  <c r="AG7" i="28"/>
  <c r="Y7" i="28"/>
  <c r="G15" i="24"/>
  <c r="F10" i="24"/>
  <c r="K4" i="28"/>
  <c r="I5" i="28"/>
  <c r="AB5" i="28"/>
  <c r="H7" i="28"/>
  <c r="T7" i="28" s="1"/>
  <c r="W8" i="28" s="1"/>
  <c r="Z7" i="28"/>
  <c r="AH7" i="28"/>
  <c r="U8" i="28" l="1"/>
  <c r="X8" i="28" s="1"/>
  <c r="AJ8" i="28"/>
  <c r="J5" i="28"/>
  <c r="Q5" i="28"/>
  <c r="AD6" i="28"/>
  <c r="AC6" i="28"/>
  <c r="V9" i="28"/>
  <c r="AI8" i="28"/>
  <c r="AK9" i="28" l="1"/>
  <c r="AE7" i="28"/>
  <c r="AL9" i="28"/>
  <c r="AF7" i="28"/>
  <c r="D7" i="28"/>
  <c r="S4" i="28"/>
  <c r="F5" i="28"/>
  <c r="P4" i="28"/>
  <c r="E5" i="28"/>
  <c r="G5" i="28" s="1"/>
  <c r="O4" i="28"/>
  <c r="AN10" i="28" l="1"/>
  <c r="AM10" i="28"/>
  <c r="AG8" i="28"/>
  <c r="L5" i="28"/>
  <c r="AA5" i="28"/>
  <c r="B5" i="28" s="1"/>
  <c r="C5" i="28" s="1"/>
  <c r="AH8" i="28"/>
  <c r="AO11" i="28" l="1"/>
  <c r="AJ9" i="28"/>
  <c r="AI9" i="28"/>
  <c r="K5" i="28"/>
  <c r="I6" i="28"/>
  <c r="AB6" i="28"/>
  <c r="AP12" i="28" l="1"/>
  <c r="J6" i="28"/>
  <c r="Q6" i="28"/>
  <c r="AK10" i="28"/>
  <c r="AD7" i="28"/>
  <c r="AC7" i="28"/>
  <c r="AL10" i="28"/>
  <c r="P5" i="28" l="1"/>
  <c r="S5" i="28"/>
  <c r="F6" i="28"/>
  <c r="E6" i="28"/>
  <c r="G6" i="28" s="1"/>
  <c r="O5" i="28"/>
  <c r="AE8" i="28"/>
  <c r="AF8" i="28"/>
  <c r="D8" i="28"/>
  <c r="AQ13" i="28"/>
  <c r="AN11" i="28"/>
  <c r="AM11" i="28"/>
  <c r="AH9" i="28" l="1"/>
  <c r="Z8" i="28"/>
  <c r="H8" i="28"/>
  <c r="T8" i="28" s="1"/>
  <c r="W9" i="28" s="1"/>
  <c r="L6" i="28"/>
  <c r="AA6" i="28"/>
  <c r="B6" i="28" s="1"/>
  <c r="C6" i="28" s="1"/>
  <c r="AR14" i="28"/>
  <c r="AO12" i="28"/>
  <c r="N8" i="28"/>
  <c r="Y8" i="28"/>
  <c r="AG9" i="28"/>
  <c r="U9" i="28" l="1"/>
  <c r="X9" i="28" s="1"/>
  <c r="V10" i="28" s="1"/>
  <c r="AP13" i="28"/>
  <c r="I7" i="28"/>
  <c r="K6" i="28"/>
  <c r="AB7" i="28"/>
  <c r="R15" i="28"/>
  <c r="AI10" i="28"/>
  <c r="AJ10" i="28"/>
  <c r="AQ14" i="28" l="1"/>
  <c r="J7" i="28"/>
  <c r="Q7" i="28"/>
  <c r="AD8" i="28"/>
  <c r="AC8" i="28"/>
  <c r="AL11" i="28"/>
  <c r="AK11" i="28"/>
  <c r="D9" i="28" l="1"/>
  <c r="AF9" i="28"/>
  <c r="S6" i="28"/>
  <c r="P6" i="28"/>
  <c r="F7" i="28"/>
  <c r="E7" i="28"/>
  <c r="G7" i="28" s="1"/>
  <c r="O6" i="28"/>
  <c r="AN12" i="28"/>
  <c r="AM12" i="28"/>
  <c r="AE9" i="28"/>
  <c r="AR15" i="28"/>
  <c r="R16" i="28" l="1"/>
  <c r="AH10" i="28"/>
  <c r="H9" i="28"/>
  <c r="T9" i="28" s="1"/>
  <c r="W10" i="28" s="1"/>
  <c r="Z9" i="28"/>
  <c r="AO13" i="28"/>
  <c r="L7" i="28"/>
  <c r="AA7" i="28"/>
  <c r="B7" i="28" s="1"/>
  <c r="C7" i="28" s="1"/>
  <c r="AG10" i="28"/>
  <c r="N9" i="28"/>
  <c r="Y9" i="28"/>
  <c r="AP14" i="28" l="1"/>
  <c r="U10" i="28"/>
  <c r="X10" i="28" s="1"/>
  <c r="AI11" i="28"/>
  <c r="AJ11" i="28"/>
  <c r="K7" i="28"/>
  <c r="AB8" i="28"/>
  <c r="AK12" i="28" l="1"/>
  <c r="AD9" i="28"/>
  <c r="AC9" i="28"/>
  <c r="V11" i="28"/>
  <c r="AL12" i="28"/>
  <c r="AQ15" i="28"/>
  <c r="AN13" i="28" l="1"/>
  <c r="AM13" i="28"/>
  <c r="AE10" i="28"/>
  <c r="AR16" i="28"/>
  <c r="S7" i="28"/>
  <c r="P7" i="28"/>
  <c r="F8" i="28"/>
  <c r="E8" i="28"/>
  <c r="G8" i="28" s="1"/>
  <c r="O7" i="28"/>
  <c r="D10" i="28"/>
  <c r="AF10" i="28"/>
  <c r="R17" i="28" l="1"/>
  <c r="AO14" i="28"/>
  <c r="L8" i="28"/>
  <c r="AA8" i="28"/>
  <c r="B8" i="28" s="1"/>
  <c r="H10" i="28"/>
  <c r="T10" i="28" s="1"/>
  <c r="W11" i="28" s="1"/>
  <c r="Z10" i="28"/>
  <c r="AH11" i="28"/>
  <c r="N10" i="28"/>
  <c r="Y10" i="28"/>
  <c r="AG11" i="28"/>
  <c r="U11" i="28" l="1"/>
  <c r="X11" i="28" s="1"/>
  <c r="V12" i="28" s="1"/>
  <c r="AJ12" i="28"/>
  <c r="AI12" i="28"/>
  <c r="I8" i="28"/>
  <c r="C8" i="28" s="1"/>
  <c r="K8" i="28"/>
  <c r="AB9" i="28"/>
  <c r="AP15" i="28"/>
  <c r="AK13" i="28" l="1"/>
  <c r="AL13" i="28"/>
  <c r="Q8" i="28"/>
  <c r="J8" i="28"/>
  <c r="AD10" i="28"/>
  <c r="AC10" i="28"/>
  <c r="AE11" i="28" s="1"/>
  <c r="AQ16" i="28"/>
  <c r="P8" i="28" l="1"/>
  <c r="S8" i="28"/>
  <c r="F9" i="28"/>
  <c r="E9" i="28"/>
  <c r="G9" i="28" s="1"/>
  <c r="D11" i="28"/>
  <c r="AF11" i="28"/>
  <c r="N11" i="28" s="1"/>
  <c r="Y11" i="28"/>
  <c r="AG12" i="28"/>
  <c r="AI13" i="28" s="1"/>
  <c r="AK14" i="28" s="1"/>
  <c r="AN14" i="28"/>
  <c r="O8" i="28"/>
  <c r="AR17" i="28"/>
  <c r="AM14" i="28"/>
  <c r="H11" i="28" l="1"/>
  <c r="T11" i="28" s="1"/>
  <c r="W12" i="28" s="1"/>
  <c r="Z11" i="28"/>
  <c r="U12" i="28" s="1"/>
  <c r="X12" i="28" s="1"/>
  <c r="AH12" i="28"/>
  <c r="AJ13" i="28" s="1"/>
  <c r="AL14" i="28" s="1"/>
  <c r="AN15" i="28" s="1"/>
  <c r="R18" i="28"/>
  <c r="AO15" i="28"/>
  <c r="L9" i="28"/>
  <c r="AA9" i="28"/>
  <c r="B9" i="28" s="1"/>
  <c r="AM15" i="28"/>
  <c r="V13" i="28" l="1"/>
  <c r="AP16" i="28"/>
  <c r="AO16" i="28"/>
  <c r="I9" i="28"/>
  <c r="C9" i="28" s="1"/>
  <c r="K9" i="28"/>
  <c r="AB10" i="28"/>
  <c r="AD11" i="28" l="1"/>
  <c r="AC11" i="28"/>
  <c r="AE12" i="28" s="1"/>
  <c r="AQ17" i="28"/>
  <c r="J9" i="28"/>
  <c r="Q9" i="28"/>
  <c r="AP17" i="28"/>
  <c r="AQ18" i="28" s="1"/>
  <c r="AR18" i="28" l="1"/>
  <c r="S9" i="28"/>
  <c r="F10" i="28"/>
  <c r="P9" i="28"/>
  <c r="E10" i="28"/>
  <c r="G10" i="28" s="1"/>
  <c r="Y12" i="28"/>
  <c r="AG13" i="28"/>
  <c r="AI14" i="28" s="1"/>
  <c r="AK15" i="28" s="1"/>
  <c r="AM16" i="28" s="1"/>
  <c r="AF12" i="28"/>
  <c r="D12" i="28"/>
  <c r="O9" i="28"/>
  <c r="H12" i="28" l="1"/>
  <c r="T12" i="28" s="1"/>
  <c r="W13" i="28" s="1"/>
  <c r="Z12" i="28"/>
  <c r="AH13" i="28"/>
  <c r="AJ14" i="28" s="1"/>
  <c r="AL15" i="28" s="1"/>
  <c r="AN16" i="28" s="1"/>
  <c r="U13" i="28"/>
  <c r="X13" i="28" s="1"/>
  <c r="R19" i="28"/>
  <c r="N12" i="28"/>
  <c r="L10" i="28"/>
  <c r="AA10" i="28"/>
  <c r="B10" i="28" s="1"/>
  <c r="AR19" i="28"/>
  <c r="R20" i="28" l="1"/>
  <c r="K10" i="28"/>
  <c r="I10" i="28"/>
  <c r="C10" i="28" s="1"/>
  <c r="AB11" i="28"/>
  <c r="AO17" i="28"/>
  <c r="AP18" i="28" s="1"/>
  <c r="AQ19" i="28" s="1"/>
  <c r="AR20" i="28" s="1"/>
  <c r="V14" i="28"/>
  <c r="Q10" i="28" l="1"/>
  <c r="J10" i="28"/>
  <c r="R21" i="28"/>
  <c r="AD12" i="28"/>
  <c r="AC12" i="28"/>
  <c r="AE13" i="28" s="1"/>
  <c r="S10" i="28" l="1"/>
  <c r="F11" i="28"/>
  <c r="P10" i="28"/>
  <c r="E11" i="28"/>
  <c r="G11" i="28" s="1"/>
  <c r="O10" i="28"/>
  <c r="AF13" i="28"/>
  <c r="N13" i="28" s="1"/>
  <c r="D13" i="28"/>
  <c r="Y13" i="28"/>
  <c r="AG14" i="28"/>
  <c r="AI15" i="28" s="1"/>
  <c r="AK16" i="28" s="1"/>
  <c r="AM17" i="28" s="1"/>
  <c r="H13" i="28" l="1"/>
  <c r="T13" i="28" s="1"/>
  <c r="W14" i="28" s="1"/>
  <c r="Z13" i="28"/>
  <c r="AH14" i="28"/>
  <c r="AJ15" i="28" s="1"/>
  <c r="AL16" i="28" s="1"/>
  <c r="AN17" i="28" s="1"/>
  <c r="L11" i="28"/>
  <c r="AA11" i="28"/>
  <c r="B11" i="28" s="1"/>
  <c r="AO18" i="28"/>
  <c r="AP19" i="28" s="1"/>
  <c r="AQ20" i="28" s="1"/>
  <c r="AR21" i="28" s="1"/>
  <c r="U14" i="28"/>
  <c r="X14" i="28" s="1"/>
  <c r="I11" i="28" l="1"/>
  <c r="C11" i="28" s="1"/>
  <c r="K11" i="28"/>
  <c r="AB12" i="28"/>
  <c r="R22" i="28"/>
  <c r="V15" i="28"/>
  <c r="AC13" i="28" l="1"/>
  <c r="AE14" i="28" s="1"/>
  <c r="AD13" i="28"/>
  <c r="O11" i="28"/>
  <c r="J11" i="28"/>
  <c r="Q11" i="28"/>
  <c r="S11" i="28" l="1"/>
  <c r="F12" i="28"/>
  <c r="P11" i="28"/>
  <c r="E12" i="28"/>
  <c r="G12" i="28" s="1"/>
  <c r="D14" i="28"/>
  <c r="AF14" i="28"/>
  <c r="Y14" i="28"/>
  <c r="AG15" i="28"/>
  <c r="AI16" i="28" s="1"/>
  <c r="AK17" i="28" s="1"/>
  <c r="AM18" i="28" s="1"/>
  <c r="H14" i="28" l="1"/>
  <c r="T14" i="28" s="1"/>
  <c r="W15" i="28" s="1"/>
  <c r="Z14" i="28"/>
  <c r="AH15" i="28"/>
  <c r="AJ16" i="28" s="1"/>
  <c r="AL17" i="28" s="1"/>
  <c r="AN18" i="28" s="1"/>
  <c r="N14" i="28"/>
  <c r="L12" i="28"/>
  <c r="AA12" i="28"/>
  <c r="B12" i="28" s="1"/>
  <c r="U15" i="28"/>
  <c r="X15" i="28" s="1"/>
  <c r="AO19" i="28"/>
  <c r="AP20" i="28" s="1"/>
  <c r="AQ21" i="28" s="1"/>
  <c r="AR22" i="28" s="1"/>
  <c r="V16" i="28" l="1"/>
  <c r="K12" i="28"/>
  <c r="I12" i="28"/>
  <c r="C12" i="28" s="1"/>
  <c r="AB13" i="28"/>
  <c r="R23" i="28"/>
  <c r="AD14" i="28" l="1"/>
  <c r="AC14" i="28"/>
  <c r="AE15" i="28" s="1"/>
  <c r="J12" i="28"/>
  <c r="Q12" i="28"/>
  <c r="Y15" i="28" l="1"/>
  <c r="AG16" i="28"/>
  <c r="AI17" i="28" s="1"/>
  <c r="AK18" i="28" s="1"/>
  <c r="AM19" i="28" s="1"/>
  <c r="S12" i="28"/>
  <c r="F13" i="28"/>
  <c r="P12" i="28"/>
  <c r="E13" i="28"/>
  <c r="G13" i="28" s="1"/>
  <c r="O12" i="28"/>
  <c r="D15" i="28"/>
  <c r="AF15" i="28"/>
  <c r="L13" i="28" l="1"/>
  <c r="AA13" i="28"/>
  <c r="B13" i="28" s="1"/>
  <c r="H15" i="28"/>
  <c r="T15" i="28" s="1"/>
  <c r="W16" i="28" s="1"/>
  <c r="Z15" i="28"/>
  <c r="U16" i="28" s="1"/>
  <c r="AH16" i="28"/>
  <c r="AJ17" i="28" s="1"/>
  <c r="AL18" i="28" s="1"/>
  <c r="AN19" i="28" s="1"/>
  <c r="AO20" i="28" s="1"/>
  <c r="AP21" i="28" s="1"/>
  <c r="AQ22" i="28" s="1"/>
  <c r="AR23" i="28" s="1"/>
  <c r="N15" i="28"/>
  <c r="X16" i="28" l="1"/>
  <c r="R24" i="28"/>
  <c r="V17" i="28"/>
  <c r="I13" i="28"/>
  <c r="C13" i="28" s="1"/>
  <c r="K13" i="28"/>
  <c r="AB14" i="28"/>
  <c r="J13" i="28" l="1"/>
  <c r="Q13" i="28"/>
  <c r="O13" i="28"/>
  <c r="AD15" i="28"/>
  <c r="AC15" i="28"/>
  <c r="AE16" i="28" s="1"/>
  <c r="AG17" i="28" l="1"/>
  <c r="AI18" i="28" s="1"/>
  <c r="AK19" i="28" s="1"/>
  <c r="AM20" i="28" s="1"/>
  <c r="Y16" i="28"/>
  <c r="D16" i="28"/>
  <c r="AF16" i="28"/>
  <c r="S13" i="28"/>
  <c r="P13" i="28"/>
  <c r="F14" i="28"/>
  <c r="E14" i="28"/>
  <c r="G14" i="28" s="1"/>
  <c r="Z16" i="28" l="1"/>
  <c r="H16" i="28"/>
  <c r="T16" i="28" s="1"/>
  <c r="W17" i="28" s="1"/>
  <c r="AH17" i="28"/>
  <c r="AJ18" i="28" s="1"/>
  <c r="AL19" i="28" s="1"/>
  <c r="AN20" i="28" s="1"/>
  <c r="AO21" i="28" s="1"/>
  <c r="AP22" i="28" s="1"/>
  <c r="AQ23" i="28" s="1"/>
  <c r="AR24" i="28" s="1"/>
  <c r="U17" i="28"/>
  <c r="X17" i="28" s="1"/>
  <c r="N16" i="28"/>
  <c r="L14" i="28"/>
  <c r="AA14" i="28"/>
  <c r="B14" i="28" s="1"/>
  <c r="R25" i="28" l="1"/>
  <c r="I14" i="28"/>
  <c r="C14" i="28" s="1"/>
  <c r="K14" i="28"/>
  <c r="AB15" i="28"/>
  <c r="V18" i="28"/>
  <c r="AD16" i="28" l="1"/>
  <c r="AC16" i="28"/>
  <c r="AE17" i="28" s="1"/>
  <c r="O14" i="28"/>
  <c r="Q14" i="28"/>
  <c r="J14" i="28"/>
  <c r="P14" i="28" l="1"/>
  <c r="F15" i="28"/>
  <c r="E15" i="28"/>
  <c r="G15" i="28" s="1"/>
  <c r="S14" i="28"/>
  <c r="N17" i="28"/>
  <c r="Y17" i="28"/>
  <c r="AG18" i="28"/>
  <c r="AI19" i="28" s="1"/>
  <c r="AK20" i="28" s="1"/>
  <c r="AM21" i="28" s="1"/>
  <c r="D17" i="28"/>
  <c r="AF17" i="28"/>
  <c r="L15" i="28" l="1"/>
  <c r="AA15" i="28"/>
  <c r="B15" i="28" s="1"/>
  <c r="Z17" i="28"/>
  <c r="U18" i="28" s="1"/>
  <c r="H17" i="28"/>
  <c r="T17" i="28" s="1"/>
  <c r="W18" i="28" s="1"/>
  <c r="AH18" i="28"/>
  <c r="AJ19" i="28" s="1"/>
  <c r="AL20" i="28" s="1"/>
  <c r="AN21" i="28" s="1"/>
  <c r="X18" i="28" l="1"/>
  <c r="V19" i="28" s="1"/>
  <c r="I15" i="28"/>
  <c r="C15" i="28" s="1"/>
  <c r="K15" i="28"/>
  <c r="AB16" i="28"/>
  <c r="AO22" i="28"/>
  <c r="AP23" i="28" s="1"/>
  <c r="AQ24" i="28" s="1"/>
  <c r="AR25" i="28" s="1"/>
  <c r="AC17" i="28" l="1"/>
  <c r="AE18" i="28" s="1"/>
  <c r="AD17" i="28"/>
  <c r="J15" i="28"/>
  <c r="Q15" i="28"/>
  <c r="O15" i="28"/>
  <c r="R26" i="28"/>
  <c r="F16" i="28" l="1"/>
  <c r="P15" i="28"/>
  <c r="E16" i="28"/>
  <c r="G16" i="28" s="1"/>
  <c r="S15" i="28"/>
  <c r="D18" i="28"/>
  <c r="AF18" i="28"/>
  <c r="N18" i="28" s="1"/>
  <c r="Y18" i="28"/>
  <c r="AG19" i="28"/>
  <c r="AI20" i="28" s="1"/>
  <c r="AK21" i="28" s="1"/>
  <c r="AM22" i="28" s="1"/>
  <c r="H18" i="28" l="1"/>
  <c r="T18" i="28" s="1"/>
  <c r="W19" i="28" s="1"/>
  <c r="Z18" i="28"/>
  <c r="U19" i="28" s="1"/>
  <c r="X19" i="28" s="1"/>
  <c r="AH19" i="28"/>
  <c r="AJ20" i="28" s="1"/>
  <c r="AL21" i="28" s="1"/>
  <c r="AN22" i="28" s="1"/>
  <c r="AO23" i="28" s="1"/>
  <c r="AP24" i="28" s="1"/>
  <c r="AQ25" i="28" s="1"/>
  <c r="AR26" i="28" s="1"/>
  <c r="L16" i="28"/>
  <c r="AA16" i="28"/>
  <c r="B16" i="28" s="1"/>
  <c r="R27" i="28" l="1"/>
  <c r="V20" i="28"/>
  <c r="I16" i="28"/>
  <c r="C16" i="28" s="1"/>
  <c r="K16" i="28"/>
  <c r="AB17" i="28"/>
  <c r="AC18" i="28" l="1"/>
  <c r="AE19" i="28" s="1"/>
  <c r="AD18" i="28"/>
  <c r="J16" i="28"/>
  <c r="Q16" i="28"/>
  <c r="P16" i="28" l="1"/>
  <c r="F17" i="28"/>
  <c r="E17" i="28"/>
  <c r="G17" i="28" s="1"/>
  <c r="S16" i="28"/>
  <c r="D19" i="28"/>
  <c r="AF19" i="28"/>
  <c r="O16" i="28"/>
  <c r="Y19" i="28"/>
  <c r="AG20" i="28"/>
  <c r="AI21" i="28" s="1"/>
  <c r="AK22" i="28" s="1"/>
  <c r="AM23" i="28" s="1"/>
  <c r="Z19" i="28" l="1"/>
  <c r="U20" i="28" s="1"/>
  <c r="H19" i="28"/>
  <c r="T19" i="28" s="1"/>
  <c r="W20" i="28" s="1"/>
  <c r="AH20" i="28"/>
  <c r="AJ21" i="28" s="1"/>
  <c r="AL22" i="28" s="1"/>
  <c r="AN23" i="28" s="1"/>
  <c r="L17" i="28"/>
  <c r="AA17" i="28"/>
  <c r="B17" i="28" s="1"/>
  <c r="N19" i="28"/>
  <c r="X20" i="28" l="1"/>
  <c r="V21" i="28" s="1"/>
  <c r="K17" i="28"/>
  <c r="I17" i="28"/>
  <c r="C17" i="28" s="1"/>
  <c r="AB18" i="28"/>
  <c r="AO24" i="28"/>
  <c r="AP25" i="28" s="1"/>
  <c r="AQ26" i="28" s="1"/>
  <c r="AR27" i="28" s="1"/>
  <c r="AC19" i="28" l="1"/>
  <c r="AE20" i="28" s="1"/>
  <c r="AD19" i="28"/>
  <c r="Q17" i="28"/>
  <c r="J17" i="28"/>
  <c r="O17" i="28"/>
  <c r="R28" i="28"/>
  <c r="D20" i="28" l="1"/>
  <c r="AF20" i="28"/>
  <c r="P17" i="28"/>
  <c r="F18" i="28"/>
  <c r="E18" i="28"/>
  <c r="G18" i="28" s="1"/>
  <c r="S17" i="28"/>
  <c r="N20" i="28"/>
  <c r="AG21" i="28"/>
  <c r="AI22" i="28" s="1"/>
  <c r="AK23" i="28" s="1"/>
  <c r="AM24" i="28" s="1"/>
  <c r="Y20" i="28"/>
  <c r="L18" i="28" l="1"/>
  <c r="AA18" i="28"/>
  <c r="B18" i="28" s="1"/>
  <c r="H20" i="28"/>
  <c r="T20" i="28" s="1"/>
  <c r="W21" i="28" s="1"/>
  <c r="Z20" i="28"/>
  <c r="AH21" i="28"/>
  <c r="AJ22" i="28" s="1"/>
  <c r="AL23" i="28" s="1"/>
  <c r="AN24" i="28" s="1"/>
  <c r="AO25" i="28" s="1"/>
  <c r="AP26" i="28" s="1"/>
  <c r="AQ27" i="28" s="1"/>
  <c r="AR28" i="28" s="1"/>
  <c r="U21" i="28"/>
  <c r="X21" i="28" s="1"/>
  <c r="R29" i="28" l="1"/>
  <c r="V22" i="28"/>
  <c r="I18" i="28"/>
  <c r="C18" i="28" s="1"/>
  <c r="K18" i="28"/>
  <c r="AB19" i="28"/>
  <c r="J18" i="28" l="1"/>
  <c r="Q18" i="28"/>
  <c r="AC20" i="28"/>
  <c r="AE21" i="28" s="1"/>
  <c r="AD20" i="28"/>
  <c r="D21" i="28" l="1"/>
  <c r="AF21" i="28"/>
  <c r="Y21" i="28"/>
  <c r="AG22" i="28"/>
  <c r="AI23" i="28" s="1"/>
  <c r="AK24" i="28" s="1"/>
  <c r="AM25" i="28" s="1"/>
  <c r="F19" i="28"/>
  <c r="P18" i="28"/>
  <c r="E19" i="28"/>
  <c r="G19" i="28" s="1"/>
  <c r="S18" i="28"/>
  <c r="O18" i="28"/>
  <c r="Z21" i="28" l="1"/>
  <c r="H21" i="28"/>
  <c r="T21" i="28" s="1"/>
  <c r="W22" i="28" s="1"/>
  <c r="AH22" i="28"/>
  <c r="AJ23" i="28" s="1"/>
  <c r="AL24" i="28" s="1"/>
  <c r="AN25" i="28" s="1"/>
  <c r="L19" i="28"/>
  <c r="AA19" i="28"/>
  <c r="B19" i="28" s="1"/>
  <c r="U22" i="28"/>
  <c r="X22" i="28" s="1"/>
  <c r="N21" i="28"/>
  <c r="V23" i="28" l="1"/>
  <c r="K19" i="28"/>
  <c r="I19" i="28"/>
  <c r="C19" i="28" s="1"/>
  <c r="AB20" i="28"/>
  <c r="AO26" i="28"/>
  <c r="AP27" i="28" s="1"/>
  <c r="AQ28" i="28" s="1"/>
  <c r="AR29" i="28" s="1"/>
  <c r="J19" i="28" l="1"/>
  <c r="Q19" i="28"/>
  <c r="AC21" i="28"/>
  <c r="AE22" i="28" s="1"/>
  <c r="AD21" i="28"/>
  <c r="R30" i="28"/>
  <c r="D22" i="28" l="1"/>
  <c r="AF22" i="28"/>
  <c r="C26" i="1"/>
  <c r="I21" i="6"/>
  <c r="I22" i="6" s="1"/>
  <c r="N22" i="28"/>
  <c r="AG23" i="28"/>
  <c r="AI24" i="28" s="1"/>
  <c r="AK25" i="28" s="1"/>
  <c r="AM26" i="28" s="1"/>
  <c r="Y22" i="28"/>
  <c r="F20" i="28"/>
  <c r="P19" i="28"/>
  <c r="I20" i="6"/>
  <c r="C25" i="1"/>
  <c r="E20" i="28"/>
  <c r="G20" i="28" s="1"/>
  <c r="S19" i="28"/>
  <c r="O19" i="28"/>
  <c r="L20" i="28" l="1"/>
  <c r="AA20" i="28"/>
  <c r="B20" i="28" s="1"/>
  <c r="H22" i="28"/>
  <c r="T22" i="28" s="1"/>
  <c r="W23" i="28" s="1"/>
  <c r="Z22" i="28"/>
  <c r="U23" i="28" s="1"/>
  <c r="AH23" i="28"/>
  <c r="AJ24" i="28" s="1"/>
  <c r="AL25" i="28" s="1"/>
  <c r="AN26" i="28" s="1"/>
  <c r="AO27" i="28" s="1"/>
  <c r="AP28" i="28" s="1"/>
  <c r="AQ29" i="28" s="1"/>
  <c r="AR30" i="28" s="1"/>
  <c r="X23" i="28" l="1"/>
  <c r="R31" i="28"/>
  <c r="V24" i="28"/>
  <c r="I20" i="28"/>
  <c r="C20" i="28" s="1"/>
  <c r="K20" i="28"/>
  <c r="AB21" i="28"/>
  <c r="Q20" i="28" l="1"/>
  <c r="J20" i="28"/>
  <c r="AC22" i="28"/>
  <c r="AE23" i="28" s="1"/>
  <c r="AD22" i="28"/>
  <c r="Y23" i="28" l="1"/>
  <c r="AG24" i="28"/>
  <c r="AI25" i="28" s="1"/>
  <c r="AK26" i="28" s="1"/>
  <c r="AM27" i="28" s="1"/>
  <c r="D23" i="28"/>
  <c r="AF23" i="28"/>
  <c r="P20" i="28"/>
  <c r="F21" i="28"/>
  <c r="E21" i="28"/>
  <c r="G21" i="28" s="1"/>
  <c r="S20" i="28"/>
  <c r="O20" i="28"/>
  <c r="H23" i="28" l="1"/>
  <c r="T23" i="28" s="1"/>
  <c r="W24" i="28" s="1"/>
  <c r="Z23" i="28"/>
  <c r="AH24" i="28"/>
  <c r="AJ25" i="28" s="1"/>
  <c r="AL26" i="28" s="1"/>
  <c r="AN27" i="28" s="1"/>
  <c r="L21" i="28"/>
  <c r="AA21" i="28"/>
  <c r="B21" i="28" s="1"/>
  <c r="AO28" i="28"/>
  <c r="AP29" i="28" s="1"/>
  <c r="AQ30" i="28" s="1"/>
  <c r="AR31" i="28" s="1"/>
  <c r="U24" i="28"/>
  <c r="X24" i="28" s="1"/>
  <c r="N23" i="28"/>
  <c r="I21" i="28" l="1"/>
  <c r="C21" i="28" s="1"/>
  <c r="K21" i="28"/>
  <c r="AB22" i="28"/>
  <c r="R32" i="28"/>
  <c r="V25" i="28"/>
  <c r="AC23" i="28" l="1"/>
  <c r="AE24" i="28" s="1"/>
  <c r="AD23" i="28"/>
  <c r="J21" i="28"/>
  <c r="Q21" i="28"/>
  <c r="O21" i="28"/>
  <c r="F22" i="28" l="1"/>
  <c r="P21" i="28"/>
  <c r="E22" i="28"/>
  <c r="G22" i="28" s="1"/>
  <c r="S21" i="28"/>
  <c r="D24" i="28"/>
  <c r="AF24" i="28"/>
  <c r="AG25" i="28"/>
  <c r="AI26" i="28" s="1"/>
  <c r="AK27" i="28" s="1"/>
  <c r="AM28" i="28" s="1"/>
  <c r="Y24" i="28"/>
  <c r="Z24" i="28" l="1"/>
  <c r="H24" i="28"/>
  <c r="T24" i="28" s="1"/>
  <c r="W25" i="28" s="1"/>
  <c r="AH25" i="28"/>
  <c r="AJ26" i="28" s="1"/>
  <c r="AL27" i="28" s="1"/>
  <c r="AN28" i="28" s="1"/>
  <c r="AO29" i="28" s="1"/>
  <c r="AP30" i="28" s="1"/>
  <c r="AQ31" i="28" s="1"/>
  <c r="AR32" i="28" s="1"/>
  <c r="N24" i="28"/>
  <c r="L22" i="28"/>
  <c r="AA22" i="28"/>
  <c r="B22" i="28" s="1"/>
  <c r="U25" i="28"/>
  <c r="X25" i="28" s="1"/>
  <c r="R33" i="28" l="1"/>
  <c r="V26" i="28"/>
  <c r="K22" i="28"/>
  <c r="I22" i="28"/>
  <c r="C22" i="28" s="1"/>
  <c r="AB23" i="28"/>
  <c r="Q22" i="28" l="1"/>
  <c r="J22" i="28"/>
  <c r="AC24" i="28"/>
  <c r="AE25" i="28" s="1"/>
  <c r="AD24" i="28"/>
  <c r="P22" i="28" l="1"/>
  <c r="F23" i="28"/>
  <c r="E23" i="28"/>
  <c r="G23" i="28" s="1"/>
  <c r="S22" i="28"/>
  <c r="D25" i="28"/>
  <c r="AF25" i="28"/>
  <c r="O22" i="28"/>
  <c r="Y25" i="28"/>
  <c r="AG26" i="28"/>
  <c r="AI27" i="28" s="1"/>
  <c r="AK28" i="28" s="1"/>
  <c r="AM29" i="28" s="1"/>
  <c r="Z25" i="28" l="1"/>
  <c r="H25" i="28"/>
  <c r="T25" i="28" s="1"/>
  <c r="W26" i="28" s="1"/>
  <c r="AH26" i="28"/>
  <c r="AJ27" i="28" s="1"/>
  <c r="AL28" i="28" s="1"/>
  <c r="AN29" i="28" s="1"/>
  <c r="U26" i="28"/>
  <c r="X26" i="28" s="1"/>
  <c r="L23" i="28"/>
  <c r="AA23" i="28"/>
  <c r="B23" i="28" s="1"/>
  <c r="N25" i="28"/>
  <c r="I23" i="28" l="1"/>
  <c r="C23" i="28" s="1"/>
  <c r="K23" i="28"/>
  <c r="AB24" i="28"/>
  <c r="AO30" i="28"/>
  <c r="AP31" i="28" s="1"/>
  <c r="AQ32" i="28" s="1"/>
  <c r="AR33" i="28" s="1"/>
  <c r="V27" i="28"/>
  <c r="R34" i="28" l="1"/>
  <c r="AD25" i="28"/>
  <c r="AC25" i="28"/>
  <c r="AE26" i="28" s="1"/>
  <c r="J23" i="28"/>
  <c r="Q23" i="28"/>
  <c r="AG27" i="28" l="1"/>
  <c r="AI28" i="28" s="1"/>
  <c r="AK29" i="28" s="1"/>
  <c r="AM30" i="28" s="1"/>
  <c r="Y26" i="28"/>
  <c r="D26" i="28"/>
  <c r="AF26" i="28"/>
  <c r="P23" i="28"/>
  <c r="F24" i="28"/>
  <c r="E24" i="28"/>
  <c r="G24" i="28" s="1"/>
  <c r="S23" i="28"/>
  <c r="O23" i="28"/>
  <c r="L24" i="28" l="1"/>
  <c r="AA24" i="28"/>
  <c r="B24" i="28" s="1"/>
  <c r="H26" i="28"/>
  <c r="T26" i="28" s="1"/>
  <c r="W27" i="28" s="1"/>
  <c r="Z26" i="28"/>
  <c r="U27" i="28" s="1"/>
  <c r="AH27" i="28"/>
  <c r="AJ28" i="28" s="1"/>
  <c r="AL29" i="28" s="1"/>
  <c r="AN30" i="28" s="1"/>
  <c r="AO31" i="28" s="1"/>
  <c r="AP32" i="28" s="1"/>
  <c r="AQ33" i="28" s="1"/>
  <c r="AR34" i="28" s="1"/>
  <c r="N26" i="28"/>
  <c r="X27" i="28" l="1"/>
  <c r="R35" i="28"/>
  <c r="V28" i="28"/>
  <c r="I24" i="28"/>
  <c r="C24" i="28" s="1"/>
  <c r="K24" i="28"/>
  <c r="AB25" i="28"/>
  <c r="AC26" i="28" l="1"/>
  <c r="AE27" i="28" s="1"/>
  <c r="AD26" i="28"/>
  <c r="J24" i="28"/>
  <c r="Q24" i="28"/>
  <c r="P24" i="28" l="1"/>
  <c r="F25" i="28"/>
  <c r="E25" i="28"/>
  <c r="G25" i="28" s="1"/>
  <c r="S24" i="28"/>
  <c r="D27" i="28"/>
  <c r="AF27" i="28"/>
  <c r="N27" i="28" s="1"/>
  <c r="O24" i="28"/>
  <c r="AG28" i="28"/>
  <c r="AI29" i="28" s="1"/>
  <c r="AK30" i="28" s="1"/>
  <c r="AM31" i="28" s="1"/>
  <c r="Y27" i="28"/>
  <c r="L25" i="28" l="1"/>
  <c r="AA25" i="28"/>
  <c r="B25" i="28" s="1"/>
  <c r="H27" i="28"/>
  <c r="T27" i="28" s="1"/>
  <c r="W28" i="28" s="1"/>
  <c r="Z27" i="28"/>
  <c r="U28" i="28" s="1"/>
  <c r="AH28" i="28"/>
  <c r="AJ29" i="28" s="1"/>
  <c r="AL30" i="28" s="1"/>
  <c r="AN31" i="28" s="1"/>
  <c r="AO32" i="28" s="1"/>
  <c r="AP33" i="28" s="1"/>
  <c r="AQ34" i="28" s="1"/>
  <c r="AR35" i="28" s="1"/>
  <c r="X28" i="28" l="1"/>
  <c r="V29" i="28"/>
  <c r="R36" i="28"/>
  <c r="I25" i="28"/>
  <c r="C25" i="28" s="1"/>
  <c r="K25" i="28"/>
  <c r="AB26" i="28"/>
  <c r="Q25" i="28" l="1"/>
  <c r="J25" i="28"/>
  <c r="O25" i="28"/>
  <c r="AD27" i="28"/>
  <c r="AC27" i="28"/>
  <c r="AE28" i="28" s="1"/>
  <c r="AG29" i="28" l="1"/>
  <c r="AI30" i="28" s="1"/>
  <c r="AK31" i="28" s="1"/>
  <c r="AM32" i="28" s="1"/>
  <c r="Y28" i="28"/>
  <c r="D28" i="28"/>
  <c r="AF28" i="28"/>
  <c r="P25" i="28"/>
  <c r="F26" i="28"/>
  <c r="E26" i="28"/>
  <c r="G26" i="28" s="1"/>
  <c r="S25" i="28"/>
  <c r="L26" i="28" l="1"/>
  <c r="AA26" i="28"/>
  <c r="B26" i="28" s="1"/>
  <c r="Z28" i="28"/>
  <c r="H28" i="28"/>
  <c r="T28" i="28" s="1"/>
  <c r="W29" i="28" s="1"/>
  <c r="AH29" i="28"/>
  <c r="AJ30" i="28" s="1"/>
  <c r="AL31" i="28" s="1"/>
  <c r="AN32" i="28" s="1"/>
  <c r="U29" i="28"/>
  <c r="N28" i="28"/>
  <c r="X29" i="28" l="1"/>
  <c r="V30" i="28"/>
  <c r="K26" i="28"/>
  <c r="I26" i="28"/>
  <c r="C26" i="28" s="1"/>
  <c r="AB27" i="28"/>
  <c r="AO33" i="28"/>
  <c r="AP34" i="28" s="1"/>
  <c r="AQ35" i="28" s="1"/>
  <c r="AR36" i="28" s="1"/>
  <c r="AD28" i="28" l="1"/>
  <c r="AC28" i="28"/>
  <c r="AE29" i="28" s="1"/>
  <c r="J26" i="28"/>
  <c r="Q26" i="28"/>
  <c r="O26" i="28"/>
  <c r="R37" i="28"/>
  <c r="Y29" i="28" l="1"/>
  <c r="AG30" i="28"/>
  <c r="AI31" i="28" s="1"/>
  <c r="AK32" i="28" s="1"/>
  <c r="AM33" i="28" s="1"/>
  <c r="F27" i="28"/>
  <c r="P26" i="28"/>
  <c r="E27" i="28"/>
  <c r="G27" i="28" s="1"/>
  <c r="S26" i="28"/>
  <c r="D29" i="28"/>
  <c r="AF29" i="28"/>
  <c r="L27" i="28" l="1"/>
  <c r="AA27" i="28"/>
  <c r="B27" i="28" s="1"/>
  <c r="Z29" i="28"/>
  <c r="U30" i="28" s="1"/>
  <c r="X30" i="28" s="1"/>
  <c r="H29" i="28"/>
  <c r="T29" i="28" s="1"/>
  <c r="W30" i="28" s="1"/>
  <c r="AH30" i="28"/>
  <c r="AJ31" i="28" s="1"/>
  <c r="AL32" i="28" s="1"/>
  <c r="AN33" i="28" s="1"/>
  <c r="N29" i="28"/>
  <c r="V31" i="28" l="1"/>
  <c r="AO34" i="28"/>
  <c r="AP35" i="28" s="1"/>
  <c r="AQ36" i="28" s="1"/>
  <c r="AR37" i="28" s="1"/>
  <c r="K27" i="28"/>
  <c r="I27" i="28"/>
  <c r="C27" i="28" s="1"/>
  <c r="AB28" i="28"/>
  <c r="AD29" i="28" l="1"/>
  <c r="AC29" i="28"/>
  <c r="AE30" i="28" s="1"/>
  <c r="J27" i="28"/>
  <c r="Q27" i="28"/>
  <c r="R38" i="28"/>
  <c r="O27" i="28"/>
  <c r="Y30" i="28" l="1"/>
  <c r="N30" i="28"/>
  <c r="AG31" i="28"/>
  <c r="AI32" i="28" s="1"/>
  <c r="AK33" i="28" s="1"/>
  <c r="AM34" i="28" s="1"/>
  <c r="F28" i="28"/>
  <c r="P27" i="28"/>
  <c r="E28" i="28"/>
  <c r="G28" i="28" s="1"/>
  <c r="S27" i="28"/>
  <c r="D30" i="28"/>
  <c r="AF30" i="28"/>
  <c r="L28" i="28" l="1"/>
  <c r="AA28" i="28"/>
  <c r="B28" i="28" s="1"/>
  <c r="Z30" i="28"/>
  <c r="H30" i="28"/>
  <c r="T30" i="28" s="1"/>
  <c r="W31" i="28" s="1"/>
  <c r="AH31" i="28"/>
  <c r="AJ32" i="28" s="1"/>
  <c r="AL33" i="28" s="1"/>
  <c r="AN34" i="28" s="1"/>
  <c r="U31" i="28"/>
  <c r="X31" i="28" l="1"/>
  <c r="AO35" i="28"/>
  <c r="AP36" i="28" s="1"/>
  <c r="AQ37" i="28" s="1"/>
  <c r="AR38" i="28" s="1"/>
  <c r="V32" i="28"/>
  <c r="I28" i="28"/>
  <c r="C28" i="28" s="1"/>
  <c r="K28" i="28"/>
  <c r="AB29" i="28"/>
  <c r="AC30" i="28" l="1"/>
  <c r="AE31" i="28" s="1"/>
  <c r="AD30" i="28"/>
  <c r="R39" i="28"/>
  <c r="J28" i="28"/>
  <c r="Q28" i="28"/>
  <c r="O28" i="28"/>
  <c r="D31" i="28" l="1"/>
  <c r="AF31" i="28"/>
  <c r="P28" i="28"/>
  <c r="F29" i="28"/>
  <c r="E29" i="28"/>
  <c r="G29" i="28" s="1"/>
  <c r="S28" i="28"/>
  <c r="N31" i="28"/>
  <c r="AG32" i="28"/>
  <c r="AI33" i="28" s="1"/>
  <c r="AK34" i="28" s="1"/>
  <c r="AM35" i="28" s="1"/>
  <c r="Y31" i="28"/>
  <c r="Z31" i="28" l="1"/>
  <c r="H31" i="28"/>
  <c r="T31" i="28" s="1"/>
  <c r="W32" i="28" s="1"/>
  <c r="AH32" i="28"/>
  <c r="AJ33" i="28" s="1"/>
  <c r="AL34" i="28" s="1"/>
  <c r="AN35" i="28" s="1"/>
  <c r="L29" i="28"/>
  <c r="AA29" i="28"/>
  <c r="B29" i="28" s="1"/>
  <c r="U32" i="28"/>
  <c r="X32" i="28" s="1"/>
  <c r="V33" i="28" l="1"/>
  <c r="I29" i="28"/>
  <c r="C29" i="28" s="1"/>
  <c r="K29" i="28"/>
  <c r="AB30" i="28"/>
  <c r="AO36" i="28"/>
  <c r="AP37" i="28" s="1"/>
  <c r="AQ38" i="28" s="1"/>
  <c r="AR39" i="28" s="1"/>
  <c r="AD31" i="28" l="1"/>
  <c r="AC31" i="28"/>
  <c r="AE32" i="28" s="1"/>
  <c r="J29" i="28"/>
  <c r="O29" i="28"/>
  <c r="Q29" i="28"/>
  <c r="R40" i="28"/>
  <c r="AG33" i="28" l="1"/>
  <c r="AI34" i="28" s="1"/>
  <c r="AK35" i="28" s="1"/>
  <c r="AM36" i="28" s="1"/>
  <c r="Y32" i="28"/>
  <c r="F30" i="28"/>
  <c r="P29" i="28"/>
  <c r="E30" i="28"/>
  <c r="G30" i="28" s="1"/>
  <c r="S29" i="28"/>
  <c r="D32" i="28"/>
  <c r="AF32" i="28"/>
  <c r="L30" i="28" l="1"/>
  <c r="AA30" i="28"/>
  <c r="B30" i="28" s="1"/>
  <c r="AH33" i="28"/>
  <c r="AJ34" i="28" s="1"/>
  <c r="AL35" i="28" s="1"/>
  <c r="AN36" i="28" s="1"/>
  <c r="AO37" i="28" s="1"/>
  <c r="AP38" i="28" s="1"/>
  <c r="AQ39" i="28" s="1"/>
  <c r="AR40" i="28" s="1"/>
  <c r="Z32" i="28"/>
  <c r="U33" i="28" s="1"/>
  <c r="H32" i="28"/>
  <c r="T32" i="28" s="1"/>
  <c r="W33" i="28" s="1"/>
  <c r="N32" i="28"/>
  <c r="X33" i="28" l="1"/>
  <c r="V34" i="28"/>
  <c r="R41" i="28"/>
  <c r="K30" i="28"/>
  <c r="I30" i="28"/>
  <c r="C30" i="28" s="1"/>
  <c r="AB31" i="28"/>
  <c r="Q30" i="28" l="1"/>
  <c r="J30" i="28"/>
  <c r="AC32" i="28"/>
  <c r="AE33" i="28" s="1"/>
  <c r="AD32" i="28"/>
  <c r="Y33" i="28" l="1"/>
  <c r="AG34" i="28"/>
  <c r="AI35" i="28" s="1"/>
  <c r="AK36" i="28" s="1"/>
  <c r="AM37" i="28" s="1"/>
  <c r="D33" i="28"/>
  <c r="AF33" i="28"/>
  <c r="F31" i="28"/>
  <c r="P30" i="28"/>
  <c r="E31" i="28"/>
  <c r="G31" i="28" s="1"/>
  <c r="S30" i="28"/>
  <c r="O30" i="28"/>
  <c r="H33" i="28" l="1"/>
  <c r="T33" i="28" s="1"/>
  <c r="W34" i="28" s="1"/>
  <c r="Z33" i="28"/>
  <c r="AH34" i="28"/>
  <c r="AJ35" i="28" s="1"/>
  <c r="AL36" i="28" s="1"/>
  <c r="AN37" i="28" s="1"/>
  <c r="AO38" i="28" s="1"/>
  <c r="AP39" i="28" s="1"/>
  <c r="AQ40" i="28" s="1"/>
  <c r="AR41" i="28" s="1"/>
  <c r="L31" i="28"/>
  <c r="AA31" i="28"/>
  <c r="B31" i="28" s="1"/>
  <c r="U34" i="28"/>
  <c r="X34" i="28" s="1"/>
  <c r="N33" i="28"/>
  <c r="R42" i="28" l="1"/>
  <c r="V35" i="28"/>
  <c r="I31" i="28"/>
  <c r="C31" i="28" s="1"/>
  <c r="K31" i="28"/>
  <c r="AB32" i="28"/>
  <c r="AC33" i="28" l="1"/>
  <c r="AE34" i="28" s="1"/>
  <c r="AD33" i="28"/>
  <c r="J31" i="28"/>
  <c r="Q31" i="28"/>
  <c r="P31" i="28" l="1"/>
  <c r="F32" i="28"/>
  <c r="E32" i="28"/>
  <c r="G32" i="28" s="1"/>
  <c r="S31" i="28"/>
  <c r="D34" i="28"/>
  <c r="AF34" i="28"/>
  <c r="O31" i="28"/>
  <c r="Y34" i="28"/>
  <c r="AG35" i="28"/>
  <c r="AI36" i="28" s="1"/>
  <c r="AK37" i="28" s="1"/>
  <c r="AM38" i="28" s="1"/>
  <c r="L32" i="28" l="1"/>
  <c r="AA32" i="28"/>
  <c r="B32" i="28" s="1"/>
  <c r="Z34" i="28"/>
  <c r="U35" i="28" s="1"/>
  <c r="H34" i="28"/>
  <c r="T34" i="28" s="1"/>
  <c r="W35" i="28" s="1"/>
  <c r="AH35" i="28"/>
  <c r="AJ36" i="28" s="1"/>
  <c r="AL37" i="28" s="1"/>
  <c r="AN38" i="28" s="1"/>
  <c r="N34" i="28"/>
  <c r="X35" i="28" l="1"/>
  <c r="V36" i="28"/>
  <c r="AO39" i="28"/>
  <c r="AP40" i="28" s="1"/>
  <c r="AQ41" i="28" s="1"/>
  <c r="AR42" i="28" s="1"/>
  <c r="I32" i="28"/>
  <c r="C32" i="28" s="1"/>
  <c r="K32" i="28"/>
  <c r="AB33" i="28"/>
  <c r="AC34" i="28" l="1"/>
  <c r="AE35" i="28" s="1"/>
  <c r="AD34" i="28"/>
  <c r="J32" i="28"/>
  <c r="Q32" i="28"/>
  <c r="R43" i="28"/>
  <c r="O32" i="28"/>
  <c r="D35" i="28" l="1"/>
  <c r="AF35" i="28"/>
  <c r="P32" i="28"/>
  <c r="F33" i="28"/>
  <c r="E33" i="28"/>
  <c r="G33" i="28" s="1"/>
  <c r="S32" i="28"/>
  <c r="N35" i="28"/>
  <c r="Y35" i="28"/>
  <c r="AG36" i="28"/>
  <c r="AI37" i="28" s="1"/>
  <c r="AK38" i="28" s="1"/>
  <c r="AM39" i="28" s="1"/>
  <c r="Z35" i="28" l="1"/>
  <c r="U36" i="28" s="1"/>
  <c r="H35" i="28"/>
  <c r="T35" i="28" s="1"/>
  <c r="W36" i="28" s="1"/>
  <c r="AH36" i="28"/>
  <c r="AJ37" i="28" s="1"/>
  <c r="AL38" i="28" s="1"/>
  <c r="AN39" i="28" s="1"/>
  <c r="L33" i="28"/>
  <c r="AA33" i="28"/>
  <c r="B33" i="28" s="1"/>
  <c r="X36" i="28" l="1"/>
  <c r="V37" i="28"/>
  <c r="AO40" i="28"/>
  <c r="AP41" i="28" s="1"/>
  <c r="AQ42" i="28" s="1"/>
  <c r="AR43" i="28" s="1"/>
  <c r="I33" i="28"/>
  <c r="C33" i="28" s="1"/>
  <c r="K33" i="28"/>
  <c r="AB34" i="28"/>
  <c r="AD35" i="28" l="1"/>
  <c r="AC35" i="28"/>
  <c r="AE36" i="28" s="1"/>
  <c r="J33" i="28"/>
  <c r="Q33" i="28"/>
  <c r="R44" i="28"/>
  <c r="O33" i="28"/>
  <c r="Y36" i="28" l="1"/>
  <c r="N36" i="28"/>
  <c r="AG37" i="28"/>
  <c r="AI38" i="28" s="1"/>
  <c r="AK39" i="28" s="1"/>
  <c r="AM40" i="28" s="1"/>
  <c r="P33" i="28"/>
  <c r="F34" i="28"/>
  <c r="E34" i="28"/>
  <c r="G34" i="28" s="1"/>
  <c r="S33" i="28"/>
  <c r="D36" i="28"/>
  <c r="AF36" i="28"/>
  <c r="L34" i="28" l="1"/>
  <c r="AA34" i="28"/>
  <c r="B34" i="28" s="1"/>
  <c r="Z36" i="28"/>
  <c r="H36" i="28"/>
  <c r="T36" i="28" s="1"/>
  <c r="W37" i="28" s="1"/>
  <c r="AH37" i="28"/>
  <c r="AJ38" i="28" s="1"/>
  <c r="AL39" i="28" s="1"/>
  <c r="AN40" i="28" s="1"/>
  <c r="U37" i="28"/>
  <c r="X37" i="28" s="1"/>
  <c r="AO41" i="28" l="1"/>
  <c r="AP42" i="28" s="1"/>
  <c r="AQ43" i="28" s="1"/>
  <c r="AR44" i="28" s="1"/>
  <c r="V38" i="28"/>
  <c r="K34" i="28"/>
  <c r="I34" i="28"/>
  <c r="C34" i="28" s="1"/>
  <c r="AB35" i="28"/>
  <c r="Q34" i="28" l="1"/>
  <c r="J34" i="28"/>
  <c r="AD36" i="28"/>
  <c r="AC36" i="28"/>
  <c r="AE37" i="28" s="1"/>
  <c r="R45" i="28"/>
  <c r="O34" i="28"/>
  <c r="Y37" i="28" l="1"/>
  <c r="AG38" i="28"/>
  <c r="AI39" i="28" s="1"/>
  <c r="AK40" i="28" s="1"/>
  <c r="AM41" i="28" s="1"/>
  <c r="D37" i="28"/>
  <c r="AF37" i="28"/>
  <c r="F35" i="28"/>
  <c r="P34" i="28"/>
  <c r="E35" i="28"/>
  <c r="G35" i="28" s="1"/>
  <c r="S34" i="28"/>
  <c r="L35" i="28" l="1"/>
  <c r="AA35" i="28"/>
  <c r="B35" i="28" s="1"/>
  <c r="H37" i="28"/>
  <c r="T37" i="28" s="1"/>
  <c r="W38" i="28" s="1"/>
  <c r="Z37" i="28"/>
  <c r="AH38" i="28"/>
  <c r="AJ39" i="28" s="1"/>
  <c r="AL40" i="28" s="1"/>
  <c r="AN41" i="28" s="1"/>
  <c r="U38" i="28"/>
  <c r="X38" i="28" s="1"/>
  <c r="N37" i="28"/>
  <c r="V39" i="28" l="1"/>
  <c r="I35" i="28"/>
  <c r="C35" i="28" s="1"/>
  <c r="K35" i="28"/>
  <c r="AB36" i="28"/>
  <c r="AO42" i="28"/>
  <c r="AP43" i="28" s="1"/>
  <c r="AQ44" i="28" s="1"/>
  <c r="AR45" i="28" s="1"/>
  <c r="O35" i="28" l="1"/>
  <c r="AC37" i="28"/>
  <c r="AE38" i="28" s="1"/>
  <c r="AD37" i="28"/>
  <c r="Q35" i="28"/>
  <c r="J35" i="28"/>
  <c r="R46" i="28"/>
  <c r="P35" i="28" l="1"/>
  <c r="F36" i="28"/>
  <c r="E36" i="28"/>
  <c r="G36" i="28" s="1"/>
  <c r="S35" i="28"/>
  <c r="D38" i="28"/>
  <c r="AF38" i="28"/>
  <c r="N38" i="28" s="1"/>
  <c r="Y38" i="28"/>
  <c r="AG39" i="28"/>
  <c r="AI40" i="28" s="1"/>
  <c r="AK41" i="28" s="1"/>
  <c r="AM42" i="28" s="1"/>
  <c r="H38" i="28" l="1"/>
  <c r="T38" i="28" s="1"/>
  <c r="W39" i="28" s="1"/>
  <c r="Z38" i="28"/>
  <c r="U39" i="28" s="1"/>
  <c r="X39" i="28" s="1"/>
  <c r="AH39" i="28"/>
  <c r="AJ40" i="28" s="1"/>
  <c r="AL41" i="28" s="1"/>
  <c r="AN42" i="28" s="1"/>
  <c r="L36" i="28"/>
  <c r="AA36" i="28"/>
  <c r="B36" i="28" s="1"/>
  <c r="AO43" i="28"/>
  <c r="AP44" i="28" s="1"/>
  <c r="AQ45" i="28" s="1"/>
  <c r="AR46" i="28" s="1"/>
  <c r="V40" i="28" l="1"/>
  <c r="I36" i="28"/>
  <c r="C36" i="28" s="1"/>
  <c r="K36" i="28"/>
  <c r="AB37" i="28"/>
  <c r="R47" i="28"/>
  <c r="O36" i="28" l="1"/>
  <c r="AD38" i="28"/>
  <c r="AC38" i="28"/>
  <c r="AE39" i="28" s="1"/>
  <c r="Q36" i="28"/>
  <c r="J36" i="28"/>
  <c r="F37" i="28" l="1"/>
  <c r="P36" i="28"/>
  <c r="E37" i="28"/>
  <c r="G37" i="28" s="1"/>
  <c r="S36" i="28"/>
  <c r="Y39" i="28"/>
  <c r="N39" i="28"/>
  <c r="AG40" i="28"/>
  <c r="AI41" i="28" s="1"/>
  <c r="AK42" i="28" s="1"/>
  <c r="AM43" i="28" s="1"/>
  <c r="D39" i="28"/>
  <c r="AF39" i="28"/>
  <c r="L37" i="28" l="1"/>
  <c r="AA37" i="28"/>
  <c r="B37" i="28" s="1"/>
  <c r="H39" i="28"/>
  <c r="T39" i="28" s="1"/>
  <c r="W40" i="28" s="1"/>
  <c r="Z39" i="28"/>
  <c r="U40" i="28" s="1"/>
  <c r="AH40" i="28"/>
  <c r="AJ41" i="28" s="1"/>
  <c r="AL42" i="28" s="1"/>
  <c r="AN43" i="28" s="1"/>
  <c r="X40" i="28" l="1"/>
  <c r="V41" i="28"/>
  <c r="I37" i="28"/>
  <c r="C37" i="28" s="1"/>
  <c r="K37" i="28"/>
  <c r="AB38" i="28"/>
  <c r="AO44" i="28"/>
  <c r="AP45" i="28" s="1"/>
  <c r="AQ46" i="28" s="1"/>
  <c r="AR47" i="28" s="1"/>
  <c r="AC39" i="28" l="1"/>
  <c r="AE40" i="28" s="1"/>
  <c r="AD39" i="28"/>
  <c r="O37" i="28"/>
  <c r="J37" i="28"/>
  <c r="Q37" i="28"/>
  <c r="R48" i="28"/>
  <c r="AF40" i="28" l="1"/>
  <c r="D40" i="28"/>
  <c r="F38" i="28"/>
  <c r="P37" i="28"/>
  <c r="E38" i="28"/>
  <c r="G38" i="28" s="1"/>
  <c r="S37" i="28"/>
  <c r="E26" i="1"/>
  <c r="K21" i="6"/>
  <c r="Y40" i="28"/>
  <c r="N40" i="28"/>
  <c r="AG41" i="28"/>
  <c r="AI42" i="28" s="1"/>
  <c r="AK43" i="28" s="1"/>
  <c r="AM44" i="28" s="1"/>
  <c r="L38" i="28" l="1"/>
  <c r="AA38" i="28"/>
  <c r="B38" i="28" s="1"/>
  <c r="H40" i="28"/>
  <c r="T40" i="28" s="1"/>
  <c r="W41" i="28" s="1"/>
  <c r="Z40" i="28"/>
  <c r="U41" i="28" s="1"/>
  <c r="AH41" i="28"/>
  <c r="AJ42" i="28" s="1"/>
  <c r="AL43" i="28" s="1"/>
  <c r="AN44" i="28" s="1"/>
  <c r="X41" i="28" l="1"/>
  <c r="V42" i="28"/>
  <c r="I38" i="28"/>
  <c r="C38" i="28" s="1"/>
  <c r="K38" i="28"/>
  <c r="AB39" i="28"/>
  <c r="AO45" i="28"/>
  <c r="AP46" i="28" s="1"/>
  <c r="AQ47" i="28" s="1"/>
  <c r="AR48" i="28" s="1"/>
  <c r="AD40" i="28" l="1"/>
  <c r="AC40" i="28"/>
  <c r="AE41" i="28" s="1"/>
  <c r="D26" i="1"/>
  <c r="J38" i="28"/>
  <c r="Q38" i="28"/>
  <c r="O38" i="28"/>
  <c r="R49" i="28"/>
  <c r="P38" i="28" l="1"/>
  <c r="D25" i="1"/>
  <c r="F39" i="28"/>
  <c r="E39" i="28"/>
  <c r="G39" i="28" s="1"/>
  <c r="S38" i="28"/>
  <c r="N41" i="28"/>
  <c r="Y41" i="28"/>
  <c r="AG42" i="28"/>
  <c r="AI43" i="28" s="1"/>
  <c r="AK44" i="28" s="1"/>
  <c r="AM45" i="28" s="1"/>
  <c r="D41" i="28"/>
  <c r="AF41" i="28"/>
  <c r="L39" i="28" l="1"/>
  <c r="AA39" i="28"/>
  <c r="B39" i="28" s="1"/>
  <c r="H41" i="28"/>
  <c r="T41" i="28" s="1"/>
  <c r="W42" i="28" s="1"/>
  <c r="Z41" i="28"/>
  <c r="U42" i="28" s="1"/>
  <c r="AH42" i="28"/>
  <c r="AJ43" i="28" s="1"/>
  <c r="AL44" i="28" s="1"/>
  <c r="AN45" i="28" s="1"/>
  <c r="AO46" i="28" s="1"/>
  <c r="AP47" i="28" s="1"/>
  <c r="AQ48" i="28" s="1"/>
  <c r="AR49" i="28" s="1"/>
  <c r="X42" i="28" l="1"/>
  <c r="R50" i="28"/>
  <c r="V43" i="28"/>
  <c r="I39" i="28"/>
  <c r="C39" i="28" s="1"/>
  <c r="K39" i="28"/>
  <c r="AB40" i="28"/>
  <c r="J39" i="28" l="1"/>
  <c r="Q39" i="28"/>
  <c r="J21" i="6"/>
  <c r="AD41" i="28"/>
  <c r="AC41" i="28"/>
  <c r="AE42" i="28" s="1"/>
  <c r="D42" i="28" l="1"/>
  <c r="AF42" i="28"/>
  <c r="N42" i="28"/>
  <c r="Y42" i="28"/>
  <c r="AG43" i="28"/>
  <c r="AI44" i="28" s="1"/>
  <c r="AK45" i="28" s="1"/>
  <c r="AM46" i="28" s="1"/>
  <c r="F40" i="28"/>
  <c r="J20" i="6"/>
  <c r="J22" i="6" s="1"/>
  <c r="P39" i="28"/>
  <c r="E40" i="28"/>
  <c r="G40" i="28" s="1"/>
  <c r="S39" i="28"/>
  <c r="O39" i="28"/>
  <c r="Z42" i="28" l="1"/>
  <c r="U43" i="28" s="1"/>
  <c r="H42" i="28"/>
  <c r="T42" i="28" s="1"/>
  <c r="W43" i="28" s="1"/>
  <c r="AH43" i="28"/>
  <c r="AJ44" i="28" s="1"/>
  <c r="AL45" i="28" s="1"/>
  <c r="AN46" i="28" s="1"/>
  <c r="AO47" i="28" s="1"/>
  <c r="AP48" i="28" s="1"/>
  <c r="AQ49" i="28" s="1"/>
  <c r="AR50" i="28" s="1"/>
  <c r="L40" i="28"/>
  <c r="AA40" i="28"/>
  <c r="B40" i="28" s="1"/>
  <c r="X43" i="28" l="1"/>
  <c r="R51" i="28"/>
  <c r="V44" i="28"/>
  <c r="K40" i="28"/>
  <c r="I40" i="28"/>
  <c r="C40" i="28" s="1"/>
  <c r="AB41" i="28"/>
  <c r="AC42" i="28" l="1"/>
  <c r="AE43" i="28" s="1"/>
  <c r="AD42" i="28"/>
  <c r="J40" i="28"/>
  <c r="Q40" i="28"/>
  <c r="P40" i="28" l="1"/>
  <c r="F41" i="28"/>
  <c r="E41" i="28"/>
  <c r="G41" i="28" s="1"/>
  <c r="S40" i="28"/>
  <c r="D43" i="28"/>
  <c r="AF43" i="28"/>
  <c r="N43" i="28" s="1"/>
  <c r="O40" i="28"/>
  <c r="Y43" i="28"/>
  <c r="AG44" i="28"/>
  <c r="AI45" i="28" s="1"/>
  <c r="AK46" i="28" s="1"/>
  <c r="AM47" i="28" s="1"/>
  <c r="L41" i="28" l="1"/>
  <c r="AA41" i="28"/>
  <c r="B41" i="28" s="1"/>
  <c r="H43" i="28"/>
  <c r="T43" i="28" s="1"/>
  <c r="W44" i="28" s="1"/>
  <c r="Z43" i="28"/>
  <c r="AH44" i="28"/>
  <c r="AJ45" i="28" s="1"/>
  <c r="AL46" i="28" s="1"/>
  <c r="AN47" i="28" s="1"/>
  <c r="AO48" i="28" s="1"/>
  <c r="AP49" i="28" s="1"/>
  <c r="AQ50" i="28" s="1"/>
  <c r="AR51" i="28" s="1"/>
  <c r="U44" i="28"/>
  <c r="X44" i="28" s="1"/>
  <c r="R52" i="28" l="1"/>
  <c r="V45" i="28"/>
  <c r="I41" i="28"/>
  <c r="C41" i="28" s="1"/>
  <c r="K41" i="28"/>
  <c r="AB42" i="28"/>
  <c r="J41" i="28" l="1"/>
  <c r="Q41" i="28"/>
  <c r="O41" i="28"/>
  <c r="AC43" i="28"/>
  <c r="AE44" i="28" s="1"/>
  <c r="AD43" i="28"/>
  <c r="Y44" i="28" l="1"/>
  <c r="AG45" i="28"/>
  <c r="AI46" i="28" s="1"/>
  <c r="AK47" i="28" s="1"/>
  <c r="AM48" i="28" s="1"/>
  <c r="AF44" i="28"/>
  <c r="D44" i="28"/>
  <c r="F42" i="28"/>
  <c r="P41" i="28"/>
  <c r="E42" i="28"/>
  <c r="G42" i="28" s="1"/>
  <c r="S41" i="28"/>
  <c r="L42" i="28" l="1"/>
  <c r="AA42" i="28"/>
  <c r="B42" i="28" s="1"/>
  <c r="Z44" i="28"/>
  <c r="H44" i="28"/>
  <c r="T44" i="28" s="1"/>
  <c r="W45" i="28" s="1"/>
  <c r="AH45" i="28"/>
  <c r="AJ46" i="28" s="1"/>
  <c r="AL47" i="28" s="1"/>
  <c r="AN48" i="28" s="1"/>
  <c r="U45" i="28"/>
  <c r="X45" i="28" s="1"/>
  <c r="N44" i="28"/>
  <c r="AO49" i="28" l="1"/>
  <c r="AP50" i="28" s="1"/>
  <c r="AQ51" i="28" s="1"/>
  <c r="AR52" i="28" s="1"/>
  <c r="V46" i="28"/>
  <c r="K42" i="28"/>
  <c r="I42" i="28"/>
  <c r="C42" i="28" s="1"/>
  <c r="AB43" i="28"/>
  <c r="J42" i="28" l="1"/>
  <c r="Q42" i="28"/>
  <c r="AD44" i="28"/>
  <c r="AC44" i="28"/>
  <c r="AE45" i="28" s="1"/>
  <c r="R53" i="28"/>
  <c r="O42" i="28"/>
  <c r="AF45" i="28" l="1"/>
  <c r="D45" i="28"/>
  <c r="Y45" i="28"/>
  <c r="N45" i="28"/>
  <c r="AG46" i="28"/>
  <c r="AI47" i="28" s="1"/>
  <c r="AK48" i="28" s="1"/>
  <c r="AM49" i="28" s="1"/>
  <c r="F43" i="28"/>
  <c r="P42" i="28"/>
  <c r="E43" i="28"/>
  <c r="G43" i="28" s="1"/>
  <c r="S42" i="28"/>
  <c r="L43" i="28" l="1"/>
  <c r="AA43" i="28"/>
  <c r="B43" i="28" s="1"/>
  <c r="Z45" i="28"/>
  <c r="U46" i="28" s="1"/>
  <c r="H45" i="28"/>
  <c r="T45" i="28" s="1"/>
  <c r="W46" i="28" s="1"/>
  <c r="AH46" i="28"/>
  <c r="AJ47" i="28" s="1"/>
  <c r="AL48" i="28" s="1"/>
  <c r="AN49" i="28" s="1"/>
  <c r="X46" i="28" l="1"/>
  <c r="V47" i="28"/>
  <c r="I43" i="28"/>
  <c r="C43" i="28" s="1"/>
  <c r="K43" i="28"/>
  <c r="AB44" i="28"/>
  <c r="AO50" i="28"/>
  <c r="AP51" i="28" s="1"/>
  <c r="AQ52" i="28" s="1"/>
  <c r="AR53" i="28" s="1"/>
  <c r="AC45" i="28" l="1"/>
  <c r="AE46" i="28" s="1"/>
  <c r="AD45" i="28"/>
  <c r="J43" i="28"/>
  <c r="Q43" i="28"/>
  <c r="O43" i="28"/>
  <c r="R54" i="28"/>
  <c r="D46" i="28" l="1"/>
  <c r="AF46" i="28"/>
  <c r="F44" i="28"/>
  <c r="P43" i="28"/>
  <c r="E44" i="28"/>
  <c r="G44" i="28" s="1"/>
  <c r="S43" i="28"/>
  <c r="N46" i="28"/>
  <c r="Y46" i="28"/>
  <c r="AG47" i="28"/>
  <c r="AI48" i="28" s="1"/>
  <c r="AK49" i="28" s="1"/>
  <c r="AM50" i="28" s="1"/>
  <c r="L44" i="28" l="1"/>
  <c r="AA44" i="28"/>
  <c r="B44" i="28" s="1"/>
  <c r="Z46" i="28"/>
  <c r="U47" i="28" s="1"/>
  <c r="H46" i="28"/>
  <c r="T46" i="28" s="1"/>
  <c r="W47" i="28" s="1"/>
  <c r="AH47" i="28"/>
  <c r="AJ48" i="28" s="1"/>
  <c r="AL49" i="28" s="1"/>
  <c r="AN50" i="28" s="1"/>
  <c r="X47" i="28" l="1"/>
  <c r="V48" i="28"/>
  <c r="AO51" i="28"/>
  <c r="AP52" i="28" s="1"/>
  <c r="AQ53" i="28" s="1"/>
  <c r="AR54" i="28" s="1"/>
  <c r="K44" i="28"/>
  <c r="I44" i="28"/>
  <c r="C44" i="28" s="1"/>
  <c r="AB45" i="28"/>
  <c r="AD46" i="28" l="1"/>
  <c r="AC46" i="28"/>
  <c r="AE47" i="28" s="1"/>
  <c r="Q44" i="28"/>
  <c r="J44" i="28"/>
  <c r="R55" i="28"/>
  <c r="O44" i="28"/>
  <c r="Y47" i="28" l="1"/>
  <c r="AG48" i="28"/>
  <c r="AI49" i="28" s="1"/>
  <c r="AK50" i="28" s="1"/>
  <c r="AM51" i="28" s="1"/>
  <c r="F45" i="28"/>
  <c r="P44" i="28"/>
  <c r="E45" i="28"/>
  <c r="G45" i="28" s="1"/>
  <c r="S44" i="28"/>
  <c r="D47" i="28"/>
  <c r="AF47" i="28"/>
  <c r="L45" i="28" l="1"/>
  <c r="AA45" i="28"/>
  <c r="B45" i="28" s="1"/>
  <c r="Z47" i="28"/>
  <c r="U48" i="28" s="1"/>
  <c r="H47" i="28"/>
  <c r="T47" i="28" s="1"/>
  <c r="W48" i="28" s="1"/>
  <c r="AH48" i="28"/>
  <c r="AJ49" i="28" s="1"/>
  <c r="AL50" i="28" s="1"/>
  <c r="AN51" i="28" s="1"/>
  <c r="N47" i="28"/>
  <c r="X48" i="28" l="1"/>
  <c r="V49" i="28"/>
  <c r="AO52" i="28"/>
  <c r="AP53" i="28" s="1"/>
  <c r="AQ54" i="28" s="1"/>
  <c r="AR55" i="28" s="1"/>
  <c r="K45" i="28"/>
  <c r="I45" i="28"/>
  <c r="C45" i="28" s="1"/>
  <c r="AB46" i="28"/>
  <c r="J45" i="28" l="1"/>
  <c r="Q45" i="28"/>
  <c r="AD47" i="28"/>
  <c r="AC47" i="28"/>
  <c r="AE48" i="28" s="1"/>
  <c r="R56" i="28"/>
  <c r="Y48" i="28" l="1"/>
  <c r="AG49" i="28"/>
  <c r="AI50" i="28" s="1"/>
  <c r="AK51" i="28" s="1"/>
  <c r="AM52" i="28" s="1"/>
  <c r="D48" i="28"/>
  <c r="AF48" i="28"/>
  <c r="F46" i="28"/>
  <c r="P45" i="28"/>
  <c r="E46" i="28"/>
  <c r="G46" i="28" s="1"/>
  <c r="S45" i="28"/>
  <c r="O45" i="28"/>
  <c r="L46" i="28" l="1"/>
  <c r="AA46" i="28"/>
  <c r="B46" i="28" s="1"/>
  <c r="AH49" i="28"/>
  <c r="AJ50" i="28" s="1"/>
  <c r="AL51" i="28" s="1"/>
  <c r="AN52" i="28" s="1"/>
  <c r="AO53" i="28" s="1"/>
  <c r="AP54" i="28" s="1"/>
  <c r="AQ55" i="28" s="1"/>
  <c r="AR56" i="28" s="1"/>
  <c r="H48" i="28"/>
  <c r="T48" i="28" s="1"/>
  <c r="W49" i="28" s="1"/>
  <c r="Z48" i="28"/>
  <c r="U49" i="28" s="1"/>
  <c r="X49" i="28" s="1"/>
  <c r="N48" i="28"/>
  <c r="V50" i="28" l="1"/>
  <c r="R57" i="28"/>
  <c r="I46" i="28"/>
  <c r="C46" i="28" s="1"/>
  <c r="K46" i="28"/>
  <c r="AB47" i="28"/>
  <c r="Q46" i="28" l="1"/>
  <c r="J46" i="28"/>
  <c r="AD48" i="28"/>
  <c r="AC48" i="28"/>
  <c r="AE49" i="28" s="1"/>
  <c r="AG50" i="28" l="1"/>
  <c r="AI51" i="28" s="1"/>
  <c r="AK52" i="28" s="1"/>
  <c r="AM53" i="28" s="1"/>
  <c r="Y49" i="28"/>
  <c r="P46" i="28"/>
  <c r="F47" i="28"/>
  <c r="E47" i="28"/>
  <c r="G47" i="28" s="1"/>
  <c r="S46" i="28"/>
  <c r="D49" i="28"/>
  <c r="AF49" i="28"/>
  <c r="O46" i="28"/>
  <c r="L47" i="28" l="1"/>
  <c r="AA47" i="28"/>
  <c r="B47" i="28" s="1"/>
  <c r="Z49" i="28"/>
  <c r="U50" i="28" s="1"/>
  <c r="H49" i="28"/>
  <c r="T49" i="28" s="1"/>
  <c r="W50" i="28" s="1"/>
  <c r="AH50" i="28"/>
  <c r="AJ51" i="28" s="1"/>
  <c r="AL52" i="28" s="1"/>
  <c r="AN53" i="28" s="1"/>
  <c r="N49" i="28"/>
  <c r="X50" i="28" l="1"/>
  <c r="V51" i="28"/>
  <c r="I47" i="28"/>
  <c r="C47" i="28" s="1"/>
  <c r="K47" i="28"/>
  <c r="AB48" i="28"/>
  <c r="AO54" i="28"/>
  <c r="AP55" i="28" s="1"/>
  <c r="AQ56" i="28" s="1"/>
  <c r="AR57" i="28" s="1"/>
  <c r="AD49" i="28" l="1"/>
  <c r="AC49" i="28"/>
  <c r="AE50" i="28" s="1"/>
  <c r="J47" i="28"/>
  <c r="Q47" i="28"/>
  <c r="O47" i="28"/>
  <c r="R58" i="28"/>
  <c r="Y50" i="28" l="1"/>
  <c r="AG51" i="28"/>
  <c r="AI52" i="28" s="1"/>
  <c r="AK53" i="28" s="1"/>
  <c r="AM54" i="28" s="1"/>
  <c r="P47" i="28"/>
  <c r="F48" i="28"/>
  <c r="E48" i="28"/>
  <c r="G48" i="28" s="1"/>
  <c r="S47" i="28"/>
  <c r="D50" i="28"/>
  <c r="AF50" i="28"/>
  <c r="L48" i="28" l="1"/>
  <c r="AA48" i="28"/>
  <c r="B48" i="28" s="1"/>
  <c r="H50" i="28"/>
  <c r="T50" i="28" s="1"/>
  <c r="W51" i="28" s="1"/>
  <c r="Z50" i="28"/>
  <c r="U51" i="28" s="1"/>
  <c r="AH51" i="28"/>
  <c r="AJ52" i="28" s="1"/>
  <c r="AL53" i="28" s="1"/>
  <c r="AN54" i="28" s="1"/>
  <c r="N50" i="28"/>
  <c r="X51" i="28" l="1"/>
  <c r="V52" i="28"/>
  <c r="AO55" i="28"/>
  <c r="AP56" i="28" s="1"/>
  <c r="AQ57" i="28" s="1"/>
  <c r="AR58" i="28" s="1"/>
  <c r="I48" i="28"/>
  <c r="C48" i="28" s="1"/>
  <c r="K48" i="28"/>
  <c r="AB49" i="28"/>
  <c r="J48" i="28" l="1"/>
  <c r="Q48" i="28"/>
  <c r="AC50" i="28"/>
  <c r="AE51" i="28" s="1"/>
  <c r="AD50" i="28"/>
  <c r="R59" i="28"/>
  <c r="D51" i="28" l="1"/>
  <c r="AF51" i="28"/>
  <c r="Y51" i="28"/>
  <c r="AG52" i="28"/>
  <c r="AI53" i="28" s="1"/>
  <c r="AK54" i="28" s="1"/>
  <c r="AM55" i="28" s="1"/>
  <c r="N51" i="28"/>
  <c r="P48" i="28"/>
  <c r="F49" i="28"/>
  <c r="E49" i="28"/>
  <c r="G49" i="28" s="1"/>
  <c r="S48" i="28"/>
  <c r="O48" i="28"/>
  <c r="L49" i="28" l="1"/>
  <c r="AA49" i="28"/>
  <c r="B49" i="28" s="1"/>
  <c r="Z51" i="28"/>
  <c r="U52" i="28" s="1"/>
  <c r="H51" i="28"/>
  <c r="T51" i="28" s="1"/>
  <c r="W52" i="28" s="1"/>
  <c r="AH52" i="28"/>
  <c r="AJ53" i="28" s="1"/>
  <c r="AL54" i="28" s="1"/>
  <c r="AN55" i="28" s="1"/>
  <c r="X52" i="28" l="1"/>
  <c r="V53" i="28"/>
  <c r="AO56" i="28"/>
  <c r="AP57" i="28" s="1"/>
  <c r="AQ58" i="28" s="1"/>
  <c r="AR59" i="28" s="1"/>
  <c r="I49" i="28"/>
  <c r="C49" i="28" s="1"/>
  <c r="K49" i="28"/>
  <c r="AB50" i="28"/>
  <c r="AC51" i="28" l="1"/>
  <c r="AE52" i="28" s="1"/>
  <c r="AD51" i="28"/>
  <c r="Q49" i="28"/>
  <c r="J49" i="28"/>
  <c r="R60" i="28"/>
  <c r="O49" i="28"/>
  <c r="D52" i="28" l="1"/>
  <c r="AF52" i="28"/>
  <c r="P49" i="28"/>
  <c r="F50" i="28"/>
  <c r="E50" i="28"/>
  <c r="G50" i="28" s="1"/>
  <c r="S49" i="28"/>
  <c r="N52" i="28"/>
  <c r="AG53" i="28"/>
  <c r="AI54" i="28" s="1"/>
  <c r="AK55" i="28" s="1"/>
  <c r="AM56" i="28" s="1"/>
  <c r="Y52" i="28"/>
  <c r="L50" i="28" l="1"/>
  <c r="AA50" i="28"/>
  <c r="B50" i="28" s="1"/>
  <c r="Z52" i="28"/>
  <c r="H52" i="28"/>
  <c r="T52" i="28" s="1"/>
  <c r="W53" i="28" s="1"/>
  <c r="AH53" i="28"/>
  <c r="AJ54" i="28" s="1"/>
  <c r="AL55" i="28" s="1"/>
  <c r="AN56" i="28" s="1"/>
  <c r="U53" i="28"/>
  <c r="X53" i="28" s="1"/>
  <c r="V54" i="28" l="1"/>
  <c r="K50" i="28"/>
  <c r="I50" i="28"/>
  <c r="C50" i="28" s="1"/>
  <c r="AB51" i="28"/>
  <c r="AO57" i="28"/>
  <c r="AP58" i="28" s="1"/>
  <c r="AQ59" i="28" s="1"/>
  <c r="AR60" i="28" s="1"/>
  <c r="AC52" i="28" l="1"/>
  <c r="AE53" i="28" s="1"/>
  <c r="AD52" i="28"/>
  <c r="O50" i="28"/>
  <c r="Q50" i="28"/>
  <c r="J50" i="28"/>
  <c r="R61" i="28"/>
  <c r="D53" i="28" l="1"/>
  <c r="AF53" i="28"/>
  <c r="F51" i="28"/>
  <c r="P50" i="28"/>
  <c r="E51" i="28"/>
  <c r="G51" i="28" s="1"/>
  <c r="S50" i="28"/>
  <c r="N53" i="28"/>
  <c r="Y53" i="28"/>
  <c r="AG54" i="28"/>
  <c r="AI55" i="28" s="1"/>
  <c r="AK56" i="28" s="1"/>
  <c r="AM57" i="28" s="1"/>
  <c r="H53" i="28" l="1"/>
  <c r="T53" i="28" s="1"/>
  <c r="W54" i="28" s="1"/>
  <c r="Z53" i="28"/>
  <c r="U54" i="28" s="1"/>
  <c r="X54" i="28" s="1"/>
  <c r="AH54" i="28"/>
  <c r="AJ55" i="28" s="1"/>
  <c r="AL56" i="28" s="1"/>
  <c r="AN57" i="28" s="1"/>
  <c r="AO58" i="28" s="1"/>
  <c r="AP59" i="28" s="1"/>
  <c r="AQ60" i="28" s="1"/>
  <c r="AR61" i="28" s="1"/>
  <c r="L51" i="28"/>
  <c r="AA51" i="28"/>
  <c r="B51" i="28" s="1"/>
  <c r="V55" i="28" l="1"/>
  <c r="R62" i="28"/>
  <c r="I51" i="28"/>
  <c r="C51" i="28" s="1"/>
  <c r="K51" i="28"/>
  <c r="AB52" i="28"/>
  <c r="AD53" i="28" l="1"/>
  <c r="AC53" i="28"/>
  <c r="AE54" i="28" s="1"/>
  <c r="Q51" i="28"/>
  <c r="J51" i="28"/>
  <c r="P51" i="28" l="1"/>
  <c r="F52" i="28"/>
  <c r="E52" i="28"/>
  <c r="G52" i="28" s="1"/>
  <c r="S51" i="28"/>
  <c r="N54" i="28"/>
  <c r="Y54" i="28"/>
  <c r="AG55" i="28"/>
  <c r="AI56" i="28" s="1"/>
  <c r="AK57" i="28" s="1"/>
  <c r="AM58" i="28" s="1"/>
  <c r="O51" i="28"/>
  <c r="D54" i="28"/>
  <c r="AF54" i="28"/>
  <c r="L52" i="28" l="1"/>
  <c r="AA52" i="28"/>
  <c r="B52" i="28" s="1"/>
  <c r="Z54" i="28"/>
  <c r="U55" i="28" s="1"/>
  <c r="H54" i="28"/>
  <c r="T54" i="28" s="1"/>
  <c r="W55" i="28" s="1"/>
  <c r="AH55" i="28"/>
  <c r="AJ56" i="28" s="1"/>
  <c r="AL57" i="28" s="1"/>
  <c r="AN58" i="28" s="1"/>
  <c r="X55" i="28" l="1"/>
  <c r="V56" i="28"/>
  <c r="I52" i="28"/>
  <c r="C52" i="28" s="1"/>
  <c r="K52" i="28"/>
  <c r="AB53" i="28"/>
  <c r="AO59" i="28"/>
  <c r="AP60" i="28" s="1"/>
  <c r="AQ61" i="28" s="1"/>
  <c r="AR62" i="28" s="1"/>
  <c r="J52" i="28" l="1"/>
  <c r="Q52" i="28"/>
  <c r="O52" i="28"/>
  <c r="AD54" i="28"/>
  <c r="AC54" i="28"/>
  <c r="AE55" i="28" s="1"/>
  <c r="R63" i="28"/>
  <c r="Y55" i="28" l="1"/>
  <c r="AG56" i="28"/>
  <c r="AI57" i="28" s="1"/>
  <c r="AK58" i="28" s="1"/>
  <c r="AM59" i="28" s="1"/>
  <c r="D55" i="28"/>
  <c r="AF55" i="28"/>
  <c r="P52" i="28"/>
  <c r="F53" i="28"/>
  <c r="E53" i="28"/>
  <c r="G53" i="28" s="1"/>
  <c r="S52" i="28"/>
  <c r="Z55" i="28" l="1"/>
  <c r="H55" i="28"/>
  <c r="T55" i="28" s="1"/>
  <c r="W56" i="28" s="1"/>
  <c r="AH56" i="28"/>
  <c r="AJ57" i="28" s="1"/>
  <c r="AL58" i="28" s="1"/>
  <c r="AN59" i="28" s="1"/>
  <c r="AO60" i="28" s="1"/>
  <c r="AP61" i="28" s="1"/>
  <c r="AQ62" i="28" s="1"/>
  <c r="AR63" i="28" s="1"/>
  <c r="U56" i="28"/>
  <c r="X56" i="28" s="1"/>
  <c r="L53" i="28"/>
  <c r="AA53" i="28"/>
  <c r="B53" i="28" s="1"/>
  <c r="N55" i="28"/>
  <c r="R64" i="28" l="1"/>
  <c r="I53" i="28"/>
  <c r="C53" i="28" s="1"/>
  <c r="K53" i="28"/>
  <c r="AB54" i="28"/>
  <c r="V57" i="28"/>
  <c r="AD55" i="28" l="1"/>
  <c r="AC55" i="28"/>
  <c r="AE56" i="28" s="1"/>
  <c r="O53" i="28"/>
  <c r="Q53" i="28"/>
  <c r="J53" i="28"/>
  <c r="F54" i="28" l="1"/>
  <c r="P53" i="28"/>
  <c r="E54" i="28"/>
  <c r="G54" i="28" s="1"/>
  <c r="S53" i="28"/>
  <c r="N56" i="28"/>
  <c r="Y56" i="28"/>
  <c r="AG57" i="28"/>
  <c r="AI58" i="28" s="1"/>
  <c r="AK59" i="28" s="1"/>
  <c r="AM60" i="28" s="1"/>
  <c r="D56" i="28"/>
  <c r="AF56" i="28"/>
  <c r="L54" i="28" l="1"/>
  <c r="AA54" i="28"/>
  <c r="B54" i="28" s="1"/>
  <c r="Z56" i="28"/>
  <c r="U57" i="28" s="1"/>
  <c r="X57" i="28" s="1"/>
  <c r="H56" i="28"/>
  <c r="T56" i="28" s="1"/>
  <c r="W57" i="28" s="1"/>
  <c r="AH57" i="28"/>
  <c r="AJ58" i="28" s="1"/>
  <c r="AL59" i="28" s="1"/>
  <c r="AN60" i="28" s="1"/>
  <c r="V58" i="28" l="1"/>
  <c r="I54" i="28"/>
  <c r="C54" i="28" s="1"/>
  <c r="K54" i="28"/>
  <c r="AB55" i="28"/>
  <c r="AO61" i="28"/>
  <c r="AP62" i="28" s="1"/>
  <c r="AQ63" i="28" s="1"/>
  <c r="AR64" i="28" s="1"/>
  <c r="AC56" i="28" l="1"/>
  <c r="AE57" i="28" s="1"/>
  <c r="AD56" i="28"/>
  <c r="Q54" i="28"/>
  <c r="J54" i="28"/>
  <c r="O54" i="28"/>
  <c r="R65" i="28"/>
  <c r="P54" i="28" l="1"/>
  <c r="F55" i="28"/>
  <c r="E55" i="28"/>
  <c r="G55" i="28" s="1"/>
  <c r="S54" i="28"/>
  <c r="D57" i="28"/>
  <c r="AF57" i="28"/>
  <c r="N57" i="28" s="1"/>
  <c r="Y57" i="28"/>
  <c r="AG58" i="28"/>
  <c r="AI59" i="28" s="1"/>
  <c r="AK60" i="28" s="1"/>
  <c r="AM61" i="28" s="1"/>
  <c r="H57" i="28" l="1"/>
  <c r="T57" i="28" s="1"/>
  <c r="W58" i="28" s="1"/>
  <c r="Z57" i="28"/>
  <c r="AH58" i="28"/>
  <c r="AJ59" i="28" s="1"/>
  <c r="AL60" i="28" s="1"/>
  <c r="AN61" i="28" s="1"/>
  <c r="U58" i="28"/>
  <c r="X58" i="28" s="1"/>
  <c r="L55" i="28"/>
  <c r="AA55" i="28"/>
  <c r="B55" i="28" s="1"/>
  <c r="AO62" i="28"/>
  <c r="AP63" i="28" s="1"/>
  <c r="AQ64" i="28" s="1"/>
  <c r="AR65" i="28" s="1"/>
  <c r="V59" i="28" l="1"/>
  <c r="R66" i="28"/>
  <c r="I55" i="28"/>
  <c r="C55" i="28" s="1"/>
  <c r="K55" i="28"/>
  <c r="AB56" i="28"/>
  <c r="AC57" i="28" l="1"/>
  <c r="AE58" i="28" s="1"/>
  <c r="AD57" i="28"/>
  <c r="J55" i="28"/>
  <c r="Q55" i="28"/>
  <c r="P55" i="28" l="1"/>
  <c r="F56" i="28"/>
  <c r="E56" i="28"/>
  <c r="G56" i="28" s="1"/>
  <c r="S55" i="28"/>
  <c r="D58" i="28"/>
  <c r="AF58" i="28"/>
  <c r="N58" i="28" s="1"/>
  <c r="O55" i="28"/>
  <c r="Y58" i="28"/>
  <c r="AG59" i="28"/>
  <c r="AI60" i="28" s="1"/>
  <c r="AK61" i="28" s="1"/>
  <c r="AM62" i="28" s="1"/>
  <c r="L56" i="28" l="1"/>
  <c r="AA56" i="28"/>
  <c r="B56" i="28" s="1"/>
  <c r="H58" i="28"/>
  <c r="T58" i="28" s="1"/>
  <c r="W59" i="28" s="1"/>
  <c r="AH59" i="28"/>
  <c r="AJ60" i="28" s="1"/>
  <c r="AL61" i="28" s="1"/>
  <c r="AN62" i="28" s="1"/>
  <c r="AO63" i="28" s="1"/>
  <c r="AP64" i="28" s="1"/>
  <c r="AQ65" i="28" s="1"/>
  <c r="AR66" i="28" s="1"/>
  <c r="Z58" i="28"/>
  <c r="U59" i="28" s="1"/>
  <c r="X59" i="28" s="1"/>
  <c r="V60" i="28" l="1"/>
  <c r="R67" i="28"/>
  <c r="I56" i="28"/>
  <c r="C56" i="28" s="1"/>
  <c r="K56" i="28"/>
  <c r="AB57" i="28"/>
  <c r="J56" i="28" l="1"/>
  <c r="Q56" i="28"/>
  <c r="AC58" i="28"/>
  <c r="AE59" i="28" s="1"/>
  <c r="AD58" i="28"/>
  <c r="AF59" i="28" l="1"/>
  <c r="D59" i="28"/>
  <c r="Y59" i="28"/>
  <c r="AG60" i="28"/>
  <c r="AI61" i="28" s="1"/>
  <c r="AK62" i="28" s="1"/>
  <c r="AM63" i="28" s="1"/>
  <c r="N59" i="28"/>
  <c r="F57" i="28"/>
  <c r="P56" i="28"/>
  <c r="E57" i="28"/>
  <c r="G57" i="28" s="1"/>
  <c r="S56" i="28"/>
  <c r="O56" i="28"/>
  <c r="L57" i="28" l="1"/>
  <c r="AA57" i="28"/>
  <c r="B57" i="28" s="1"/>
  <c r="H59" i="28"/>
  <c r="T59" i="28" s="1"/>
  <c r="W60" i="28" s="1"/>
  <c r="Z59" i="28"/>
  <c r="U60" i="28" s="1"/>
  <c r="AH60" i="28"/>
  <c r="AJ61" i="28" s="1"/>
  <c r="AL62" i="28" s="1"/>
  <c r="AN63" i="28" s="1"/>
  <c r="AO64" i="28" s="1"/>
  <c r="AP65" i="28" s="1"/>
  <c r="AQ66" i="28" s="1"/>
  <c r="AR67" i="28" s="1"/>
  <c r="X60" i="28" l="1"/>
  <c r="R68" i="28"/>
  <c r="V61" i="28"/>
  <c r="I57" i="28"/>
  <c r="C57" i="28" s="1"/>
  <c r="K57" i="28"/>
  <c r="AB58" i="28"/>
  <c r="J57" i="28" l="1"/>
  <c r="Q57" i="28"/>
  <c r="AD59" i="28"/>
  <c r="AC59" i="28"/>
  <c r="AE60" i="28" s="1"/>
  <c r="P57" i="28" l="1"/>
  <c r="F58" i="28"/>
  <c r="E58" i="28"/>
  <c r="G58" i="28" s="1"/>
  <c r="S57" i="28"/>
  <c r="Y60" i="28"/>
  <c r="N60" i="28"/>
  <c r="AG61" i="28"/>
  <c r="AI62" i="28" s="1"/>
  <c r="AK63" i="28" s="1"/>
  <c r="AM64" i="28" s="1"/>
  <c r="D60" i="28"/>
  <c r="AF60" i="28"/>
  <c r="O57" i="28"/>
  <c r="L58" i="28" l="1"/>
  <c r="AA58" i="28"/>
  <c r="B58" i="28" s="1"/>
  <c r="Z60" i="28"/>
  <c r="U61" i="28" s="1"/>
  <c r="H60" i="28"/>
  <c r="T60" i="28" s="1"/>
  <c r="W61" i="28" s="1"/>
  <c r="AH61" i="28"/>
  <c r="AJ62" i="28" s="1"/>
  <c r="AL63" i="28" s="1"/>
  <c r="AN64" i="28" s="1"/>
  <c r="AO65" i="28" s="1"/>
  <c r="AP66" i="28" s="1"/>
  <c r="AQ67" i="28" s="1"/>
  <c r="AR68" i="28" s="1"/>
  <c r="X61" i="28" l="1"/>
  <c r="R69" i="28"/>
  <c r="V62" i="28"/>
  <c r="I58" i="28"/>
  <c r="C58" i="28" s="1"/>
  <c r="K58" i="28"/>
  <c r="AB59" i="28"/>
  <c r="J58" i="28" l="1"/>
  <c r="Q58" i="28"/>
  <c r="AC60" i="28"/>
  <c r="AE61" i="28" s="1"/>
  <c r="AD60" i="28"/>
  <c r="D61" i="28" l="1"/>
  <c r="AF61" i="28"/>
  <c r="Y61" i="28"/>
  <c r="AG62" i="28"/>
  <c r="AI63" i="28" s="1"/>
  <c r="AK64" i="28" s="1"/>
  <c r="AM65" i="28" s="1"/>
  <c r="F59" i="28"/>
  <c r="P58" i="28"/>
  <c r="E59" i="28"/>
  <c r="G59" i="28" s="1"/>
  <c r="S58" i="28"/>
  <c r="O58" i="28"/>
  <c r="AH62" i="28" l="1"/>
  <c r="AJ63" i="28" s="1"/>
  <c r="AL64" i="28" s="1"/>
  <c r="AN65" i="28" s="1"/>
  <c r="Z61" i="28"/>
  <c r="H61" i="28"/>
  <c r="T61" i="28" s="1"/>
  <c r="W62" i="28" s="1"/>
  <c r="L59" i="28"/>
  <c r="AA59" i="28"/>
  <c r="B59" i="28" s="1"/>
  <c r="U62" i="28"/>
  <c r="X62" i="28" s="1"/>
  <c r="N61" i="28"/>
  <c r="I59" i="28" l="1"/>
  <c r="C59" i="28" s="1"/>
  <c r="K59" i="28"/>
  <c r="AB60" i="28"/>
  <c r="V63" i="28"/>
  <c r="AO66" i="28"/>
  <c r="AP67" i="28" s="1"/>
  <c r="AQ68" i="28" s="1"/>
  <c r="AR69" i="28" s="1"/>
  <c r="AC61" i="28" l="1"/>
  <c r="AE62" i="28" s="1"/>
  <c r="AD61" i="28"/>
  <c r="R70" i="28"/>
  <c r="O59" i="28"/>
  <c r="Q59" i="28"/>
  <c r="J59" i="28"/>
  <c r="P59" i="28" l="1"/>
  <c r="F60" i="28"/>
  <c r="E60" i="28"/>
  <c r="G60" i="28" s="1"/>
  <c r="S59" i="28"/>
  <c r="D62" i="28"/>
  <c r="AF62" i="28"/>
  <c r="N62" i="28" s="1"/>
  <c r="Y62" i="28"/>
  <c r="AG63" i="28"/>
  <c r="AI64" i="28" s="1"/>
  <c r="AK65" i="28" s="1"/>
  <c r="AM66" i="28" s="1"/>
  <c r="L60" i="28" l="1"/>
  <c r="AA60" i="28"/>
  <c r="B60" i="28" s="1"/>
  <c r="H62" i="28"/>
  <c r="T62" i="28" s="1"/>
  <c r="W63" i="28" s="1"/>
  <c r="Z62" i="28"/>
  <c r="U63" i="28" s="1"/>
  <c r="AH63" i="28"/>
  <c r="AJ64" i="28" s="1"/>
  <c r="AL65" i="28" s="1"/>
  <c r="AN66" i="28" s="1"/>
  <c r="AO67" i="28" s="1"/>
  <c r="AP68" i="28" s="1"/>
  <c r="AQ69" i="28" s="1"/>
  <c r="AR70" i="28" s="1"/>
  <c r="X63" i="28" l="1"/>
  <c r="R71" i="28"/>
  <c r="V64" i="28"/>
  <c r="I60" i="28"/>
  <c r="C60" i="28" s="1"/>
  <c r="K60" i="28"/>
  <c r="AB61" i="28"/>
  <c r="Q60" i="28" l="1"/>
  <c r="J60" i="28"/>
  <c r="O60" i="28"/>
  <c r="AC62" i="28"/>
  <c r="AE63" i="28" s="1"/>
  <c r="AD62" i="28"/>
  <c r="D63" i="28" l="1"/>
  <c r="AF63" i="28"/>
  <c r="N63" i="28" s="1"/>
  <c r="Y63" i="28"/>
  <c r="AG64" i="28"/>
  <c r="AI65" i="28" s="1"/>
  <c r="AK66" i="28" s="1"/>
  <c r="AM67" i="28" s="1"/>
  <c r="P60" i="28"/>
  <c r="F61" i="28"/>
  <c r="E61" i="28"/>
  <c r="G61" i="28" s="1"/>
  <c r="S60" i="28"/>
  <c r="L61" i="28" l="1"/>
  <c r="AA61" i="28"/>
  <c r="B61" i="28" s="1"/>
  <c r="Z63" i="28"/>
  <c r="U64" i="28" s="1"/>
  <c r="H63" i="28"/>
  <c r="T63" i="28" s="1"/>
  <c r="W64" i="28" s="1"/>
  <c r="AH64" i="28"/>
  <c r="AJ65" i="28" s="1"/>
  <c r="AL66" i="28" s="1"/>
  <c r="AN67" i="28" s="1"/>
  <c r="X64" i="28" l="1"/>
  <c r="V65" i="28"/>
  <c r="AO68" i="28"/>
  <c r="AP69" i="28" s="1"/>
  <c r="AQ70" i="28" s="1"/>
  <c r="AR71" i="28" s="1"/>
  <c r="K61" i="28"/>
  <c r="I61" i="28"/>
  <c r="C61" i="28" s="1"/>
  <c r="AB62" i="28"/>
  <c r="J61" i="28" l="1"/>
  <c r="Q61" i="28"/>
  <c r="AC63" i="28"/>
  <c r="AE64" i="28" s="1"/>
  <c r="AD63" i="28"/>
  <c r="R72" i="28"/>
  <c r="D64" i="28" l="1"/>
  <c r="AF64" i="28"/>
  <c r="Y64" i="28"/>
  <c r="AG65" i="28"/>
  <c r="AI66" i="28" s="1"/>
  <c r="AK67" i="28" s="1"/>
  <c r="AM68" i="28" s="1"/>
  <c r="P61" i="28"/>
  <c r="F62" i="28"/>
  <c r="E62" i="28"/>
  <c r="G62" i="28" s="1"/>
  <c r="S61" i="28"/>
  <c r="O61" i="28"/>
  <c r="Z64" i="28" l="1"/>
  <c r="H64" i="28"/>
  <c r="T64" i="28" s="1"/>
  <c r="W65" i="28" s="1"/>
  <c r="AH65" i="28"/>
  <c r="AJ66" i="28" s="1"/>
  <c r="AL67" i="28" s="1"/>
  <c r="AN68" i="28" s="1"/>
  <c r="L62" i="28"/>
  <c r="AA62" i="28"/>
  <c r="B62" i="28" s="1"/>
  <c r="U65" i="28"/>
  <c r="X65" i="28" s="1"/>
  <c r="N64" i="28"/>
  <c r="V66" i="28" l="1"/>
  <c r="I62" i="28"/>
  <c r="C62" i="28" s="1"/>
  <c r="K62" i="28"/>
  <c r="AB63" i="28"/>
  <c r="AO69" i="28"/>
  <c r="AP70" i="28" s="1"/>
  <c r="AQ71" i="28" s="1"/>
  <c r="AR72" i="28" s="1"/>
  <c r="AC64" i="28" l="1"/>
  <c r="AE65" i="28" s="1"/>
  <c r="AD64" i="28"/>
  <c r="O62" i="28"/>
  <c r="J62" i="28"/>
  <c r="Q62" i="28"/>
  <c r="R73" i="28"/>
  <c r="D65" i="28" l="1"/>
  <c r="AF65" i="28"/>
  <c r="F63" i="28"/>
  <c r="P62" i="28"/>
  <c r="E63" i="28"/>
  <c r="G63" i="28" s="1"/>
  <c r="S62" i="28"/>
  <c r="N65" i="28"/>
  <c r="Y65" i="28"/>
  <c r="AG66" i="28"/>
  <c r="AI67" i="28" s="1"/>
  <c r="AK68" i="28" s="1"/>
  <c r="AM69" i="28" s="1"/>
  <c r="L63" i="28" l="1"/>
  <c r="AA63" i="28"/>
  <c r="B63" i="28" s="1"/>
  <c r="Z65" i="28"/>
  <c r="H65" i="28"/>
  <c r="T65" i="28" s="1"/>
  <c r="W66" i="28" s="1"/>
  <c r="AH66" i="28"/>
  <c r="AJ67" i="28" s="1"/>
  <c r="AL68" i="28" s="1"/>
  <c r="AN69" i="28" s="1"/>
  <c r="AO70" i="28" s="1"/>
  <c r="AP71" i="28" s="1"/>
  <c r="AQ72" i="28" s="1"/>
  <c r="AR73" i="28" s="1"/>
  <c r="U66" i="28"/>
  <c r="X66" i="28" s="1"/>
  <c r="R74" i="28" l="1"/>
  <c r="V67" i="28"/>
  <c r="I63" i="28"/>
  <c r="C63" i="28" s="1"/>
  <c r="K63" i="28"/>
  <c r="AB64" i="28"/>
  <c r="Q63" i="28" l="1"/>
  <c r="J63" i="28"/>
  <c r="AD65" i="28"/>
  <c r="AC65" i="28"/>
  <c r="AE66" i="28" s="1"/>
  <c r="Y66" i="28" l="1"/>
  <c r="AG67" i="28"/>
  <c r="AI68" i="28" s="1"/>
  <c r="AK69" i="28" s="1"/>
  <c r="AM70" i="28" s="1"/>
  <c r="AF66" i="28"/>
  <c r="D66" i="28"/>
  <c r="P63" i="28"/>
  <c r="F64" i="28"/>
  <c r="E64" i="28"/>
  <c r="G64" i="28" s="1"/>
  <c r="S63" i="28"/>
  <c r="O63" i="28"/>
  <c r="L64" i="28" l="1"/>
  <c r="AA64" i="28"/>
  <c r="B64" i="28" s="1"/>
  <c r="H66" i="28"/>
  <c r="T66" i="28" s="1"/>
  <c r="W67" i="28" s="1"/>
  <c r="Z66" i="28"/>
  <c r="AH67" i="28"/>
  <c r="AJ68" i="28" s="1"/>
  <c r="AL69" i="28" s="1"/>
  <c r="AN70" i="28" s="1"/>
  <c r="AO71" i="28" s="1"/>
  <c r="AP72" i="28" s="1"/>
  <c r="AQ73" i="28" s="1"/>
  <c r="AR74" i="28" s="1"/>
  <c r="N66" i="28"/>
  <c r="U67" i="28"/>
  <c r="X67" i="28" s="1"/>
  <c r="V68" i="28" l="1"/>
  <c r="R75" i="28"/>
  <c r="K64" i="28"/>
  <c r="I64" i="28"/>
  <c r="C64" i="28" s="1"/>
  <c r="AB65" i="28"/>
  <c r="J64" i="28" l="1"/>
  <c r="Q64" i="28"/>
  <c r="AD66" i="28"/>
  <c r="AC66" i="28"/>
  <c r="AE67" i="28" s="1"/>
  <c r="Y67" i="28" l="1"/>
  <c r="AG68" i="28"/>
  <c r="AI69" i="28" s="1"/>
  <c r="AK70" i="28" s="1"/>
  <c r="AM71" i="28" s="1"/>
  <c r="AF67" i="28"/>
  <c r="D67" i="28"/>
  <c r="P64" i="28"/>
  <c r="F65" i="28"/>
  <c r="E65" i="28"/>
  <c r="G65" i="28" s="1"/>
  <c r="S64" i="28"/>
  <c r="O64" i="28"/>
  <c r="L65" i="28" l="1"/>
  <c r="AA65" i="28"/>
  <c r="B65" i="28" s="1"/>
  <c r="H67" i="28"/>
  <c r="T67" i="28" s="1"/>
  <c r="W68" i="28" s="1"/>
  <c r="Z67" i="28"/>
  <c r="AH68" i="28"/>
  <c r="AJ69" i="28" s="1"/>
  <c r="AL70" i="28" s="1"/>
  <c r="AN71" i="28" s="1"/>
  <c r="AO72" i="28" s="1"/>
  <c r="AP73" i="28" s="1"/>
  <c r="AQ74" i="28" s="1"/>
  <c r="AR75" i="28" s="1"/>
  <c r="N67" i="28"/>
  <c r="U68" i="28"/>
  <c r="X68" i="28" s="1"/>
  <c r="V69" i="28" l="1"/>
  <c r="R76" i="28"/>
  <c r="K65" i="28"/>
  <c r="I65" i="28"/>
  <c r="C65" i="28" s="1"/>
  <c r="AB66" i="28"/>
  <c r="J65" i="28" l="1"/>
  <c r="Q65" i="28"/>
  <c r="AC67" i="28"/>
  <c r="AE68" i="28" s="1"/>
  <c r="AD67" i="28"/>
  <c r="D68" i="28" l="1"/>
  <c r="AF68" i="28"/>
  <c r="P65" i="28"/>
  <c r="F66" i="28"/>
  <c r="E66" i="28"/>
  <c r="G66" i="28" s="1"/>
  <c r="S65" i="28"/>
  <c r="N68" i="28"/>
  <c r="Y68" i="28"/>
  <c r="AG69" i="28"/>
  <c r="AI70" i="28" s="1"/>
  <c r="AK71" i="28" s="1"/>
  <c r="AM72" i="28" s="1"/>
  <c r="O65" i="28"/>
  <c r="H68" i="28" l="1"/>
  <c r="T68" i="28" s="1"/>
  <c r="W69" i="28" s="1"/>
  <c r="Z68" i="28"/>
  <c r="AH69" i="28"/>
  <c r="AJ70" i="28" s="1"/>
  <c r="AL71" i="28" s="1"/>
  <c r="AN72" i="28" s="1"/>
  <c r="AO73" i="28" s="1"/>
  <c r="AP74" i="28" s="1"/>
  <c r="AQ75" i="28" s="1"/>
  <c r="AR76" i="28" s="1"/>
  <c r="U69" i="28"/>
  <c r="X69" i="28" s="1"/>
  <c r="L66" i="28"/>
  <c r="AA66" i="28"/>
  <c r="B66" i="28" s="1"/>
  <c r="K66" i="28" l="1"/>
  <c r="I66" i="28"/>
  <c r="C66" i="28" s="1"/>
  <c r="AB67" i="28"/>
  <c r="V70" i="28"/>
  <c r="R77" i="28"/>
  <c r="Q66" i="28" l="1"/>
  <c r="J66" i="28"/>
  <c r="O66" i="28"/>
  <c r="AC68" i="28"/>
  <c r="AE69" i="28" s="1"/>
  <c r="AD68" i="28"/>
  <c r="D69" i="28" l="1"/>
  <c r="AF69" i="28"/>
  <c r="N69" i="28" s="1"/>
  <c r="Y69" i="28"/>
  <c r="AG70" i="28"/>
  <c r="AI71" i="28" s="1"/>
  <c r="AK72" i="28" s="1"/>
  <c r="AM73" i="28" s="1"/>
  <c r="P66" i="28"/>
  <c r="F67" i="28"/>
  <c r="E67" i="28"/>
  <c r="G67" i="28" s="1"/>
  <c r="S66" i="28"/>
  <c r="L67" i="28" l="1"/>
  <c r="AA67" i="28"/>
  <c r="B67" i="28" s="1"/>
  <c r="Z69" i="28"/>
  <c r="U70" i="28" s="1"/>
  <c r="H69" i="28"/>
  <c r="T69" i="28" s="1"/>
  <c r="W70" i="28" s="1"/>
  <c r="AH70" i="28"/>
  <c r="AJ71" i="28" s="1"/>
  <c r="AL72" i="28" s="1"/>
  <c r="AN73" i="28" s="1"/>
  <c r="X70" i="28" l="1"/>
  <c r="V71" i="28"/>
  <c r="AO74" i="28"/>
  <c r="AP75" i="28" s="1"/>
  <c r="AQ76" i="28" s="1"/>
  <c r="AR77" i="28" s="1"/>
  <c r="K67" i="28"/>
  <c r="I67" i="28"/>
  <c r="C67" i="28" s="1"/>
  <c r="AB68" i="28"/>
  <c r="Q67" i="28" l="1"/>
  <c r="J67" i="28"/>
  <c r="AD69" i="28"/>
  <c r="AC69" i="28"/>
  <c r="AE70" i="28" s="1"/>
  <c r="R78" i="28"/>
  <c r="O67" i="28"/>
  <c r="Y70" i="28" l="1"/>
  <c r="AG71" i="28"/>
  <c r="AI72" i="28" s="1"/>
  <c r="AK73" i="28" s="1"/>
  <c r="AM74" i="28" s="1"/>
  <c r="D70" i="28"/>
  <c r="AF70" i="28"/>
  <c r="F68" i="28"/>
  <c r="P67" i="28"/>
  <c r="E68" i="28"/>
  <c r="G68" i="28" s="1"/>
  <c r="S67" i="28"/>
  <c r="H70" i="28" l="1"/>
  <c r="T70" i="28" s="1"/>
  <c r="W71" i="28" s="1"/>
  <c r="Z70" i="28"/>
  <c r="AH71" i="28"/>
  <c r="AJ72" i="28" s="1"/>
  <c r="AL73" i="28" s="1"/>
  <c r="AN74" i="28" s="1"/>
  <c r="L68" i="28"/>
  <c r="AA68" i="28"/>
  <c r="B68" i="28" s="1"/>
  <c r="N70" i="28"/>
  <c r="AO75" i="28"/>
  <c r="AP76" i="28" s="1"/>
  <c r="AQ77" i="28" s="1"/>
  <c r="AR78" i="28" s="1"/>
  <c r="U71" i="28"/>
  <c r="X71" i="28" s="1"/>
  <c r="I68" i="28" l="1"/>
  <c r="C68" i="28" s="1"/>
  <c r="K68" i="28"/>
  <c r="AB69" i="28"/>
  <c r="V72" i="28"/>
  <c r="R79" i="28"/>
  <c r="AC70" i="28" l="1"/>
  <c r="AE71" i="28" s="1"/>
  <c r="AD70" i="28"/>
  <c r="J68" i="28"/>
  <c r="Q68" i="28"/>
  <c r="O68" i="28"/>
  <c r="P68" i="28" l="1"/>
  <c r="F69" i="28"/>
  <c r="E69" i="28"/>
  <c r="G69" i="28" s="1"/>
  <c r="S68" i="28"/>
  <c r="D71" i="28"/>
  <c r="AF71" i="28"/>
  <c r="N71" i="28" s="1"/>
  <c r="Y71" i="28"/>
  <c r="AG72" i="28"/>
  <c r="AI73" i="28" s="1"/>
  <c r="AK74" i="28" s="1"/>
  <c r="AM75" i="28" s="1"/>
  <c r="L69" i="28" l="1"/>
  <c r="AA69" i="28"/>
  <c r="B69" i="28" s="1"/>
  <c r="Z71" i="28"/>
  <c r="U72" i="28" s="1"/>
  <c r="H71" i="28"/>
  <c r="T71" i="28" s="1"/>
  <c r="W72" i="28" s="1"/>
  <c r="AH72" i="28"/>
  <c r="AJ73" i="28" s="1"/>
  <c r="AL74" i="28" s="1"/>
  <c r="AN75" i="28" s="1"/>
  <c r="X72" i="28" l="1"/>
  <c r="V73" i="28"/>
  <c r="AO76" i="28"/>
  <c r="AP77" i="28" s="1"/>
  <c r="AQ78" i="28" s="1"/>
  <c r="AR79" i="28" s="1"/>
  <c r="I69" i="28"/>
  <c r="C69" i="28" s="1"/>
  <c r="K69" i="28"/>
  <c r="AB70" i="28"/>
  <c r="J69" i="28" l="1"/>
  <c r="Q69" i="28"/>
  <c r="AD71" i="28"/>
  <c r="AC71" i="28"/>
  <c r="AE72" i="28" s="1"/>
  <c r="R80" i="28"/>
  <c r="Y72" i="28" l="1"/>
  <c r="AG73" i="28"/>
  <c r="AI74" i="28" s="1"/>
  <c r="AK75" i="28" s="1"/>
  <c r="AM76" i="28" s="1"/>
  <c r="AF72" i="28"/>
  <c r="D72" i="28"/>
  <c r="P69" i="28"/>
  <c r="F70" i="28"/>
  <c r="E70" i="28"/>
  <c r="G70" i="28" s="1"/>
  <c r="S69" i="28"/>
  <c r="O69" i="28"/>
  <c r="H72" i="28" l="1"/>
  <c r="T72" i="28" s="1"/>
  <c r="W73" i="28" s="1"/>
  <c r="AH73" i="28"/>
  <c r="AJ74" i="28" s="1"/>
  <c r="AL75" i="28" s="1"/>
  <c r="AN76" i="28" s="1"/>
  <c r="Z72" i="28"/>
  <c r="L70" i="28"/>
  <c r="AA70" i="28"/>
  <c r="B70" i="28" s="1"/>
  <c r="U73" i="28"/>
  <c r="X73" i="28" s="1"/>
  <c r="N72" i="28"/>
  <c r="V74" i="28" l="1"/>
  <c r="AO77" i="28"/>
  <c r="AP78" i="28" s="1"/>
  <c r="AQ79" i="28" s="1"/>
  <c r="AR80" i="28" s="1"/>
  <c r="K70" i="28"/>
  <c r="I70" i="28"/>
  <c r="C70" i="28" s="1"/>
  <c r="AB71" i="28"/>
  <c r="Q70" i="28" l="1"/>
  <c r="J70" i="28"/>
  <c r="AD72" i="28"/>
  <c r="AC72" i="28"/>
  <c r="AE73" i="28" s="1"/>
  <c r="R81" i="28"/>
  <c r="O70" i="28"/>
  <c r="AG74" i="28" l="1"/>
  <c r="AI75" i="28" s="1"/>
  <c r="AK76" i="28" s="1"/>
  <c r="AM77" i="28" s="1"/>
  <c r="Y73" i="28"/>
  <c r="D73" i="28"/>
  <c r="AF73" i="28"/>
  <c r="F71" i="28"/>
  <c r="P70" i="28"/>
  <c r="E71" i="28"/>
  <c r="G71" i="28" s="1"/>
  <c r="S70" i="28"/>
  <c r="Z73" i="28" l="1"/>
  <c r="H73" i="28"/>
  <c r="T73" i="28" s="1"/>
  <c r="W74" i="28" s="1"/>
  <c r="AH74" i="28"/>
  <c r="AJ75" i="28" s="1"/>
  <c r="AL76" i="28" s="1"/>
  <c r="AN77" i="28" s="1"/>
  <c r="L71" i="28"/>
  <c r="AA71" i="28"/>
  <c r="B71" i="28" s="1"/>
  <c r="U74" i="28"/>
  <c r="X74" i="28" s="1"/>
  <c r="N73" i="28"/>
  <c r="AO78" i="28" l="1"/>
  <c r="AP79" i="28" s="1"/>
  <c r="AQ80" i="28" s="1"/>
  <c r="AR81" i="28" s="1"/>
  <c r="V75" i="28"/>
  <c r="K71" i="28"/>
  <c r="I71" i="28"/>
  <c r="C71" i="28" s="1"/>
  <c r="AB72" i="28"/>
  <c r="J71" i="28" l="1"/>
  <c r="Q71" i="28"/>
  <c r="R82" i="28"/>
  <c r="AD73" i="28"/>
  <c r="AC73" i="28"/>
  <c r="AE74" i="28" s="1"/>
  <c r="O71" i="28"/>
  <c r="Y74" i="28" l="1"/>
  <c r="AG75" i="28"/>
  <c r="AI76" i="28" s="1"/>
  <c r="AK77" i="28" s="1"/>
  <c r="AM78" i="28" s="1"/>
  <c r="D74" i="28"/>
  <c r="AF74" i="28"/>
  <c r="P71" i="28"/>
  <c r="F72" i="28"/>
  <c r="E72" i="28"/>
  <c r="G72" i="28" s="1"/>
  <c r="S71" i="28"/>
  <c r="Z74" i="28" l="1"/>
  <c r="H74" i="28"/>
  <c r="T74" i="28" s="1"/>
  <c r="W75" i="28" s="1"/>
  <c r="AH75" i="28"/>
  <c r="AJ76" i="28" s="1"/>
  <c r="AL77" i="28" s="1"/>
  <c r="AN78" i="28" s="1"/>
  <c r="L72" i="28"/>
  <c r="AA72" i="28"/>
  <c r="B72" i="28" s="1"/>
  <c r="N74" i="28"/>
  <c r="U75" i="28"/>
  <c r="X75" i="28" s="1"/>
  <c r="V76" i="28" l="1"/>
  <c r="AO79" i="28"/>
  <c r="AP80" i="28" s="1"/>
  <c r="AQ81" i="28" s="1"/>
  <c r="AR82" i="28" s="1"/>
  <c r="I72" i="28"/>
  <c r="C72" i="28" s="1"/>
  <c r="K72" i="28"/>
  <c r="AB73" i="28"/>
  <c r="AD74" i="28" l="1"/>
  <c r="AC74" i="28"/>
  <c r="AE75" i="28" s="1"/>
  <c r="R83" i="28"/>
  <c r="Q72" i="28"/>
  <c r="J72" i="28"/>
  <c r="O72" i="28"/>
  <c r="Y75" i="28" l="1"/>
  <c r="AG76" i="28"/>
  <c r="AI77" i="28" s="1"/>
  <c r="AK78" i="28" s="1"/>
  <c r="AM79" i="28" s="1"/>
  <c r="F73" i="28"/>
  <c r="P72" i="28"/>
  <c r="E73" i="28"/>
  <c r="G73" i="28" s="1"/>
  <c r="S72" i="28"/>
  <c r="D75" i="28"/>
  <c r="AF75" i="28"/>
  <c r="L73" i="28" l="1"/>
  <c r="AA73" i="28"/>
  <c r="B73" i="28" s="1"/>
  <c r="AH76" i="28"/>
  <c r="AJ77" i="28" s="1"/>
  <c r="AL78" i="28" s="1"/>
  <c r="AN79" i="28" s="1"/>
  <c r="AO80" i="28" s="1"/>
  <c r="AP81" i="28" s="1"/>
  <c r="AQ82" i="28" s="1"/>
  <c r="AR83" i="28" s="1"/>
  <c r="H75" i="28"/>
  <c r="T75" i="28" s="1"/>
  <c r="W76" i="28" s="1"/>
  <c r="Z75" i="28"/>
  <c r="U76" i="28" s="1"/>
  <c r="N75" i="28"/>
  <c r="X76" i="28" l="1"/>
  <c r="V77" i="28"/>
  <c r="R84" i="28"/>
  <c r="K73" i="28"/>
  <c r="I73" i="28"/>
  <c r="C73" i="28" s="1"/>
  <c r="AB74" i="28"/>
  <c r="Q73" i="28" l="1"/>
  <c r="J73" i="28"/>
  <c r="AD75" i="28"/>
  <c r="AC75" i="28"/>
  <c r="AE76" i="28" s="1"/>
  <c r="Y76" i="28" l="1"/>
  <c r="AG77" i="28"/>
  <c r="AI78" i="28" s="1"/>
  <c r="AK79" i="28" s="1"/>
  <c r="AM80" i="28" s="1"/>
  <c r="D76" i="28"/>
  <c r="AF76" i="28"/>
  <c r="F74" i="28"/>
  <c r="P73" i="28"/>
  <c r="E74" i="28"/>
  <c r="G74" i="28" s="1"/>
  <c r="S73" i="28"/>
  <c r="O73" i="28"/>
  <c r="H76" i="28" l="1"/>
  <c r="T76" i="28" s="1"/>
  <c r="W77" i="28" s="1"/>
  <c r="Z76" i="28"/>
  <c r="AH77" i="28"/>
  <c r="AJ78" i="28" s="1"/>
  <c r="AL79" i="28" s="1"/>
  <c r="AN80" i="28" s="1"/>
  <c r="L74" i="28"/>
  <c r="AA74" i="28"/>
  <c r="B74" i="28" s="1"/>
  <c r="AO81" i="28"/>
  <c r="AP82" i="28" s="1"/>
  <c r="AQ83" i="28" s="1"/>
  <c r="AR84" i="28" s="1"/>
  <c r="U77" i="28"/>
  <c r="X77" i="28" s="1"/>
  <c r="N76" i="28"/>
  <c r="R85" i="28" l="1"/>
  <c r="V78" i="28"/>
  <c r="I74" i="28"/>
  <c r="C74" i="28" s="1"/>
  <c r="K74" i="28"/>
  <c r="AB75" i="28"/>
  <c r="AC76" i="28" l="1"/>
  <c r="AE77" i="28" s="1"/>
  <c r="AD76" i="28"/>
  <c r="J74" i="28"/>
  <c r="Q74" i="28"/>
  <c r="F75" i="28" l="1"/>
  <c r="P74" i="28"/>
  <c r="E75" i="28"/>
  <c r="G75" i="28" s="1"/>
  <c r="S74" i="28"/>
  <c r="D77" i="28"/>
  <c r="AF77" i="28"/>
  <c r="N77" i="28" s="1"/>
  <c r="O74" i="28"/>
  <c r="Y77" i="28"/>
  <c r="AG78" i="28"/>
  <c r="AI79" i="28" s="1"/>
  <c r="AK80" i="28" s="1"/>
  <c r="AM81" i="28" s="1"/>
  <c r="H77" i="28" l="1"/>
  <c r="T77" i="28" s="1"/>
  <c r="W78" i="28" s="1"/>
  <c r="Z77" i="28"/>
  <c r="AH78" i="28"/>
  <c r="AJ79" i="28" s="1"/>
  <c r="AL80" i="28" s="1"/>
  <c r="AN81" i="28" s="1"/>
  <c r="L75" i="28"/>
  <c r="AA75" i="28"/>
  <c r="B75" i="28" s="1"/>
  <c r="AO82" i="28"/>
  <c r="AP83" i="28" s="1"/>
  <c r="AQ84" i="28" s="1"/>
  <c r="AR85" i="28" s="1"/>
  <c r="U78" i="28"/>
  <c r="X78" i="28" s="1"/>
  <c r="R86" i="28" l="1"/>
  <c r="V79" i="28"/>
  <c r="K75" i="28"/>
  <c r="I75" i="28"/>
  <c r="C75" i="28" s="1"/>
  <c r="AB76" i="28"/>
  <c r="AC77" i="28" l="1"/>
  <c r="AE78" i="28" s="1"/>
  <c r="AD77" i="28"/>
  <c r="J75" i="28"/>
  <c r="Q75" i="28"/>
  <c r="P75" i="28" l="1"/>
  <c r="F76" i="28"/>
  <c r="E76" i="28"/>
  <c r="G76" i="28" s="1"/>
  <c r="S75" i="28"/>
  <c r="D78" i="28"/>
  <c r="AF78" i="28"/>
  <c r="N78" i="28" s="1"/>
  <c r="O75" i="28"/>
  <c r="Y78" i="28"/>
  <c r="AG79" i="28"/>
  <c r="AI80" i="28" s="1"/>
  <c r="AK81" i="28" s="1"/>
  <c r="AM82" i="28" s="1"/>
  <c r="L76" i="28" l="1"/>
  <c r="AA76" i="28"/>
  <c r="B76" i="28" s="1"/>
  <c r="H78" i="28"/>
  <c r="T78" i="28" s="1"/>
  <c r="W79" i="28" s="1"/>
  <c r="Z78" i="28"/>
  <c r="AH79" i="28"/>
  <c r="AJ80" i="28" s="1"/>
  <c r="AL81" i="28" s="1"/>
  <c r="AN82" i="28" s="1"/>
  <c r="AO83" i="28" s="1"/>
  <c r="AP84" i="28" s="1"/>
  <c r="AQ85" i="28" s="1"/>
  <c r="AR86" i="28" s="1"/>
  <c r="U79" i="28"/>
  <c r="X79" i="28" s="1"/>
  <c r="R87" i="28" l="1"/>
  <c r="V80" i="28"/>
  <c r="K76" i="28"/>
  <c r="I76" i="28"/>
  <c r="C76" i="28" s="1"/>
  <c r="AB77" i="28"/>
  <c r="J76" i="28" l="1"/>
  <c r="Q76" i="28"/>
  <c r="O76" i="28"/>
  <c r="AD78" i="28"/>
  <c r="AC78" i="28"/>
  <c r="AE79" i="28" s="1"/>
  <c r="Y79" i="28" l="1"/>
  <c r="AG80" i="28"/>
  <c r="AI81" i="28" s="1"/>
  <c r="AK82" i="28" s="1"/>
  <c r="AM83" i="28" s="1"/>
  <c r="D79" i="28"/>
  <c r="AF79" i="28"/>
  <c r="P76" i="28"/>
  <c r="F77" i="28"/>
  <c r="E77" i="28"/>
  <c r="G77" i="28" s="1"/>
  <c r="S76" i="28"/>
  <c r="Z79" i="28" l="1"/>
  <c r="H79" i="28"/>
  <c r="T79" i="28" s="1"/>
  <c r="W80" i="28" s="1"/>
  <c r="AH80" i="28"/>
  <c r="AJ81" i="28" s="1"/>
  <c r="AL82" i="28" s="1"/>
  <c r="AN83" i="28" s="1"/>
  <c r="L77" i="28"/>
  <c r="AA77" i="28"/>
  <c r="B77" i="28" s="1"/>
  <c r="N79" i="28"/>
  <c r="U80" i="28"/>
  <c r="X80" i="28" s="1"/>
  <c r="V81" i="28" l="1"/>
  <c r="AO84" i="28"/>
  <c r="AP85" i="28" s="1"/>
  <c r="AQ86" i="28" s="1"/>
  <c r="AR87" i="28" s="1"/>
  <c r="I77" i="28"/>
  <c r="C77" i="28" s="1"/>
  <c r="K77" i="28"/>
  <c r="AB78" i="28"/>
  <c r="AC79" i="28" l="1"/>
  <c r="AE80" i="28" s="1"/>
  <c r="AD79" i="28"/>
  <c r="R88" i="28"/>
  <c r="J77" i="28"/>
  <c r="Q77" i="28"/>
  <c r="O77" i="28"/>
  <c r="D80" i="28" l="1"/>
  <c r="AF80" i="28"/>
  <c r="P77" i="28"/>
  <c r="F78" i="28"/>
  <c r="E78" i="28"/>
  <c r="G78" i="28" s="1"/>
  <c r="S77" i="28"/>
  <c r="N80" i="28"/>
  <c r="Y80" i="28"/>
  <c r="AG81" i="28"/>
  <c r="AI82" i="28" s="1"/>
  <c r="AK83" i="28" s="1"/>
  <c r="AM84" i="28" s="1"/>
  <c r="Z80" i="28" l="1"/>
  <c r="U81" i="28" s="1"/>
  <c r="H80" i="28"/>
  <c r="T80" i="28" s="1"/>
  <c r="W81" i="28" s="1"/>
  <c r="AH81" i="28"/>
  <c r="AJ82" i="28" s="1"/>
  <c r="AL83" i="28" s="1"/>
  <c r="AN84" i="28" s="1"/>
  <c r="L78" i="28"/>
  <c r="AA78" i="28"/>
  <c r="B78" i="28" s="1"/>
  <c r="AO85" i="28"/>
  <c r="AP86" i="28" s="1"/>
  <c r="AQ87" i="28" s="1"/>
  <c r="AR88" i="28" s="1"/>
  <c r="X81" i="28" l="1"/>
  <c r="V82" i="28"/>
  <c r="R89" i="28"/>
  <c r="K78" i="28"/>
  <c r="I78" i="28"/>
  <c r="C78" i="28" s="1"/>
  <c r="AB79" i="28"/>
  <c r="AD80" i="28" l="1"/>
  <c r="AC80" i="28"/>
  <c r="AE81" i="28" s="1"/>
  <c r="Q78" i="28"/>
  <c r="J78" i="28"/>
  <c r="P78" i="28" l="1"/>
  <c r="F79" i="28"/>
  <c r="E79" i="28"/>
  <c r="G79" i="28" s="1"/>
  <c r="S78" i="28"/>
  <c r="O78" i="28"/>
  <c r="N81" i="28"/>
  <c r="AG82" i="28"/>
  <c r="AI83" i="28" s="1"/>
  <c r="AK84" i="28" s="1"/>
  <c r="AM85" i="28" s="1"/>
  <c r="Y81" i="28"/>
  <c r="D81" i="28"/>
  <c r="AF81" i="28"/>
  <c r="L79" i="28" l="1"/>
  <c r="AA79" i="28"/>
  <c r="B79" i="28" s="1"/>
  <c r="H81" i="28"/>
  <c r="T81" i="28" s="1"/>
  <c r="W82" i="28" s="1"/>
  <c r="Z81" i="28"/>
  <c r="U82" i="28" s="1"/>
  <c r="AH82" i="28"/>
  <c r="AJ83" i="28" s="1"/>
  <c r="AL84" i="28" s="1"/>
  <c r="AN85" i="28" s="1"/>
  <c r="AO86" i="28" s="1"/>
  <c r="AP87" i="28" s="1"/>
  <c r="AQ88" i="28" s="1"/>
  <c r="AR89" i="28" s="1"/>
  <c r="X82" i="28" l="1"/>
  <c r="R90" i="28"/>
  <c r="V83" i="28"/>
  <c r="K79" i="28"/>
  <c r="I79" i="28"/>
  <c r="C79" i="28" s="1"/>
  <c r="AB80" i="28"/>
  <c r="Q79" i="28" l="1"/>
  <c r="J79" i="28"/>
  <c r="AD81" i="28"/>
  <c r="AC81" i="28"/>
  <c r="AE82" i="28" s="1"/>
  <c r="Y82" i="28" l="1"/>
  <c r="AG83" i="28"/>
  <c r="AI84" i="28" s="1"/>
  <c r="AK85" i="28" s="1"/>
  <c r="AM86" i="28" s="1"/>
  <c r="D82" i="28"/>
  <c r="AF82" i="28"/>
  <c r="P79" i="28"/>
  <c r="F80" i="28"/>
  <c r="E80" i="28"/>
  <c r="G80" i="28" s="1"/>
  <c r="S79" i="28"/>
  <c r="O79" i="28"/>
  <c r="L80" i="28" l="1"/>
  <c r="AA80" i="28"/>
  <c r="B80" i="28" s="1"/>
  <c r="AH83" i="28"/>
  <c r="AJ84" i="28" s="1"/>
  <c r="AL85" i="28" s="1"/>
  <c r="AN86" i="28" s="1"/>
  <c r="AO87" i="28" s="1"/>
  <c r="AP88" i="28" s="1"/>
  <c r="AQ89" i="28" s="1"/>
  <c r="AR90" i="28" s="1"/>
  <c r="H82" i="28"/>
  <c r="T82" i="28" s="1"/>
  <c r="W83" i="28" s="1"/>
  <c r="Z82" i="28"/>
  <c r="U83" i="28" s="1"/>
  <c r="N82" i="28"/>
  <c r="X83" i="28" l="1"/>
  <c r="V84" i="28"/>
  <c r="R91" i="28"/>
  <c r="I80" i="28"/>
  <c r="C80" i="28" s="1"/>
  <c r="K80" i="28"/>
  <c r="AB81" i="28"/>
  <c r="J80" i="28" l="1"/>
  <c r="Q80" i="28"/>
  <c r="AD82" i="28"/>
  <c r="AC82" i="28"/>
  <c r="AE83" i="28" s="1"/>
  <c r="F81" i="28" l="1"/>
  <c r="P80" i="28"/>
  <c r="E81" i="28"/>
  <c r="G81" i="28" s="1"/>
  <c r="S80" i="28"/>
  <c r="AG84" i="28"/>
  <c r="AI85" i="28" s="1"/>
  <c r="AK86" i="28" s="1"/>
  <c r="AM87" i="28" s="1"/>
  <c r="Y83" i="28"/>
  <c r="D83" i="28"/>
  <c r="AF83" i="28"/>
  <c r="O80" i="28"/>
  <c r="Z83" i="28" l="1"/>
  <c r="H83" i="28"/>
  <c r="T83" i="28" s="1"/>
  <c r="W84" i="28" s="1"/>
  <c r="AH84" i="28"/>
  <c r="AJ85" i="28" s="1"/>
  <c r="AL86" i="28" s="1"/>
  <c r="AN87" i="28" s="1"/>
  <c r="U84" i="28"/>
  <c r="X84" i="28" s="1"/>
  <c r="N83" i="28"/>
  <c r="L81" i="28"/>
  <c r="AA81" i="28"/>
  <c r="B81" i="28" s="1"/>
  <c r="K81" i="28" l="1"/>
  <c r="I81" i="28"/>
  <c r="C81" i="28" s="1"/>
  <c r="AB82" i="28"/>
  <c r="AO88" i="28"/>
  <c r="AP89" i="28" s="1"/>
  <c r="AQ90" i="28" s="1"/>
  <c r="AR91" i="28" s="1"/>
  <c r="V85" i="28"/>
  <c r="R92" i="28" l="1"/>
  <c r="AD83" i="28"/>
  <c r="AC83" i="28"/>
  <c r="AE84" i="28" s="1"/>
  <c r="J81" i="28"/>
  <c r="Q81" i="28"/>
  <c r="D84" i="28" l="1"/>
  <c r="AF84" i="28"/>
  <c r="F82" i="28"/>
  <c r="P81" i="28"/>
  <c r="E82" i="28"/>
  <c r="G82" i="28" s="1"/>
  <c r="S81" i="28"/>
  <c r="N84" i="28"/>
  <c r="Y84" i="28"/>
  <c r="AG85" i="28"/>
  <c r="AI86" i="28" s="1"/>
  <c r="AK87" i="28" s="1"/>
  <c r="AM88" i="28" s="1"/>
  <c r="O81" i="28"/>
  <c r="L82" i="28" l="1"/>
  <c r="AA82" i="28"/>
  <c r="B82" i="28" s="1"/>
  <c r="H84" i="28"/>
  <c r="T84" i="28" s="1"/>
  <c r="W85" i="28" s="1"/>
  <c r="Z84" i="28"/>
  <c r="U85" i="28" s="1"/>
  <c r="AH85" i="28"/>
  <c r="AJ86" i="28" s="1"/>
  <c r="AL87" i="28" s="1"/>
  <c r="AN88" i="28" s="1"/>
  <c r="X85" i="28" l="1"/>
  <c r="V86" i="28"/>
  <c r="AO89" i="28"/>
  <c r="AP90" i="28" s="1"/>
  <c r="AQ91" i="28" s="1"/>
  <c r="AR92" i="28" s="1"/>
  <c r="I82" i="28"/>
  <c r="C82" i="28" s="1"/>
  <c r="K82" i="28"/>
  <c r="AB83" i="28"/>
  <c r="AC84" i="28" l="1"/>
  <c r="AE85" i="28" s="1"/>
  <c r="AD84" i="28"/>
  <c r="R93" i="28"/>
  <c r="Q82" i="28"/>
  <c r="J82" i="28"/>
  <c r="O82" i="28"/>
  <c r="D85" i="28" l="1"/>
  <c r="AF85" i="28"/>
  <c r="P82" i="28"/>
  <c r="F83" i="28"/>
  <c r="E83" i="28"/>
  <c r="G83" i="28" s="1"/>
  <c r="S82" i="28"/>
  <c r="N85" i="28"/>
  <c r="Y85" i="28"/>
  <c r="AG86" i="28"/>
  <c r="AI87" i="28" s="1"/>
  <c r="AK88" i="28" s="1"/>
  <c r="AM89" i="28" s="1"/>
  <c r="Z85" i="28" l="1"/>
  <c r="U86" i="28" s="1"/>
  <c r="H85" i="28"/>
  <c r="T85" i="28" s="1"/>
  <c r="W86" i="28" s="1"/>
  <c r="AH86" i="28"/>
  <c r="AJ87" i="28" s="1"/>
  <c r="AL88" i="28" s="1"/>
  <c r="AN89" i="28" s="1"/>
  <c r="L83" i="28"/>
  <c r="AA83" i="28"/>
  <c r="B83" i="28" s="1"/>
  <c r="X86" i="28" l="1"/>
  <c r="V87" i="28"/>
  <c r="AO90" i="28"/>
  <c r="AP91" i="28" s="1"/>
  <c r="AQ92" i="28" s="1"/>
  <c r="AR93" i="28" s="1"/>
  <c r="I83" i="28"/>
  <c r="C83" i="28" s="1"/>
  <c r="K83" i="28"/>
  <c r="AB84" i="28"/>
  <c r="AD85" i="28" l="1"/>
  <c r="AC85" i="28"/>
  <c r="AE86" i="28" s="1"/>
  <c r="J83" i="28"/>
  <c r="Q83" i="28"/>
  <c r="R94" i="28"/>
  <c r="O83" i="28"/>
  <c r="Y86" i="28" l="1"/>
  <c r="AG87" i="28"/>
  <c r="AI88" i="28" s="1"/>
  <c r="AK89" i="28" s="1"/>
  <c r="AM90" i="28" s="1"/>
  <c r="P83" i="28"/>
  <c r="F84" i="28"/>
  <c r="E84" i="28"/>
  <c r="G84" i="28" s="1"/>
  <c r="S83" i="28"/>
  <c r="D86" i="28"/>
  <c r="AF86" i="28"/>
  <c r="L84" i="28" l="1"/>
  <c r="AA84" i="28"/>
  <c r="B84" i="28" s="1"/>
  <c r="Z86" i="28"/>
  <c r="U87" i="28" s="1"/>
  <c r="H86" i="28"/>
  <c r="T86" i="28" s="1"/>
  <c r="W87" i="28" s="1"/>
  <c r="AH87" i="28"/>
  <c r="AJ88" i="28" s="1"/>
  <c r="AL89" i="28" s="1"/>
  <c r="AN90" i="28" s="1"/>
  <c r="AO91" i="28" s="1"/>
  <c r="AP92" i="28" s="1"/>
  <c r="AQ93" i="28" s="1"/>
  <c r="AR94" i="28" s="1"/>
  <c r="N86" i="28"/>
  <c r="X87" i="28" l="1"/>
  <c r="R95" i="28"/>
  <c r="V88" i="28"/>
  <c r="K84" i="28"/>
  <c r="I84" i="28"/>
  <c r="C84" i="28" s="1"/>
  <c r="AB85" i="28"/>
  <c r="J84" i="28" l="1"/>
  <c r="Q84" i="28"/>
  <c r="AC86" i="28"/>
  <c r="AE87" i="28" s="1"/>
  <c r="AD86" i="28"/>
  <c r="Y87" i="28" l="1"/>
  <c r="AG88" i="28"/>
  <c r="AI89" i="28" s="1"/>
  <c r="AK90" i="28" s="1"/>
  <c r="AM91" i="28" s="1"/>
  <c r="P84" i="28"/>
  <c r="F85" i="28"/>
  <c r="E85" i="28"/>
  <c r="G85" i="28" s="1"/>
  <c r="S84" i="28"/>
  <c r="O84" i="28"/>
  <c r="D87" i="28"/>
  <c r="AF87" i="28"/>
  <c r="H87" i="28" l="1"/>
  <c r="T87" i="28" s="1"/>
  <c r="W88" i="28" s="1"/>
  <c r="Z87" i="28"/>
  <c r="AH88" i="28"/>
  <c r="AJ89" i="28" s="1"/>
  <c r="AL90" i="28" s="1"/>
  <c r="AN91" i="28" s="1"/>
  <c r="N87" i="28"/>
  <c r="L85" i="28"/>
  <c r="AA85" i="28"/>
  <c r="B85" i="28" s="1"/>
  <c r="U88" i="28"/>
  <c r="X88" i="28" s="1"/>
  <c r="V89" i="28" l="1"/>
  <c r="I85" i="28"/>
  <c r="C85" i="28" s="1"/>
  <c r="K85" i="28"/>
  <c r="AB86" i="28"/>
  <c r="AO92" i="28"/>
  <c r="AP93" i="28" s="1"/>
  <c r="AQ94" i="28" s="1"/>
  <c r="AR95" i="28" s="1"/>
  <c r="AD87" i="28" l="1"/>
  <c r="AC87" i="28"/>
  <c r="AE88" i="28" s="1"/>
  <c r="O85" i="28"/>
  <c r="J85" i="28"/>
  <c r="Q85" i="28"/>
  <c r="R96" i="28"/>
  <c r="F86" i="28" l="1"/>
  <c r="P85" i="28"/>
  <c r="E86" i="28"/>
  <c r="G86" i="28" s="1"/>
  <c r="S85" i="28"/>
  <c r="N88" i="28"/>
  <c r="Y88" i="28"/>
  <c r="AG89" i="28"/>
  <c r="AI90" i="28" s="1"/>
  <c r="AK91" i="28" s="1"/>
  <c r="AM92" i="28" s="1"/>
  <c r="D88" i="28"/>
  <c r="AF88" i="28"/>
  <c r="L86" i="28" l="1"/>
  <c r="AA86" i="28"/>
  <c r="B86" i="28" s="1"/>
  <c r="AH89" i="28"/>
  <c r="AJ90" i="28" s="1"/>
  <c r="AL91" i="28" s="1"/>
  <c r="AN92" i="28" s="1"/>
  <c r="AO93" i="28" s="1"/>
  <c r="AP94" i="28" s="1"/>
  <c r="AQ95" i="28" s="1"/>
  <c r="AR96" i="28" s="1"/>
  <c r="Z88" i="28"/>
  <c r="U89" i="28" s="1"/>
  <c r="H88" i="28"/>
  <c r="T88" i="28" s="1"/>
  <c r="W89" i="28" s="1"/>
  <c r="X89" i="28" l="1"/>
  <c r="V90" i="28"/>
  <c r="R97" i="28"/>
  <c r="I86" i="28"/>
  <c r="C86" i="28" s="1"/>
  <c r="K86" i="28"/>
  <c r="AB87" i="28"/>
  <c r="Q86" i="28" l="1"/>
  <c r="J86" i="28"/>
  <c r="AD88" i="28"/>
  <c r="AC88" i="28"/>
  <c r="AE89" i="28" s="1"/>
  <c r="P86" i="28" l="1"/>
  <c r="F87" i="28"/>
  <c r="E87" i="28"/>
  <c r="G87" i="28" s="1"/>
  <c r="S86" i="28"/>
  <c r="N89" i="28"/>
  <c r="Y89" i="28"/>
  <c r="AG90" i="28"/>
  <c r="AI91" i="28" s="1"/>
  <c r="AK92" i="28" s="1"/>
  <c r="AM93" i="28" s="1"/>
  <c r="D89" i="28"/>
  <c r="AF89" i="28"/>
  <c r="O86" i="28"/>
  <c r="L87" i="28" l="1"/>
  <c r="AA87" i="28"/>
  <c r="B87" i="28" s="1"/>
  <c r="H89" i="28"/>
  <c r="T89" i="28" s="1"/>
  <c r="W90" i="28" s="1"/>
  <c r="Z89" i="28"/>
  <c r="U90" i="28" s="1"/>
  <c r="AH90" i="28"/>
  <c r="AJ91" i="28" s="1"/>
  <c r="AL92" i="28" s="1"/>
  <c r="AN93" i="28" s="1"/>
  <c r="X90" i="28" l="1"/>
  <c r="V91" i="28"/>
  <c r="K87" i="28"/>
  <c r="I87" i="28"/>
  <c r="C87" i="28" s="1"/>
  <c r="AB88" i="28"/>
  <c r="AO94" i="28"/>
  <c r="AP95" i="28" s="1"/>
  <c r="AQ96" i="28" s="1"/>
  <c r="AR97" i="28" s="1"/>
  <c r="AD89" i="28" l="1"/>
  <c r="AC89" i="28"/>
  <c r="AE90" i="28" s="1"/>
  <c r="J87" i="28"/>
  <c r="Q87" i="28"/>
  <c r="R98" i="28"/>
  <c r="F88" i="28" l="1"/>
  <c r="P87" i="28"/>
  <c r="E88" i="28"/>
  <c r="G88" i="28" s="1"/>
  <c r="S87" i="28"/>
  <c r="N90" i="28"/>
  <c r="Y90" i="28"/>
  <c r="AG91" i="28"/>
  <c r="AI92" i="28" s="1"/>
  <c r="AK93" i="28" s="1"/>
  <c r="AM94" i="28" s="1"/>
  <c r="O87" i="28"/>
  <c r="D90" i="28"/>
  <c r="AF90" i="28"/>
  <c r="L88" i="28" l="1"/>
  <c r="AA88" i="28"/>
  <c r="B88" i="28" s="1"/>
  <c r="H90" i="28"/>
  <c r="T90" i="28" s="1"/>
  <c r="W91" i="28" s="1"/>
  <c r="Z90" i="28"/>
  <c r="U91" i="28" s="1"/>
  <c r="AH91" i="28"/>
  <c r="AJ92" i="28" s="1"/>
  <c r="AL93" i="28" s="1"/>
  <c r="AN94" i="28" s="1"/>
  <c r="X91" i="28" l="1"/>
  <c r="V92" i="28" s="1"/>
  <c r="I88" i="28"/>
  <c r="C88" i="28" s="1"/>
  <c r="K88" i="28"/>
  <c r="AB89" i="28"/>
  <c r="AO95" i="28"/>
  <c r="AP96" i="28" s="1"/>
  <c r="AQ97" i="28" s="1"/>
  <c r="AR98" i="28" s="1"/>
  <c r="AD90" i="28" l="1"/>
  <c r="AC90" i="28"/>
  <c r="AE91" i="28" s="1"/>
  <c r="Q88" i="28"/>
  <c r="O88" i="28"/>
  <c r="J88" i="28"/>
  <c r="R99" i="28"/>
  <c r="F89" i="28" l="1"/>
  <c r="P88" i="28"/>
  <c r="E89" i="28"/>
  <c r="G89" i="28" s="1"/>
  <c r="S88" i="28"/>
  <c r="N91" i="28"/>
  <c r="Y91" i="28"/>
  <c r="AG92" i="28"/>
  <c r="AI93" i="28" s="1"/>
  <c r="AK94" i="28" s="1"/>
  <c r="AM95" i="28" s="1"/>
  <c r="D91" i="28"/>
  <c r="AF91" i="28"/>
  <c r="L89" i="28" l="1"/>
  <c r="AA89" i="28"/>
  <c r="B89" i="28" s="1"/>
  <c r="Z91" i="28"/>
  <c r="U92" i="28" s="1"/>
  <c r="H91" i="28"/>
  <c r="T91" i="28" s="1"/>
  <c r="W92" i="28" s="1"/>
  <c r="AH92" i="28"/>
  <c r="AJ93" i="28" s="1"/>
  <c r="AL94" i="28" s="1"/>
  <c r="AN95" i="28" s="1"/>
  <c r="X92" i="28" l="1"/>
  <c r="V93" i="28" s="1"/>
  <c r="K89" i="28"/>
  <c r="I89" i="28"/>
  <c r="C89" i="28" s="1"/>
  <c r="AB90" i="28"/>
  <c r="AO96" i="28"/>
  <c r="AP97" i="28" s="1"/>
  <c r="AQ98" i="28" s="1"/>
  <c r="AR99" i="28" s="1"/>
  <c r="AD91" i="28" l="1"/>
  <c r="AC91" i="28"/>
  <c r="AE92" i="28" s="1"/>
  <c r="Q89" i="28"/>
  <c r="O89" i="28"/>
  <c r="J89" i="28"/>
  <c r="R100" i="28"/>
  <c r="Y92" i="28" l="1"/>
  <c r="AG93" i="28"/>
  <c r="AI94" i="28" s="1"/>
  <c r="AK95" i="28" s="1"/>
  <c r="AM96" i="28" s="1"/>
  <c r="F90" i="28"/>
  <c r="P89" i="28"/>
  <c r="E90" i="28"/>
  <c r="G90" i="28" s="1"/>
  <c r="S89" i="28"/>
  <c r="D92" i="28"/>
  <c r="AF92" i="28"/>
  <c r="L90" i="28" l="1"/>
  <c r="AA90" i="28"/>
  <c r="B90" i="28" s="1"/>
  <c r="Z92" i="28"/>
  <c r="U93" i="28" s="1"/>
  <c r="H92" i="28"/>
  <c r="T92" i="28" s="1"/>
  <c r="W93" i="28" s="1"/>
  <c r="AH93" i="28"/>
  <c r="AJ94" i="28" s="1"/>
  <c r="AL95" i="28" s="1"/>
  <c r="AN96" i="28" s="1"/>
  <c r="N92" i="28"/>
  <c r="X93" i="28" l="1"/>
  <c r="V94" i="28"/>
  <c r="I90" i="28"/>
  <c r="C90" i="28" s="1"/>
  <c r="K90" i="28"/>
  <c r="AB91" i="28"/>
  <c r="AO97" i="28"/>
  <c r="AP98" i="28" s="1"/>
  <c r="AQ99" i="28" s="1"/>
  <c r="AR100" i="28" s="1"/>
  <c r="AC92" i="28" l="1"/>
  <c r="AE93" i="28" s="1"/>
  <c r="AD92" i="28"/>
  <c r="Q90" i="28"/>
  <c r="J90" i="28"/>
  <c r="O90" i="28"/>
  <c r="R101" i="28"/>
  <c r="F91" i="28" l="1"/>
  <c r="P90" i="28"/>
  <c r="E91" i="28"/>
  <c r="G91" i="28" s="1"/>
  <c r="S90" i="28"/>
  <c r="D93" i="28"/>
  <c r="AF93" i="28"/>
  <c r="N93" i="28" s="1"/>
  <c r="Y93" i="28"/>
  <c r="AG94" i="28"/>
  <c r="AI95" i="28" s="1"/>
  <c r="AK96" i="28" s="1"/>
  <c r="AM97" i="28" s="1"/>
  <c r="L91" i="28" l="1"/>
  <c r="AA91" i="28"/>
  <c r="B91" i="28" s="1"/>
  <c r="Z93" i="28"/>
  <c r="U94" i="28" s="1"/>
  <c r="H93" i="28"/>
  <c r="T93" i="28" s="1"/>
  <c r="W94" i="28" s="1"/>
  <c r="AH94" i="28"/>
  <c r="AJ95" i="28" s="1"/>
  <c r="AL96" i="28" s="1"/>
  <c r="AN97" i="28" s="1"/>
  <c r="AO98" i="28" s="1"/>
  <c r="AP99" i="28" s="1"/>
  <c r="AQ100" i="28" s="1"/>
  <c r="AR101" i="28" s="1"/>
  <c r="X94" i="28" l="1"/>
  <c r="V95" i="28" s="1"/>
  <c r="R102" i="28"/>
  <c r="K91" i="28"/>
  <c r="I91" i="28"/>
  <c r="C91" i="28" s="1"/>
  <c r="AB92" i="28"/>
  <c r="Q91" i="28" l="1"/>
  <c r="J91" i="28"/>
  <c r="AD93" i="28"/>
  <c r="AC93" i="28"/>
  <c r="AE94" i="28" s="1"/>
  <c r="F92" i="28" l="1"/>
  <c r="P91" i="28"/>
  <c r="E92" i="28"/>
  <c r="G92" i="28" s="1"/>
  <c r="S91" i="28"/>
  <c r="N94" i="28"/>
  <c r="AG95" i="28"/>
  <c r="AI96" i="28" s="1"/>
  <c r="AK97" i="28" s="1"/>
  <c r="AM98" i="28" s="1"/>
  <c r="Y94" i="28"/>
  <c r="D94" i="28"/>
  <c r="AF94" i="28"/>
  <c r="O91" i="28"/>
  <c r="L92" i="28" l="1"/>
  <c r="AA92" i="28"/>
  <c r="B92" i="28" s="1"/>
  <c r="Z94" i="28"/>
  <c r="U95" i="28" s="1"/>
  <c r="H94" i="28"/>
  <c r="T94" i="28" s="1"/>
  <c r="W95" i="28" s="1"/>
  <c r="AH95" i="28"/>
  <c r="AJ96" i="28" s="1"/>
  <c r="AL97" i="28" s="1"/>
  <c r="AN98" i="28" s="1"/>
  <c r="X95" i="28" l="1"/>
  <c r="V96" i="28"/>
  <c r="I92" i="28"/>
  <c r="C92" i="28" s="1"/>
  <c r="K92" i="28"/>
  <c r="AB93" i="28"/>
  <c r="AO99" i="28"/>
  <c r="AP100" i="28" s="1"/>
  <c r="AQ101" i="28" s="1"/>
  <c r="AR102" i="28" s="1"/>
  <c r="AD94" i="28" l="1"/>
  <c r="AC94" i="28"/>
  <c r="AE95" i="28" s="1"/>
  <c r="Q92" i="28"/>
  <c r="O92" i="28"/>
  <c r="J92" i="28"/>
  <c r="R103" i="28"/>
  <c r="P92" i="28" l="1"/>
  <c r="F93" i="28"/>
  <c r="E93" i="28"/>
  <c r="G93" i="28" s="1"/>
  <c r="S92" i="28"/>
  <c r="N95" i="28"/>
  <c r="Y95" i="28"/>
  <c r="AG96" i="28"/>
  <c r="AI97" i="28" s="1"/>
  <c r="AK98" i="28" s="1"/>
  <c r="AM99" i="28" s="1"/>
  <c r="D95" i="28"/>
  <c r="AF95" i="28"/>
  <c r="L93" i="28" l="1"/>
  <c r="AA93" i="28"/>
  <c r="B93" i="28" s="1"/>
  <c r="Z95" i="28"/>
  <c r="U96" i="28" s="1"/>
  <c r="H95" i="28"/>
  <c r="T95" i="28" s="1"/>
  <c r="W96" i="28" s="1"/>
  <c r="AH96" i="28"/>
  <c r="AJ97" i="28" s="1"/>
  <c r="AL98" i="28" s="1"/>
  <c r="AN99" i="28" s="1"/>
  <c r="X96" i="28" l="1"/>
  <c r="V97" i="28"/>
  <c r="AO100" i="28"/>
  <c r="AP101" i="28" s="1"/>
  <c r="AQ102" i="28" s="1"/>
  <c r="AR103" i="28" s="1"/>
  <c r="K93" i="28"/>
  <c r="I93" i="28"/>
  <c r="C93" i="28" s="1"/>
  <c r="AB94" i="28"/>
  <c r="AC95" i="28" l="1"/>
  <c r="AE96" i="28" s="1"/>
  <c r="AD95" i="28"/>
  <c r="Q93" i="28"/>
  <c r="J93" i="28"/>
  <c r="R104" i="28"/>
  <c r="D49" i="6"/>
  <c r="C50" i="6"/>
  <c r="E50" i="6"/>
  <c r="F94" i="28" l="1"/>
  <c r="P93" i="28"/>
  <c r="E94" i="28"/>
  <c r="G94" i="28" s="1"/>
  <c r="S93" i="28"/>
  <c r="O93" i="28"/>
  <c r="D96" i="28"/>
  <c r="AF96" i="28"/>
  <c r="F50" i="6"/>
  <c r="G50" i="6"/>
  <c r="Y96" i="28"/>
  <c r="AG97" i="28"/>
  <c r="AI98" i="28" s="1"/>
  <c r="AK99" i="28" s="1"/>
  <c r="AM100" i="28" s="1"/>
  <c r="Z96" i="28" l="1"/>
  <c r="U97" i="28" s="1"/>
  <c r="H96" i="28"/>
  <c r="T96" i="28" s="1"/>
  <c r="W97" i="28" s="1"/>
  <c r="AH97" i="28"/>
  <c r="AJ98" i="28" s="1"/>
  <c r="AL99" i="28" s="1"/>
  <c r="AN100" i="28" s="1"/>
  <c r="AO101" i="28" s="1"/>
  <c r="AP102" i="28" s="1"/>
  <c r="AQ103" i="28" s="1"/>
  <c r="L94" i="28"/>
  <c r="AA94" i="28"/>
  <c r="B94" i="28" s="1"/>
  <c r="N96" i="28"/>
  <c r="X97" i="28" l="1"/>
  <c r="V98" i="28"/>
  <c r="K94" i="28"/>
  <c r="I94" i="28"/>
  <c r="C94" i="28" s="1"/>
  <c r="AB95" i="28"/>
  <c r="AR104" i="28"/>
  <c r="E49" i="6"/>
  <c r="D48" i="6"/>
  <c r="C49" i="6"/>
  <c r="F49" i="6" l="1"/>
  <c r="G49" i="6"/>
  <c r="R105" i="28"/>
  <c r="AD96" i="28"/>
  <c r="AC96" i="28"/>
  <c r="AE97" i="28" s="1"/>
  <c r="Q94" i="28"/>
  <c r="J94" i="28"/>
  <c r="D97" i="28" l="1"/>
  <c r="AF97" i="28"/>
  <c r="F95" i="28"/>
  <c r="P94" i="28"/>
  <c r="E95" i="28"/>
  <c r="G95" i="28" s="1"/>
  <c r="S94" i="28"/>
  <c r="N97" i="28"/>
  <c r="Y97" i="28"/>
  <c r="AG98" i="28"/>
  <c r="AI99" i="28" s="1"/>
  <c r="AK100" i="28" s="1"/>
  <c r="AM101" i="28" s="1"/>
  <c r="O94" i="28"/>
  <c r="L95" i="28" l="1"/>
  <c r="AA95" i="28"/>
  <c r="B95" i="28" s="1"/>
  <c r="Z97" i="28"/>
  <c r="H97" i="28"/>
  <c r="T97" i="28" s="1"/>
  <c r="W98" i="28" s="1"/>
  <c r="AH98" i="28"/>
  <c r="AJ99" i="28" s="1"/>
  <c r="AL100" i="28" s="1"/>
  <c r="AN101" i="28" s="1"/>
  <c r="U98" i="28"/>
  <c r="X98" i="28" s="1"/>
  <c r="AO102" i="28" l="1"/>
  <c r="AP103" i="28" s="1"/>
  <c r="V99" i="28"/>
  <c r="K95" i="28"/>
  <c r="I95" i="28"/>
  <c r="C95" i="28" s="1"/>
  <c r="AB96" i="28"/>
  <c r="Q95" i="28" l="1"/>
  <c r="J95" i="28"/>
  <c r="AQ104" i="28"/>
  <c r="AR105" i="28" s="1"/>
  <c r="E48" i="6"/>
  <c r="C48" i="6"/>
  <c r="AC97" i="28"/>
  <c r="AE98" i="28" s="1"/>
  <c r="AD97" i="28"/>
  <c r="D98" i="28" l="1"/>
  <c r="AF98" i="28"/>
  <c r="N98" i="28" s="1"/>
  <c r="Y98" i="28"/>
  <c r="AG99" i="28"/>
  <c r="AI100" i="28" s="1"/>
  <c r="AK101" i="28" s="1"/>
  <c r="AM102" i="28" s="1"/>
  <c r="F48" i="6"/>
  <c r="G48" i="6"/>
  <c r="R106" i="28"/>
  <c r="F96" i="28"/>
  <c r="P95" i="28"/>
  <c r="E96" i="28"/>
  <c r="G96" i="28" s="1"/>
  <c r="S95" i="28"/>
  <c r="O95" i="28"/>
  <c r="Z98" i="28" l="1"/>
  <c r="U99" i="28" s="1"/>
  <c r="H98" i="28"/>
  <c r="T98" i="28" s="1"/>
  <c r="W99" i="28" s="1"/>
  <c r="AH99" i="28"/>
  <c r="AJ100" i="28" s="1"/>
  <c r="AL101" i="28" s="1"/>
  <c r="AN102" i="28" s="1"/>
  <c r="AO103" i="28" s="1"/>
  <c r="L96" i="28"/>
  <c r="AA96" i="28"/>
  <c r="B96" i="28" s="1"/>
  <c r="X99" i="28" l="1"/>
  <c r="AP104" i="28"/>
  <c r="AQ105" i="28" s="1"/>
  <c r="AR106" i="28" s="1"/>
  <c r="C47" i="6"/>
  <c r="D47" i="6"/>
  <c r="E47" i="6"/>
  <c r="V100" i="28"/>
  <c r="K96" i="28"/>
  <c r="I96" i="28"/>
  <c r="C96" i="28" s="1"/>
  <c r="AB97" i="28"/>
  <c r="F47" i="6" l="1"/>
  <c r="G47" i="6"/>
  <c r="AD98" i="28"/>
  <c r="AC98" i="28"/>
  <c r="AE99" i="28" s="1"/>
  <c r="O96" i="28"/>
  <c r="Q96" i="28"/>
  <c r="J96" i="28"/>
  <c r="R107" i="28"/>
  <c r="P96" i="28" l="1"/>
  <c r="F97" i="28"/>
  <c r="E97" i="28"/>
  <c r="G97" i="28" s="1"/>
  <c r="S96" i="28"/>
  <c r="Y99" i="28"/>
  <c r="AG100" i="28"/>
  <c r="AI101" i="28" s="1"/>
  <c r="AK102" i="28" s="1"/>
  <c r="AM103" i="28" s="1"/>
  <c r="D99" i="28"/>
  <c r="AF99" i="28"/>
  <c r="N99" i="28" s="1"/>
  <c r="C45" i="6" l="1"/>
  <c r="E45" i="6"/>
  <c r="D45" i="6"/>
  <c r="L97" i="28"/>
  <c r="AA97" i="28"/>
  <c r="B97" i="28" s="1"/>
  <c r="Z99" i="28"/>
  <c r="U100" i="28" s="1"/>
  <c r="AH100" i="28"/>
  <c r="AJ101" i="28" s="1"/>
  <c r="AL102" i="28" s="1"/>
  <c r="AN103" i="28" s="1"/>
  <c r="H99" i="28"/>
  <c r="T99" i="28" s="1"/>
  <c r="W100" i="28" s="1"/>
  <c r="X100" i="28" l="1"/>
  <c r="V101" i="28"/>
  <c r="I97" i="28"/>
  <c r="C97" i="28" s="1"/>
  <c r="K97" i="28"/>
  <c r="AB98" i="28"/>
  <c r="G45" i="6"/>
  <c r="F45" i="6"/>
  <c r="D46" i="6"/>
  <c r="C46" i="6"/>
  <c r="E46" i="6"/>
  <c r="AO104" i="28"/>
  <c r="AP105" i="28" s="1"/>
  <c r="AQ106" i="28" s="1"/>
  <c r="AR107" i="28" s="1"/>
  <c r="AC99" i="28" l="1"/>
  <c r="AE100" i="28" s="1"/>
  <c r="AD99" i="28"/>
  <c r="O97" i="28"/>
  <c r="Q97" i="28"/>
  <c r="J97" i="28"/>
  <c r="R108" i="28"/>
  <c r="G46" i="6"/>
  <c r="F46" i="6"/>
  <c r="P97" i="28" l="1"/>
  <c r="F98" i="28"/>
  <c r="E98" i="28"/>
  <c r="G98" i="28" s="1"/>
  <c r="S97" i="28"/>
  <c r="D100" i="28"/>
  <c r="AF100" i="28"/>
  <c r="Y100" i="28"/>
  <c r="N100" i="28"/>
  <c r="AG101" i="28"/>
  <c r="AI102" i="28" s="1"/>
  <c r="AK103" i="28" s="1"/>
  <c r="Z100" i="28" l="1"/>
  <c r="U101" i="28" s="1"/>
  <c r="H100" i="28"/>
  <c r="T100" i="28" s="1"/>
  <c r="W101" i="28" s="1"/>
  <c r="AH101" i="28"/>
  <c r="AJ102" i="28" s="1"/>
  <c r="AL103" i="28" s="1"/>
  <c r="L98" i="28"/>
  <c r="AA98" i="28"/>
  <c r="B98" i="28" s="1"/>
  <c r="AM104" i="28"/>
  <c r="D43" i="6"/>
  <c r="E43" i="6"/>
  <c r="C43" i="6"/>
  <c r="X101" i="28" l="1"/>
  <c r="V102" i="28" s="1"/>
  <c r="AN104" i="28"/>
  <c r="E44" i="6"/>
  <c r="D44" i="6"/>
  <c r="C44" i="6"/>
  <c r="AO105" i="28"/>
  <c r="AP106" i="28" s="1"/>
  <c r="AQ107" i="28" s="1"/>
  <c r="AR108" i="28" s="1"/>
  <c r="G43" i="6"/>
  <c r="F43" i="6"/>
  <c r="I98" i="28"/>
  <c r="C98" i="28" s="1"/>
  <c r="K98" i="28"/>
  <c r="AB99" i="28"/>
  <c r="R109" i="28" l="1"/>
  <c r="F44" i="6"/>
  <c r="G44" i="6"/>
  <c r="O98" i="28"/>
  <c r="AD100" i="28"/>
  <c r="AC100" i="28"/>
  <c r="AE101" i="28" s="1"/>
  <c r="J98" i="28"/>
  <c r="Q98" i="28"/>
  <c r="Y101" i="28" l="1"/>
  <c r="AG102" i="28"/>
  <c r="AI103" i="28" s="1"/>
  <c r="D101" i="28"/>
  <c r="AF101" i="28"/>
  <c r="P98" i="28"/>
  <c r="F99" i="28"/>
  <c r="E99" i="28"/>
  <c r="G99" i="28" s="1"/>
  <c r="S98" i="28"/>
  <c r="Z101" i="28" l="1"/>
  <c r="H101" i="28"/>
  <c r="T101" i="28" s="1"/>
  <c r="W102" i="28" s="1"/>
  <c r="AH102" i="28"/>
  <c r="AJ103" i="28" s="1"/>
  <c r="AK104" i="28"/>
  <c r="AM105" i="28" s="1"/>
  <c r="C41" i="6"/>
  <c r="D41" i="6"/>
  <c r="E41" i="6"/>
  <c r="L99" i="28"/>
  <c r="AA99" i="28"/>
  <c r="B99" i="28" s="1"/>
  <c r="U102" i="28"/>
  <c r="N101" i="28"/>
  <c r="X102" i="28" l="1"/>
  <c r="F41" i="6"/>
  <c r="G41" i="6"/>
  <c r="V103" i="28"/>
  <c r="AL104" i="28"/>
  <c r="AN105" i="28" s="1"/>
  <c r="C42" i="6"/>
  <c r="E42" i="6"/>
  <c r="D42" i="6"/>
  <c r="K99" i="28"/>
  <c r="I99" i="28"/>
  <c r="C99" i="28" s="1"/>
  <c r="AB100" i="28"/>
  <c r="AO106" i="28" l="1"/>
  <c r="AP107" i="28" s="1"/>
  <c r="AQ108" i="28" s="1"/>
  <c r="AR109" i="28" s="1"/>
  <c r="O99" i="28"/>
  <c r="Q99" i="28"/>
  <c r="J99" i="28"/>
  <c r="G42" i="6"/>
  <c r="F42" i="6"/>
  <c r="AC101" i="28"/>
  <c r="AE102" i="28" s="1"/>
  <c r="AD101" i="28"/>
  <c r="D102" i="28" l="1"/>
  <c r="AF102" i="28"/>
  <c r="AG103" i="28"/>
  <c r="Y102" i="28"/>
  <c r="F100" i="28"/>
  <c r="P99" i="28"/>
  <c r="E100" i="28"/>
  <c r="G100" i="28" s="1"/>
  <c r="S99" i="28"/>
  <c r="R110" i="28"/>
  <c r="L100" i="28" l="1"/>
  <c r="AA100" i="28"/>
  <c r="B100" i="28" s="1"/>
  <c r="AI104" i="28"/>
  <c r="AK105" i="28" s="1"/>
  <c r="AM106" i="28" s="1"/>
  <c r="E39" i="6"/>
  <c r="C39" i="6"/>
  <c r="D39" i="6"/>
  <c r="H102" i="28"/>
  <c r="T102" i="28" s="1"/>
  <c r="W103" i="28" s="1"/>
  <c r="Z102" i="28"/>
  <c r="U103" i="28" s="1"/>
  <c r="AH103" i="28"/>
  <c r="N102" i="28"/>
  <c r="X103" i="28" l="1"/>
  <c r="V104" i="28"/>
  <c r="F39" i="6"/>
  <c r="G39" i="6"/>
  <c r="AO107" i="28"/>
  <c r="AP108" i="28" s="1"/>
  <c r="AQ109" i="28" s="1"/>
  <c r="AR110" i="28" s="1"/>
  <c r="K100" i="28"/>
  <c r="I100" i="28"/>
  <c r="C100" i="28" s="1"/>
  <c r="AB101" i="28"/>
  <c r="AJ104" i="28"/>
  <c r="AL105" i="28" s="1"/>
  <c r="AN106" i="28" s="1"/>
  <c r="D40" i="6"/>
  <c r="E40" i="6"/>
  <c r="C40" i="6"/>
  <c r="R111" i="28" l="1"/>
  <c r="G40" i="6"/>
  <c r="F40" i="6"/>
  <c r="Q100" i="28"/>
  <c r="J100" i="28"/>
  <c r="O100" i="28"/>
  <c r="AD102" i="28"/>
  <c r="AC102" i="28"/>
  <c r="AE103" i="28" s="1"/>
  <c r="Y103" i="28" l="1"/>
  <c r="AG104" i="28"/>
  <c r="AI105" i="28" s="1"/>
  <c r="AK106" i="28" s="1"/>
  <c r="AM107" i="28" s="1"/>
  <c r="E37" i="6"/>
  <c r="C37" i="6"/>
  <c r="D37" i="6"/>
  <c r="D103" i="28"/>
  <c r="AF103" i="28"/>
  <c r="L20" i="6"/>
  <c r="P100" i="28"/>
  <c r="F25" i="1"/>
  <c r="F101" i="28"/>
  <c r="E101" i="28"/>
  <c r="G101" i="28" s="1"/>
  <c r="S100" i="28"/>
  <c r="F26" i="1"/>
  <c r="L21" i="6"/>
  <c r="L22" i="6" l="1"/>
  <c r="L101" i="28"/>
  <c r="AA101" i="28"/>
  <c r="B101" i="28" s="1"/>
  <c r="H103" i="28"/>
  <c r="T103" i="28" s="1"/>
  <c r="W104" i="28" s="1"/>
  <c r="Z103" i="28"/>
  <c r="U104" i="28" s="1"/>
  <c r="X104" i="28" s="1"/>
  <c r="AH104" i="28"/>
  <c r="AJ105" i="28" s="1"/>
  <c r="AL106" i="28" s="1"/>
  <c r="AN107" i="28" s="1"/>
  <c r="AO108" i="28" s="1"/>
  <c r="AP109" i="28" s="1"/>
  <c r="AQ110" i="28" s="1"/>
  <c r="AR111" i="28" s="1"/>
  <c r="D38" i="6"/>
  <c r="E38" i="6"/>
  <c r="C38" i="6"/>
  <c r="C23" i="6"/>
  <c r="G37" i="6"/>
  <c r="F37" i="6"/>
  <c r="N103" i="28"/>
  <c r="R112" i="28" l="1"/>
  <c r="V105" i="28"/>
  <c r="K101" i="28"/>
  <c r="I101" i="28"/>
  <c r="C101" i="28" s="1"/>
  <c r="AB102" i="28"/>
  <c r="G38" i="6"/>
  <c r="C24" i="6"/>
  <c r="F38" i="6"/>
  <c r="Q101" i="28" l="1"/>
  <c r="J101" i="28"/>
  <c r="AC103" i="28"/>
  <c r="AD103" i="28"/>
  <c r="D104" i="28" l="1"/>
  <c r="AF104" i="28"/>
  <c r="E36" i="6"/>
  <c r="C36" i="6"/>
  <c r="D36" i="6"/>
  <c r="AE104" i="28"/>
  <c r="D35" i="6"/>
  <c r="C35" i="6"/>
  <c r="E35" i="6"/>
  <c r="P101" i="28"/>
  <c r="F102" i="28"/>
  <c r="E102" i="28"/>
  <c r="G102" i="28" s="1"/>
  <c r="S101" i="28"/>
  <c r="O101" i="28"/>
  <c r="L102" i="28" l="1"/>
  <c r="AA102" i="28"/>
  <c r="B102" i="28" s="1"/>
  <c r="G35" i="6"/>
  <c r="F35" i="6"/>
  <c r="N104" i="28"/>
  <c r="Y104" i="28"/>
  <c r="U105" i="28" s="1"/>
  <c r="X105" i="28" s="1"/>
  <c r="AG105" i="28"/>
  <c r="AI106" i="28" s="1"/>
  <c r="AK107" i="28" s="1"/>
  <c r="AM108" i="28" s="1"/>
  <c r="AO109" i="28" s="1"/>
  <c r="AP110" i="28" s="1"/>
  <c r="AQ111" i="28" s="1"/>
  <c r="AR112" i="28" s="1"/>
  <c r="F36" i="6"/>
  <c r="G36" i="6"/>
  <c r="Z104" i="28"/>
  <c r="H104" i="28"/>
  <c r="T104" i="28" s="1"/>
  <c r="W105" i="28" s="1"/>
  <c r="AH105" i="28"/>
  <c r="AJ106" i="28" s="1"/>
  <c r="AL107" i="28" s="1"/>
  <c r="AN108" i="28" s="1"/>
  <c r="R113" i="28" l="1"/>
  <c r="V106" i="28"/>
  <c r="K102" i="28"/>
  <c r="I102" i="28"/>
  <c r="C102" i="28" s="1"/>
  <c r="AB103" i="28"/>
  <c r="Q102" i="28" l="1"/>
  <c r="J102" i="28"/>
  <c r="AC104" i="28"/>
  <c r="AE105" i="28" s="1"/>
  <c r="AD104" i="28"/>
  <c r="E34" i="6"/>
  <c r="C34" i="6"/>
  <c r="D34" i="6"/>
  <c r="D105" i="28" l="1"/>
  <c r="AF105" i="28"/>
  <c r="P102" i="28"/>
  <c r="F103" i="28"/>
  <c r="E103" i="28"/>
  <c r="G103" i="28" s="1"/>
  <c r="S102" i="28"/>
  <c r="N105" i="28"/>
  <c r="Y105" i="28"/>
  <c r="AG106" i="28"/>
  <c r="AI107" i="28" s="1"/>
  <c r="AK108" i="28" s="1"/>
  <c r="AM109" i="28" s="1"/>
  <c r="O102" i="28"/>
  <c r="F34" i="6"/>
  <c r="G34" i="6"/>
  <c r="L103" i="28" l="1"/>
  <c r="AA103" i="28"/>
  <c r="B103" i="28" s="1"/>
  <c r="Z105" i="28"/>
  <c r="U106" i="28" s="1"/>
  <c r="H105" i="28"/>
  <c r="T105" i="28" s="1"/>
  <c r="W106" i="28" s="1"/>
  <c r="AH106" i="28"/>
  <c r="AJ107" i="28" s="1"/>
  <c r="AL108" i="28" s="1"/>
  <c r="AN109" i="28" s="1"/>
  <c r="X106" i="28" l="1"/>
  <c r="V107" i="28" s="1"/>
  <c r="AO110" i="28"/>
  <c r="AP111" i="28" s="1"/>
  <c r="AQ112" i="28" s="1"/>
  <c r="AR113" i="28" s="1"/>
  <c r="K103" i="28"/>
  <c r="I103" i="28"/>
  <c r="C103" i="28" s="1"/>
  <c r="AB104" i="28"/>
  <c r="E33" i="6"/>
  <c r="C33" i="6"/>
  <c r="D33" i="6"/>
  <c r="R114" i="28" l="1"/>
  <c r="G33" i="6"/>
  <c r="F33" i="6"/>
  <c r="AC105" i="28"/>
  <c r="AE106" i="28" s="1"/>
  <c r="AD105" i="28"/>
  <c r="Q103" i="28"/>
  <c r="J103" i="28"/>
  <c r="Y106" i="28" l="1"/>
  <c r="AG107" i="28"/>
  <c r="AI108" i="28" s="1"/>
  <c r="AK109" i="28" s="1"/>
  <c r="AM110" i="28" s="1"/>
  <c r="P103" i="28"/>
  <c r="B5" i="6"/>
  <c r="F104" i="28"/>
  <c r="E104" i="28"/>
  <c r="G104" i="28" s="1"/>
  <c r="B3" i="6"/>
  <c r="B4" i="6"/>
  <c r="B10" i="6"/>
  <c r="S103" i="28"/>
  <c r="D106" i="28"/>
  <c r="AF106" i="28"/>
  <c r="O103" i="28"/>
  <c r="L104" i="28" l="1"/>
  <c r="AA104" i="28"/>
  <c r="B104" i="28" s="1"/>
  <c r="C3" i="6"/>
  <c r="E25" i="1"/>
  <c r="H106" i="28"/>
  <c r="T106" i="28" s="1"/>
  <c r="W107" i="28" s="1"/>
  <c r="Z106" i="28"/>
  <c r="U107" i="28" s="1"/>
  <c r="AH107" i="28"/>
  <c r="AJ108" i="28" s="1"/>
  <c r="AL109" i="28" s="1"/>
  <c r="AN110" i="28" s="1"/>
  <c r="AO111" i="28" s="1"/>
  <c r="AP112" i="28" s="1"/>
  <c r="AQ113" i="28" s="1"/>
  <c r="AR114" i="28" s="1"/>
  <c r="N106" i="28"/>
  <c r="X107" i="28" l="1"/>
  <c r="V108" i="28"/>
  <c r="R115" i="28"/>
  <c r="K104" i="28"/>
  <c r="I104" i="28"/>
  <c r="C104" i="28" s="1"/>
  <c r="AB105" i="28"/>
  <c r="B38" i="1"/>
  <c r="B13" i="26"/>
  <c r="C1" i="14"/>
  <c r="B1" i="15"/>
  <c r="D2" i="9"/>
  <c r="D36" i="8"/>
  <c r="AD106" i="28" l="1"/>
  <c r="AC106" i="28"/>
  <c r="AE107" i="28" s="1"/>
  <c r="F35" i="8"/>
  <c r="F32" i="8"/>
  <c r="G18" i="8" s="1"/>
  <c r="J104" i="28"/>
  <c r="Q104" i="28"/>
  <c r="D6" i="9"/>
  <c r="G129" i="21"/>
  <c r="AA9" i="21"/>
  <c r="AA4" i="21"/>
  <c r="AA126" i="21"/>
  <c r="F25" i="21"/>
  <c r="F34" i="21"/>
  <c r="F110" i="21"/>
  <c r="F90" i="21"/>
  <c r="F24" i="21"/>
  <c r="F86" i="21"/>
  <c r="F117" i="21"/>
  <c r="F18" i="21"/>
  <c r="F33" i="21"/>
  <c r="F59" i="21"/>
  <c r="F23" i="21"/>
  <c r="F97" i="21"/>
  <c r="F70" i="21"/>
  <c r="F92" i="21"/>
  <c r="F35" i="21"/>
  <c r="F96" i="21"/>
  <c r="F98" i="21"/>
  <c r="F58" i="21"/>
  <c r="F108" i="21"/>
  <c r="F29" i="21"/>
  <c r="F62" i="21"/>
  <c r="E37" i="9"/>
  <c r="F91" i="21"/>
  <c r="F94" i="21"/>
  <c r="F14" i="21"/>
  <c r="F103" i="21"/>
  <c r="F109" i="21"/>
  <c r="F105" i="21"/>
  <c r="F69" i="21"/>
  <c r="B31" i="15"/>
  <c r="B33" i="15" s="1"/>
  <c r="B35" i="15" s="1"/>
  <c r="B13" i="15"/>
  <c r="I9" i="14"/>
  <c r="E1" i="14"/>
  <c r="I10" i="14"/>
  <c r="D38" i="1"/>
  <c r="D23" i="18"/>
  <c r="F13" i="26"/>
  <c r="D13" i="26"/>
  <c r="H13" i="26" s="1"/>
  <c r="O104" i="28"/>
  <c r="AA108" i="21" l="1"/>
  <c r="X108" i="21"/>
  <c r="AA92" i="21"/>
  <c r="X92" i="21"/>
  <c r="AA97" i="21"/>
  <c r="X97" i="21"/>
  <c r="X33" i="21"/>
  <c r="AA33" i="21"/>
  <c r="AA90" i="21"/>
  <c r="X90" i="21"/>
  <c r="AA58" i="21"/>
  <c r="X58" i="21"/>
  <c r="X96" i="21"/>
  <c r="AA96" i="21"/>
  <c r="AA18" i="21"/>
  <c r="X18" i="21"/>
  <c r="AA110" i="21"/>
  <c r="X110" i="21"/>
  <c r="E23" i="18"/>
  <c r="F23" i="18"/>
  <c r="E39" i="9"/>
  <c r="AA70" i="21"/>
  <c r="X70" i="21"/>
  <c r="AA117" i="21"/>
  <c r="X117" i="21"/>
  <c r="AA34" i="21"/>
  <c r="X34" i="21"/>
  <c r="AA29" i="21"/>
  <c r="X29" i="21"/>
  <c r="AA86" i="21"/>
  <c r="X86" i="21"/>
  <c r="AA25" i="21"/>
  <c r="X25" i="21"/>
  <c r="F105" i="28"/>
  <c r="P104" i="28"/>
  <c r="E105" i="28"/>
  <c r="G105" i="28" s="1"/>
  <c r="S104" i="28"/>
  <c r="AA69" i="21"/>
  <c r="X69" i="21"/>
  <c r="AA94" i="21"/>
  <c r="X94" i="21"/>
  <c r="AA62" i="21"/>
  <c r="X62" i="21"/>
  <c r="AA98" i="21"/>
  <c r="X98" i="21"/>
  <c r="G20" i="8"/>
  <c r="N44" i="8" s="1"/>
  <c r="D21" i="8"/>
  <c r="AA109" i="21"/>
  <c r="X109" i="21"/>
  <c r="AA14" i="21"/>
  <c r="X14" i="21"/>
  <c r="C16" i="15"/>
  <c r="D16" i="15"/>
  <c r="B16" i="15"/>
  <c r="AA91" i="21"/>
  <c r="X91" i="21"/>
  <c r="J9" i="14"/>
  <c r="H9" i="14"/>
  <c r="B37" i="15"/>
  <c r="F14" i="9"/>
  <c r="B41" i="15"/>
  <c r="AA105" i="21"/>
  <c r="X105" i="21"/>
  <c r="AA23" i="21"/>
  <c r="X23" i="21"/>
  <c r="Y107" i="28"/>
  <c r="AG108" i="28"/>
  <c r="AI109" i="28" s="1"/>
  <c r="AK110" i="28" s="1"/>
  <c r="AM111" i="28" s="1"/>
  <c r="H10" i="14"/>
  <c r="J10" i="14"/>
  <c r="AA103" i="21"/>
  <c r="X103" i="21"/>
  <c r="AA35" i="21"/>
  <c r="X35" i="21"/>
  <c r="AA59" i="21"/>
  <c r="X59" i="21"/>
  <c r="AA24" i="21"/>
  <c r="X24" i="21"/>
  <c r="D107" i="28"/>
  <c r="AF107" i="28"/>
  <c r="N107" i="28" s="1"/>
  <c r="AB98" i="21" l="1"/>
  <c r="AD98" i="21" s="1"/>
  <c r="Z98" i="21"/>
  <c r="Z33" i="21"/>
  <c r="AB33" i="21"/>
  <c r="AD33" i="21" s="1"/>
  <c r="Z59" i="21"/>
  <c r="AB59" i="21"/>
  <c r="AD59" i="21" s="1"/>
  <c r="Z18" i="21"/>
  <c r="AB18" i="21"/>
  <c r="AD18" i="21" s="1"/>
  <c r="L105" i="28"/>
  <c r="AA105" i="28"/>
  <c r="B105" i="28" s="1"/>
  <c r="AB97" i="21"/>
  <c r="AD97" i="21" s="1"/>
  <c r="Z97" i="21"/>
  <c r="Z96" i="21"/>
  <c r="AB96" i="21"/>
  <c r="AD96" i="21" s="1"/>
  <c r="Z29" i="21"/>
  <c r="AB29" i="21"/>
  <c r="AD29" i="21" s="1"/>
  <c r="Z23" i="21"/>
  <c r="AB23" i="21"/>
  <c r="AD23" i="21" s="1"/>
  <c r="Z62" i="21"/>
  <c r="AB62" i="21"/>
  <c r="AD62" i="21" s="1"/>
  <c r="Z103" i="21"/>
  <c r="AB103" i="21"/>
  <c r="AD103" i="21" s="1"/>
  <c r="AB58" i="21"/>
  <c r="AD58" i="21" s="1"/>
  <c r="Z58" i="21"/>
  <c r="Z92" i="21"/>
  <c r="AB92" i="21"/>
  <c r="AD92" i="21" s="1"/>
  <c r="Z35" i="21"/>
  <c r="AB35" i="21"/>
  <c r="AD35" i="21" s="1"/>
  <c r="Z109" i="21"/>
  <c r="AB109" i="21"/>
  <c r="AD109" i="21" s="1"/>
  <c r="Z107" i="28"/>
  <c r="U108" i="28" s="1"/>
  <c r="H107" i="28"/>
  <c r="T107" i="28" s="1"/>
  <c r="W108" i="28" s="1"/>
  <c r="AH108" i="28"/>
  <c r="AJ109" i="28" s="1"/>
  <c r="AL110" i="28" s="1"/>
  <c r="AN111" i="28" s="1"/>
  <c r="Z91" i="21"/>
  <c r="AB91" i="21"/>
  <c r="AD91" i="21" s="1"/>
  <c r="Z105" i="21"/>
  <c r="AB105" i="21"/>
  <c r="AD105" i="21" s="1"/>
  <c r="Z94" i="21"/>
  <c r="AB94" i="21"/>
  <c r="AD94" i="21" s="1"/>
  <c r="AB25" i="21"/>
  <c r="AD25" i="21" s="1"/>
  <c r="Z25" i="21"/>
  <c r="Z117" i="21"/>
  <c r="AB117" i="21"/>
  <c r="AD117" i="21" s="1"/>
  <c r="C15" i="15"/>
  <c r="C18" i="15"/>
  <c r="Z24" i="21"/>
  <c r="AB24" i="21"/>
  <c r="AD24" i="21" s="1"/>
  <c r="B15" i="15"/>
  <c r="B18" i="15"/>
  <c r="D22" i="8"/>
  <c r="AB110" i="21"/>
  <c r="AD110" i="21" s="1"/>
  <c r="Z110" i="21"/>
  <c r="AB90" i="21"/>
  <c r="AD90" i="21" s="1"/>
  <c r="Z90" i="21"/>
  <c r="AB108" i="21"/>
  <c r="AD108" i="21" s="1"/>
  <c r="Z108" i="21"/>
  <c r="Z34" i="21"/>
  <c r="AB34" i="21"/>
  <c r="AD34" i="21" s="1"/>
  <c r="B43" i="15"/>
  <c r="B44" i="15"/>
  <c r="E14" i="9" s="1"/>
  <c r="B39" i="15"/>
  <c r="B38" i="15" s="1"/>
  <c r="D15" i="15"/>
  <c r="D18" i="15"/>
  <c r="Z69" i="21"/>
  <c r="AB69" i="21"/>
  <c r="AD69" i="21" s="1"/>
  <c r="Z86" i="21"/>
  <c r="AB86" i="21"/>
  <c r="AD86" i="21" s="1"/>
  <c r="Z70" i="21"/>
  <c r="AB70" i="21"/>
  <c r="AD70" i="21" s="1"/>
  <c r="X108" i="28" l="1"/>
  <c r="C19" i="15"/>
  <c r="C25" i="15"/>
  <c r="C26" i="15" s="1"/>
  <c r="I18" i="8"/>
  <c r="I20" i="8" s="1"/>
  <c r="H18" i="8"/>
  <c r="J18" i="8"/>
  <c r="J20" i="8"/>
  <c r="B19" i="15"/>
  <c r="B48" i="15"/>
  <c r="B50" i="15" s="1"/>
  <c r="B52" i="15" s="1"/>
  <c r="B25" i="15"/>
  <c r="I105" i="28"/>
  <c r="C105" i="28" s="1"/>
  <c r="K105" i="28"/>
  <c r="AB106" i="28"/>
  <c r="V109" i="28"/>
  <c r="D19" i="15"/>
  <c r="D25" i="15"/>
  <c r="D26" i="15" s="1"/>
  <c r="AO112" i="28"/>
  <c r="AP113" i="28" s="1"/>
  <c r="AQ114" i="28" s="1"/>
  <c r="AR115" i="28" s="1"/>
  <c r="AD107" i="28" l="1"/>
  <c r="AC107" i="28"/>
  <c r="AE108" i="28" s="1"/>
  <c r="J105" i="28"/>
  <c r="O105" i="28"/>
  <c r="Q105" i="28"/>
  <c r="B54" i="15"/>
  <c r="B58" i="15"/>
  <c r="H20" i="8"/>
  <c r="Q44" i="8"/>
  <c r="D43" i="8"/>
  <c r="C18" i="8"/>
  <c r="F12" i="9" s="1"/>
  <c r="C19" i="8"/>
  <c r="D8" i="8" s="1"/>
  <c r="F13" i="9"/>
  <c r="B20" i="15"/>
  <c r="B22" i="15"/>
  <c r="AG44" i="8"/>
  <c r="AH44" i="8" s="1"/>
  <c r="AI45" i="8" s="1"/>
  <c r="B26" i="15"/>
  <c r="B27" i="15" s="1"/>
  <c r="E13" i="9" s="1"/>
  <c r="R44" i="8" l="1"/>
  <c r="R45" i="8"/>
  <c r="N108" i="28"/>
  <c r="Y108" i="28"/>
  <c r="AG109" i="28"/>
  <c r="AI110" i="28" s="1"/>
  <c r="AK111" i="28" s="1"/>
  <c r="AM112" i="28" s="1"/>
  <c r="AH45" i="8"/>
  <c r="E44" i="8"/>
  <c r="AG45" i="8" s="1"/>
  <c r="D108" i="28"/>
  <c r="AF108" i="28"/>
  <c r="F106" i="28"/>
  <c r="P105" i="28"/>
  <c r="E106" i="28"/>
  <c r="G106" i="28" s="1"/>
  <c r="S105" i="28"/>
  <c r="F8" i="8"/>
  <c r="G123" i="21"/>
  <c r="G125" i="21" s="1"/>
  <c r="E12" i="9"/>
  <c r="E16" i="9" s="1"/>
  <c r="H44" i="8"/>
  <c r="M44" i="8"/>
  <c r="N45" i="8" s="1"/>
  <c r="B59" i="15"/>
  <c r="B6" i="15" s="1"/>
  <c r="B8" i="15" s="1"/>
  <c r="B10" i="15" s="1"/>
  <c r="E11" i="9" s="1"/>
  <c r="B56" i="15"/>
  <c r="B55" i="15" s="1"/>
  <c r="L106" i="28" l="1"/>
  <c r="AA106" i="28"/>
  <c r="B106" i="28" s="1"/>
  <c r="G118" i="21"/>
  <c r="G24" i="21"/>
  <c r="G75" i="21"/>
  <c r="G26" i="21"/>
  <c r="G119" i="21"/>
  <c r="G73" i="21"/>
  <c r="G48" i="21"/>
  <c r="G58" i="21"/>
  <c r="G97" i="21"/>
  <c r="G10" i="21"/>
  <c r="G95" i="21"/>
  <c r="G23" i="21"/>
  <c r="G53" i="21"/>
  <c r="G29" i="21"/>
  <c r="G56" i="21"/>
  <c r="G91" i="21"/>
  <c r="G49" i="21"/>
  <c r="G34" i="21"/>
  <c r="G71" i="21"/>
  <c r="G55" i="21"/>
  <c r="G78" i="21"/>
  <c r="G116" i="21"/>
  <c r="G37" i="21"/>
  <c r="G21" i="21"/>
  <c r="G33" i="21"/>
  <c r="G109" i="21"/>
  <c r="G107" i="21"/>
  <c r="G72" i="21"/>
  <c r="G67" i="21"/>
  <c r="G69" i="21"/>
  <c r="G11" i="21"/>
  <c r="G62" i="21"/>
  <c r="G68" i="21"/>
  <c r="G89" i="21"/>
  <c r="G63" i="21"/>
  <c r="G77" i="21"/>
  <c r="G30" i="21"/>
  <c r="G66" i="21"/>
  <c r="G32" i="21"/>
  <c r="G41" i="21"/>
  <c r="G92" i="21"/>
  <c r="G54" i="21"/>
  <c r="G12" i="21"/>
  <c r="G42" i="21"/>
  <c r="G8" i="21"/>
  <c r="G76" i="21"/>
  <c r="G39" i="21"/>
  <c r="Y39" i="21" s="1"/>
  <c r="G27" i="21"/>
  <c r="G40" i="21"/>
  <c r="G80" i="21"/>
  <c r="G103" i="21"/>
  <c r="G64" i="21"/>
  <c r="G70" i="21"/>
  <c r="G43" i="21"/>
  <c r="G90" i="21"/>
  <c r="G25" i="21"/>
  <c r="G94" i="21"/>
  <c r="G106" i="21"/>
  <c r="G115" i="21"/>
  <c r="Y115" i="21" s="1"/>
  <c r="G36" i="21"/>
  <c r="G85" i="21"/>
  <c r="G38" i="21"/>
  <c r="G108" i="21"/>
  <c r="G17" i="21"/>
  <c r="G5" i="21"/>
  <c r="G105" i="21"/>
  <c r="G52" i="21"/>
  <c r="G35" i="21"/>
  <c r="G51" i="21"/>
  <c r="G81" i="21"/>
  <c r="G74" i="21"/>
  <c r="G22" i="21"/>
  <c r="G7" i="21"/>
  <c r="G28" i="21"/>
  <c r="Y28" i="21" s="1"/>
  <c r="G104" i="21"/>
  <c r="Y104" i="21" s="1"/>
  <c r="G112" i="21"/>
  <c r="G93" i="21"/>
  <c r="G50" i="21"/>
  <c r="G6" i="21"/>
  <c r="G60" i="21"/>
  <c r="G96" i="21"/>
  <c r="G46" i="21"/>
  <c r="G84" i="21"/>
  <c r="G79" i="21"/>
  <c r="G61" i="21"/>
  <c r="G57" i="21"/>
  <c r="G18" i="21"/>
  <c r="G59" i="21"/>
  <c r="G110" i="21"/>
  <c r="G117" i="21"/>
  <c r="G65" i="21"/>
  <c r="G98" i="21"/>
  <c r="G111" i="21"/>
  <c r="G47" i="21"/>
  <c r="G86" i="21"/>
  <c r="G101" i="21"/>
  <c r="Y101" i="21" s="1"/>
  <c r="G14" i="21"/>
  <c r="Y14" i="21" s="1"/>
  <c r="G31" i="21"/>
  <c r="Y31" i="21" s="1"/>
  <c r="G102" i="21"/>
  <c r="Y102" i="21" s="1"/>
  <c r="G9" i="21"/>
  <c r="Y9" i="21" s="1"/>
  <c r="G4" i="21"/>
  <c r="F78" i="21"/>
  <c r="F56" i="21"/>
  <c r="F101" i="21"/>
  <c r="F73" i="21"/>
  <c r="F51" i="21"/>
  <c r="F22" i="21"/>
  <c r="F42" i="21"/>
  <c r="F77" i="21"/>
  <c r="F7" i="21"/>
  <c r="F8" i="21"/>
  <c r="F112" i="21"/>
  <c r="F28" i="21"/>
  <c r="F12" i="21"/>
  <c r="F66" i="21"/>
  <c r="F11" i="21"/>
  <c r="F74" i="21"/>
  <c r="F102" i="21"/>
  <c r="F80" i="21"/>
  <c r="F118" i="21"/>
  <c r="F50" i="21"/>
  <c r="F53" i="21"/>
  <c r="F79" i="21"/>
  <c r="F6" i="21"/>
  <c r="F106" i="21"/>
  <c r="F107" i="21"/>
  <c r="F26" i="21"/>
  <c r="F5" i="21"/>
  <c r="F115" i="21"/>
  <c r="F32" i="21"/>
  <c r="F116" i="21"/>
  <c r="F21" i="21"/>
  <c r="F39" i="21"/>
  <c r="F37" i="21"/>
  <c r="F38" i="21"/>
  <c r="F81" i="21"/>
  <c r="F85" i="21"/>
  <c r="F68" i="21"/>
  <c r="F27" i="21"/>
  <c r="F36" i="21"/>
  <c r="F46" i="21"/>
  <c r="F41" i="21"/>
  <c r="F119" i="21"/>
  <c r="F60" i="21"/>
  <c r="F40" i="21"/>
  <c r="F54" i="21"/>
  <c r="F30" i="21"/>
  <c r="F64" i="21"/>
  <c r="F72" i="21"/>
  <c r="F71" i="21"/>
  <c r="F104" i="21"/>
  <c r="F52" i="21"/>
  <c r="F57" i="21"/>
  <c r="F31" i="21"/>
  <c r="F65" i="21"/>
  <c r="F10" i="21"/>
  <c r="F111" i="21"/>
  <c r="F93" i="21"/>
  <c r="F43" i="21"/>
  <c r="F47" i="21"/>
  <c r="F89" i="21"/>
  <c r="F75" i="21"/>
  <c r="F63" i="21"/>
  <c r="F17" i="21"/>
  <c r="F55" i="21"/>
  <c r="F76" i="21"/>
  <c r="F67" i="21"/>
  <c r="F49" i="21"/>
  <c r="F48" i="21"/>
  <c r="F95" i="21"/>
  <c r="F84" i="21"/>
  <c r="F61" i="21"/>
  <c r="AH46" i="8"/>
  <c r="E45" i="8"/>
  <c r="S44" i="8"/>
  <c r="S45" i="8"/>
  <c r="H108" i="28"/>
  <c r="T108" i="28" s="1"/>
  <c r="W109" i="28" s="1"/>
  <c r="Z108" i="28"/>
  <c r="U109" i="28" s="1"/>
  <c r="X109" i="28" s="1"/>
  <c r="AH109" i="28"/>
  <c r="AJ110" i="28" s="1"/>
  <c r="AL111" i="28" s="1"/>
  <c r="AN112" i="28" s="1"/>
  <c r="AO113" i="28" s="1"/>
  <c r="AP114" i="28" s="1"/>
  <c r="AQ115" i="28" s="1"/>
  <c r="B60" i="15"/>
  <c r="E15" i="9" s="1"/>
  <c r="S46" i="8"/>
  <c r="V110" i="28" l="1"/>
  <c r="X76" i="21"/>
  <c r="AA76" i="21"/>
  <c r="AA107" i="21"/>
  <c r="X107" i="21"/>
  <c r="AA102" i="21"/>
  <c r="X102" i="21"/>
  <c r="AA7" i="21"/>
  <c r="X7" i="21"/>
  <c r="AA78" i="21"/>
  <c r="X78" i="21"/>
  <c r="AA93" i="21"/>
  <c r="X93" i="21"/>
  <c r="X55" i="21"/>
  <c r="AA55" i="21"/>
  <c r="AA39" i="21"/>
  <c r="X39" i="21"/>
  <c r="AA106" i="21"/>
  <c r="X106" i="21"/>
  <c r="AA74" i="21"/>
  <c r="X74" i="21"/>
  <c r="AA77" i="21"/>
  <c r="X77" i="21"/>
  <c r="E17" i="9"/>
  <c r="Y4" i="21"/>
  <c r="X10" i="21"/>
  <c r="AA10" i="21"/>
  <c r="AA11" i="21"/>
  <c r="X11" i="21"/>
  <c r="AA71" i="21"/>
  <c r="X71" i="21"/>
  <c r="AA72" i="21"/>
  <c r="X72" i="21"/>
  <c r="AA17" i="21"/>
  <c r="X17" i="21"/>
  <c r="AA6" i="21"/>
  <c r="E38" i="9"/>
  <c r="X6" i="21"/>
  <c r="X65" i="21"/>
  <c r="AA65" i="21"/>
  <c r="AA116" i="21"/>
  <c r="X116" i="21"/>
  <c r="AA66" i="21"/>
  <c r="X66" i="21"/>
  <c r="AA22" i="21"/>
  <c r="X22" i="21"/>
  <c r="AA36" i="21"/>
  <c r="X36" i="21"/>
  <c r="AA30" i="21"/>
  <c r="X30" i="21"/>
  <c r="AA75" i="21"/>
  <c r="X75" i="21"/>
  <c r="X54" i="21"/>
  <c r="AA54" i="21"/>
  <c r="AA68" i="21"/>
  <c r="X68" i="21"/>
  <c r="X32" i="21"/>
  <c r="AA32" i="21"/>
  <c r="AA53" i="21"/>
  <c r="X53" i="21"/>
  <c r="AA12" i="21"/>
  <c r="X12" i="21"/>
  <c r="AA51" i="21"/>
  <c r="X51" i="21"/>
  <c r="AA37" i="21"/>
  <c r="X37" i="21"/>
  <c r="X111" i="21"/>
  <c r="AA111" i="21"/>
  <c r="AA64" i="21"/>
  <c r="X64" i="21"/>
  <c r="AA42" i="21"/>
  <c r="X42" i="21"/>
  <c r="AA89" i="21"/>
  <c r="X89" i="21"/>
  <c r="AA57" i="21"/>
  <c r="X57" i="21"/>
  <c r="AA40" i="21"/>
  <c r="X40" i="21"/>
  <c r="X85" i="21"/>
  <c r="AA85" i="21"/>
  <c r="AA115" i="21"/>
  <c r="X115" i="21"/>
  <c r="AA50" i="21"/>
  <c r="X50" i="21"/>
  <c r="AA28" i="21"/>
  <c r="X28" i="21"/>
  <c r="AA73" i="21"/>
  <c r="X73" i="21"/>
  <c r="AB14" i="21"/>
  <c r="AD14" i="21" s="1"/>
  <c r="Z14" i="21"/>
  <c r="AA41" i="21"/>
  <c r="X41" i="21"/>
  <c r="AA46" i="21"/>
  <c r="X46" i="21"/>
  <c r="AA61" i="21"/>
  <c r="X61" i="21"/>
  <c r="X21" i="21"/>
  <c r="AA21" i="21"/>
  <c r="AA63" i="21"/>
  <c r="X63" i="21"/>
  <c r="AA79" i="21"/>
  <c r="X79" i="21"/>
  <c r="AA31" i="21"/>
  <c r="X31" i="21"/>
  <c r="AA49" i="21"/>
  <c r="X49" i="21"/>
  <c r="X47" i="21"/>
  <c r="AA47" i="21"/>
  <c r="AA52" i="21"/>
  <c r="X52" i="21"/>
  <c r="AA60" i="21"/>
  <c r="X60" i="21"/>
  <c r="AA81" i="21"/>
  <c r="X81" i="21"/>
  <c r="AA5" i="21"/>
  <c r="X5" i="21"/>
  <c r="AA118" i="21"/>
  <c r="X118" i="21"/>
  <c r="AA112" i="21"/>
  <c r="X112" i="21"/>
  <c r="X101" i="21"/>
  <c r="AA101" i="21"/>
  <c r="K106" i="28"/>
  <c r="I106" i="28"/>
  <c r="C106" i="28" s="1"/>
  <c r="AB107" i="28"/>
  <c r="AG46" i="8"/>
  <c r="AB9" i="21"/>
  <c r="AD9" i="21" s="1"/>
  <c r="Z9" i="21"/>
  <c r="AA84" i="21"/>
  <c r="X84" i="21"/>
  <c r="AA27" i="21"/>
  <c r="X27" i="21"/>
  <c r="X95" i="21"/>
  <c r="AA95" i="21"/>
  <c r="AA48" i="21"/>
  <c r="X48" i="21"/>
  <c r="T44" i="8"/>
  <c r="B44" i="8"/>
  <c r="AA67" i="21"/>
  <c r="X67" i="21"/>
  <c r="X43" i="21"/>
  <c r="AA43" i="21"/>
  <c r="AA104" i="21"/>
  <c r="X104" i="21"/>
  <c r="AA119" i="21"/>
  <c r="X119" i="21"/>
  <c r="AA38" i="21"/>
  <c r="X38" i="21"/>
  <c r="AA26" i="21"/>
  <c r="X26" i="21"/>
  <c r="X80" i="21"/>
  <c r="AA80" i="21"/>
  <c r="X8" i="21"/>
  <c r="AA8" i="21"/>
  <c r="AA56" i="21"/>
  <c r="X56" i="21"/>
  <c r="Z81" i="21" l="1"/>
  <c r="AB81" i="21"/>
  <c r="AD81" i="21" s="1"/>
  <c r="Z49" i="21"/>
  <c r="AB49" i="21"/>
  <c r="AD49" i="21" s="1"/>
  <c r="Z111" i="21"/>
  <c r="AB111" i="21"/>
  <c r="AD111" i="21" s="1"/>
  <c r="AB22" i="21"/>
  <c r="AD22" i="21" s="1"/>
  <c r="Z22" i="21"/>
  <c r="Z6" i="21"/>
  <c r="AB6" i="21"/>
  <c r="AD6" i="21" s="1"/>
  <c r="Z55" i="21"/>
  <c r="AB55" i="21"/>
  <c r="AD55" i="21" s="1"/>
  <c r="Z38" i="21"/>
  <c r="AB38" i="21"/>
  <c r="AD38" i="21" s="1"/>
  <c r="AB37" i="21"/>
  <c r="AD37" i="21" s="1"/>
  <c r="Z37" i="21"/>
  <c r="E40" i="9"/>
  <c r="B37" i="1" s="1"/>
  <c r="B11" i="26"/>
  <c r="Z11" i="21"/>
  <c r="AB11" i="21"/>
  <c r="AD11" i="21" s="1"/>
  <c r="Z74" i="21"/>
  <c r="AB74" i="21"/>
  <c r="AD74" i="21" s="1"/>
  <c r="Z93" i="21"/>
  <c r="AB93" i="21"/>
  <c r="AD93" i="21" s="1"/>
  <c r="Z107" i="21"/>
  <c r="AB107" i="21"/>
  <c r="AD107" i="21" s="1"/>
  <c r="Z56" i="21"/>
  <c r="AB56" i="21"/>
  <c r="AD56" i="21" s="1"/>
  <c r="AH47" i="8"/>
  <c r="Z112" i="21"/>
  <c r="AB112" i="21"/>
  <c r="AD112" i="21" s="1"/>
  <c r="Z60" i="21"/>
  <c r="AB60" i="21"/>
  <c r="AD60" i="21" s="1"/>
  <c r="Z21" i="21"/>
  <c r="AB21" i="21"/>
  <c r="AD21" i="21" s="1"/>
  <c r="AB32" i="21"/>
  <c r="AD32" i="21" s="1"/>
  <c r="Z32" i="21"/>
  <c r="Z66" i="21"/>
  <c r="AB66" i="21"/>
  <c r="AD66" i="21" s="1"/>
  <c r="Z51" i="21"/>
  <c r="AB51" i="21"/>
  <c r="AD51" i="21" s="1"/>
  <c r="Z17" i="21"/>
  <c r="AB17" i="21"/>
  <c r="AD17" i="21" s="1"/>
  <c r="Z106" i="21"/>
  <c r="AB106" i="21"/>
  <c r="AD106" i="21" s="1"/>
  <c r="AB78" i="21"/>
  <c r="AD78" i="21" s="1"/>
  <c r="Z78" i="21"/>
  <c r="Z101" i="21"/>
  <c r="AB101" i="21"/>
  <c r="AD101" i="21" s="1"/>
  <c r="Z31" i="21"/>
  <c r="AB31" i="21"/>
  <c r="AD31" i="21" s="1"/>
  <c r="AB42" i="21"/>
  <c r="AD42" i="21" s="1"/>
  <c r="Z42" i="21"/>
  <c r="O106" i="28"/>
  <c r="Z118" i="21"/>
  <c r="AB118" i="21"/>
  <c r="AD118" i="21" s="1"/>
  <c r="Z52" i="21"/>
  <c r="AB52" i="21"/>
  <c r="AD52" i="21" s="1"/>
  <c r="Z85" i="21"/>
  <c r="AB85" i="21"/>
  <c r="AD85" i="21" s="1"/>
  <c r="Z116" i="21"/>
  <c r="AB116" i="21"/>
  <c r="AD116" i="21" s="1"/>
  <c r="AB10" i="21"/>
  <c r="AD10" i="21" s="1"/>
  <c r="Z10" i="21"/>
  <c r="Z76" i="21"/>
  <c r="AB76" i="21"/>
  <c r="AD76" i="21" s="1"/>
  <c r="Z89" i="21"/>
  <c r="AB89" i="21"/>
  <c r="AD89" i="21" s="1"/>
  <c r="AB119" i="21"/>
  <c r="AD119" i="21" s="1"/>
  <c r="Z119" i="21"/>
  <c r="Z68" i="21"/>
  <c r="AB68" i="21"/>
  <c r="AD68" i="21" s="1"/>
  <c r="Z104" i="21"/>
  <c r="AB104" i="21"/>
  <c r="AD104" i="21" s="1"/>
  <c r="D44" i="8"/>
  <c r="Z84" i="21"/>
  <c r="AB84" i="21"/>
  <c r="AD84" i="21" s="1"/>
  <c r="AD108" i="28"/>
  <c r="AC108" i="28"/>
  <c r="AE109" i="28" s="1"/>
  <c r="Z79" i="21"/>
  <c r="AB79" i="21"/>
  <c r="AD79" i="21" s="1"/>
  <c r="Z46" i="21"/>
  <c r="AB46" i="21"/>
  <c r="AD46" i="21" s="1"/>
  <c r="Z28" i="21"/>
  <c r="AB28" i="21"/>
  <c r="AD28" i="21" s="1"/>
  <c r="AB40" i="21"/>
  <c r="AD40" i="21" s="1"/>
  <c r="Z40" i="21"/>
  <c r="Z64" i="21"/>
  <c r="AB64" i="21"/>
  <c r="AD64" i="21" s="1"/>
  <c r="Z12" i="21"/>
  <c r="AB12" i="21"/>
  <c r="AD12" i="21" s="1"/>
  <c r="AB36" i="21"/>
  <c r="AD36" i="21" s="1"/>
  <c r="Z36" i="21"/>
  <c r="Z72" i="21"/>
  <c r="AB72" i="21"/>
  <c r="AD72" i="21" s="1"/>
  <c r="C44" i="9"/>
  <c r="Z4" i="21"/>
  <c r="AB4" i="21"/>
  <c r="AD4" i="21" s="1"/>
  <c r="Z39" i="21"/>
  <c r="AB39" i="21"/>
  <c r="AD39" i="21" s="1"/>
  <c r="Z7" i="21"/>
  <c r="AB7" i="21"/>
  <c r="AD7" i="21" s="1"/>
  <c r="Z43" i="21"/>
  <c r="AB43" i="21"/>
  <c r="AD43" i="21" s="1"/>
  <c r="AB115" i="21"/>
  <c r="AD115" i="21" s="1"/>
  <c r="Z115" i="21"/>
  <c r="AB95" i="21"/>
  <c r="AD95" i="21" s="1"/>
  <c r="Z95" i="21"/>
  <c r="Z27" i="21"/>
  <c r="AB27" i="21"/>
  <c r="AD27" i="21" s="1"/>
  <c r="Z61" i="21"/>
  <c r="AB61" i="21"/>
  <c r="AD61" i="21" s="1"/>
  <c r="Z30" i="21"/>
  <c r="AB30" i="21"/>
  <c r="AD30" i="21" s="1"/>
  <c r="Z8" i="21"/>
  <c r="AB8" i="21"/>
  <c r="AD8" i="21" s="1"/>
  <c r="Z80" i="21"/>
  <c r="AB80" i="21"/>
  <c r="AD80" i="21" s="1"/>
  <c r="J106" i="28"/>
  <c r="Q106" i="28"/>
  <c r="Z5" i="21"/>
  <c r="AB5" i="21"/>
  <c r="AD5" i="21" s="1"/>
  <c r="C43" i="9"/>
  <c r="Z54" i="21"/>
  <c r="AB54" i="21"/>
  <c r="AD54" i="21" s="1"/>
  <c r="Z67" i="21"/>
  <c r="AB67" i="21"/>
  <c r="AD67" i="21" s="1"/>
  <c r="Z73" i="21"/>
  <c r="AB73" i="21"/>
  <c r="AD73" i="21" s="1"/>
  <c r="Z26" i="21"/>
  <c r="AB26" i="21"/>
  <c r="AD26" i="21" s="1"/>
  <c r="Z48" i="21"/>
  <c r="AB48" i="21"/>
  <c r="AD48" i="21" s="1"/>
  <c r="Z47" i="21"/>
  <c r="AB47" i="21"/>
  <c r="AD47" i="21" s="1"/>
  <c r="Z63" i="21"/>
  <c r="AB63" i="21"/>
  <c r="AD63" i="21" s="1"/>
  <c r="Z41" i="21"/>
  <c r="AB41" i="21"/>
  <c r="AD41" i="21" s="1"/>
  <c r="AB50" i="21"/>
  <c r="AD50" i="21" s="1"/>
  <c r="Z50" i="21"/>
  <c r="Z57" i="21"/>
  <c r="AB57" i="21"/>
  <c r="AD57" i="21" s="1"/>
  <c r="Z53" i="21"/>
  <c r="AB53" i="21"/>
  <c r="AD53" i="21" s="1"/>
  <c r="Z75" i="21"/>
  <c r="AB75" i="21"/>
  <c r="AD75" i="21" s="1"/>
  <c r="Z65" i="21"/>
  <c r="AB65" i="21"/>
  <c r="AD65" i="21" s="1"/>
  <c r="Z71" i="21"/>
  <c r="AB71" i="21"/>
  <c r="AD71" i="21" s="1"/>
  <c r="Z77" i="21"/>
  <c r="AB77" i="21"/>
  <c r="AD77" i="21" s="1"/>
  <c r="AB102" i="21"/>
  <c r="AD102" i="21" s="1"/>
  <c r="Z102" i="21"/>
  <c r="M45" i="8" l="1"/>
  <c r="N46" i="8" s="1"/>
  <c r="F44" i="8"/>
  <c r="G45" i="8" s="1"/>
  <c r="H45" i="8"/>
  <c r="O45" i="8"/>
  <c r="B12" i="26"/>
  <c r="C15" i="13"/>
  <c r="C47" i="9"/>
  <c r="AG110" i="28"/>
  <c r="AI111" i="28" s="1"/>
  <c r="AK112" i="28" s="1"/>
  <c r="AM113" i="28" s="1"/>
  <c r="Y109" i="28"/>
  <c r="D109" i="28"/>
  <c r="AF109" i="28"/>
  <c r="F107" i="28"/>
  <c r="P106" i="28"/>
  <c r="E107" i="28"/>
  <c r="G107" i="28" s="1"/>
  <c r="S106" i="28"/>
  <c r="F11" i="26"/>
  <c r="D11" i="26"/>
  <c r="H11" i="26" s="1"/>
  <c r="C45" i="9"/>
  <c r="D22" i="18"/>
  <c r="D37" i="1"/>
  <c r="L107" i="28" l="1"/>
  <c r="AA107" i="28"/>
  <c r="B107" i="28" s="1"/>
  <c r="E22" i="18"/>
  <c r="F22" i="18"/>
  <c r="P46" i="8"/>
  <c r="Q47" i="8" s="1"/>
  <c r="B45" i="8"/>
  <c r="B57" i="1"/>
  <c r="B58" i="1"/>
  <c r="W45" i="8"/>
  <c r="V45" i="8"/>
  <c r="T45" i="8"/>
  <c r="U45" i="8"/>
  <c r="F12" i="26"/>
  <c r="D12" i="26"/>
  <c r="H12" i="26" s="1"/>
  <c r="AN46" i="8"/>
  <c r="AL46" i="8"/>
  <c r="AO46" i="8"/>
  <c r="AK46" i="8"/>
  <c r="AM46" i="8"/>
  <c r="AJ46" i="8"/>
  <c r="AI46" i="8"/>
  <c r="C17" i="13"/>
  <c r="C16" i="13"/>
  <c r="Z109" i="28"/>
  <c r="U110" i="28" s="1"/>
  <c r="X110" i="28" s="1"/>
  <c r="H109" i="28"/>
  <c r="T109" i="28" s="1"/>
  <c r="W110" i="28" s="1"/>
  <c r="AH110" i="28"/>
  <c r="AJ111" i="28" s="1"/>
  <c r="AL112" i="28" s="1"/>
  <c r="AN113" i="28" s="1"/>
  <c r="AO114" i="28" s="1"/>
  <c r="AP115" i="28" s="1"/>
  <c r="D45" i="9"/>
  <c r="D7" i="9"/>
  <c r="D8" i="9" s="1"/>
  <c r="B33" i="1"/>
  <c r="B34" i="1" s="1"/>
  <c r="N109" i="28"/>
  <c r="V111" i="28" l="1"/>
  <c r="R48" i="8"/>
  <c r="S49" i="8" s="1"/>
  <c r="D34" i="1"/>
  <c r="D21" i="18"/>
  <c r="D45" i="8"/>
  <c r="J45" i="8"/>
  <c r="K45" i="8" s="1"/>
  <c r="I107" i="28"/>
  <c r="C107" i="28" s="1"/>
  <c r="K107" i="28"/>
  <c r="AB108" i="28"/>
  <c r="E46" i="8"/>
  <c r="B78" i="1"/>
  <c r="E21" i="18" l="1"/>
  <c r="F21" i="18"/>
  <c r="O107" i="28"/>
  <c r="Q107" i="28"/>
  <c r="J107" i="28"/>
  <c r="L45" i="8"/>
  <c r="H46" i="8"/>
  <c r="M46" i="8"/>
  <c r="N47" i="8" s="1"/>
  <c r="O46" i="8"/>
  <c r="F45" i="8"/>
  <c r="G46" i="8" s="1"/>
  <c r="AC109" i="28"/>
  <c r="AE110" i="28" s="1"/>
  <c r="AD109" i="28"/>
  <c r="AG47" i="8"/>
  <c r="D110" i="28" l="1"/>
  <c r="AF110" i="28"/>
  <c r="N110" i="28" s="1"/>
  <c r="Y110" i="28"/>
  <c r="AG111" i="28"/>
  <c r="AI112" i="28" s="1"/>
  <c r="AK113" i="28" s="1"/>
  <c r="AM114" i="28" s="1"/>
  <c r="F108" i="28"/>
  <c r="P107" i="28"/>
  <c r="E108" i="28"/>
  <c r="G108" i="28" s="1"/>
  <c r="S107" i="28"/>
  <c r="AI47" i="8"/>
  <c r="AM47" i="8"/>
  <c r="AN47" i="8"/>
  <c r="AO47" i="8"/>
  <c r="AL47" i="8"/>
  <c r="AJ47" i="8"/>
  <c r="AK47" i="8"/>
  <c r="P47" i="8"/>
  <c r="Q48" i="8" s="1"/>
  <c r="AH48" i="8"/>
  <c r="T46" i="8"/>
  <c r="V46" i="8"/>
  <c r="U46" i="8"/>
  <c r="W46" i="8"/>
  <c r="E47" i="8" l="1"/>
  <c r="AG48" i="8"/>
  <c r="D46" i="8"/>
  <c r="J46" i="8"/>
  <c r="K46" i="8" s="1"/>
  <c r="L108" i="28"/>
  <c r="AA108" i="28"/>
  <c r="B108" i="28" s="1"/>
  <c r="U111" i="28"/>
  <c r="X111" i="28" s="1"/>
  <c r="B46" i="8"/>
  <c r="R49" i="8"/>
  <c r="S50" i="8" s="1"/>
  <c r="H110" i="28"/>
  <c r="T110" i="28" s="1"/>
  <c r="W111" i="28" s="1"/>
  <c r="Z110" i="28"/>
  <c r="AH111" i="28"/>
  <c r="AJ112" i="28" s="1"/>
  <c r="AL113" i="28" s="1"/>
  <c r="AN114" i="28" s="1"/>
  <c r="V112" i="28" l="1"/>
  <c r="AH49" i="8"/>
  <c r="AO115" i="28"/>
  <c r="H47" i="8"/>
  <c r="L46" i="8"/>
  <c r="M47" i="8"/>
  <c r="N48" i="8" s="1"/>
  <c r="O47" i="8"/>
  <c r="F46" i="8"/>
  <c r="G47" i="8" s="1"/>
  <c r="K108" i="28"/>
  <c r="I108" i="28"/>
  <c r="C108" i="28" s="1"/>
  <c r="AB109" i="28"/>
  <c r="AI48" i="8" l="1"/>
  <c r="AK48" i="8"/>
  <c r="AL48" i="8"/>
  <c r="AN48" i="8"/>
  <c r="AJ48" i="8"/>
  <c r="AM48" i="8"/>
  <c r="AO48" i="8"/>
  <c r="P48" i="8"/>
  <c r="Q49" i="8" s="1"/>
  <c r="AC110" i="28"/>
  <c r="AE111" i="28" s="1"/>
  <c r="AD110" i="28"/>
  <c r="O108" i="28"/>
  <c r="T47" i="8"/>
  <c r="W47" i="8"/>
  <c r="V47" i="8"/>
  <c r="U47" i="8"/>
  <c r="J108" i="28"/>
  <c r="Q108" i="28"/>
  <c r="P108" i="28" l="1"/>
  <c r="F109" i="28"/>
  <c r="E109" i="28"/>
  <c r="G109" i="28" s="1"/>
  <c r="S108" i="28"/>
  <c r="D111" i="28"/>
  <c r="AF111" i="28"/>
  <c r="Y111" i="28"/>
  <c r="AG112" i="28"/>
  <c r="AI113" i="28" s="1"/>
  <c r="AK114" i="28" s="1"/>
  <c r="AM115" i="28" s="1"/>
  <c r="B47" i="8"/>
  <c r="D47" i="8"/>
  <c r="J47" i="8"/>
  <c r="K47" i="8" s="1"/>
  <c r="R50" i="8"/>
  <c r="S51" i="8" s="1"/>
  <c r="E48" i="8"/>
  <c r="AG49" i="8" l="1"/>
  <c r="L109" i="28"/>
  <c r="AA109" i="28"/>
  <c r="B109" i="28" s="1"/>
  <c r="L47" i="8"/>
  <c r="M48" i="8"/>
  <c r="N49" i="8" s="1"/>
  <c r="H48" i="8"/>
  <c r="O48" i="8"/>
  <c r="F47" i="8"/>
  <c r="G48" i="8" s="1"/>
  <c r="Z111" i="28"/>
  <c r="U112" i="28" s="1"/>
  <c r="H111" i="28"/>
  <c r="T111" i="28" s="1"/>
  <c r="W112" i="28" s="1"/>
  <c r="AH112" i="28"/>
  <c r="AJ113" i="28" s="1"/>
  <c r="AL114" i="28" s="1"/>
  <c r="AN115" i="28" s="1"/>
  <c r="N111" i="28"/>
  <c r="X112" i="28" l="1"/>
  <c r="V113" i="28"/>
  <c r="T48" i="8"/>
  <c r="U48" i="8"/>
  <c r="W48" i="8"/>
  <c r="V48" i="8"/>
  <c r="B48" i="8" s="1"/>
  <c r="AH50" i="8"/>
  <c r="K109" i="28"/>
  <c r="I109" i="28"/>
  <c r="C109" i="28" s="1"/>
  <c r="AB110" i="28"/>
  <c r="AI49" i="8"/>
  <c r="AO49" i="8"/>
  <c r="AN49" i="8"/>
  <c r="AK49" i="8"/>
  <c r="AL49" i="8"/>
  <c r="AM49" i="8"/>
  <c r="AJ49" i="8"/>
  <c r="P49" i="8"/>
  <c r="Q50" i="8" s="1"/>
  <c r="R51" i="8" l="1"/>
  <c r="S52" i="8" s="1"/>
  <c r="AC111" i="28"/>
  <c r="AE112" i="28" s="1"/>
  <c r="AD111" i="28"/>
  <c r="J109" i="28"/>
  <c r="Q109" i="28"/>
  <c r="O109" i="28"/>
  <c r="D48" i="8"/>
  <c r="J48" i="8"/>
  <c r="K48" i="8" s="1"/>
  <c r="E49" i="8"/>
  <c r="AG50" i="8" l="1"/>
  <c r="M49" i="8"/>
  <c r="N50" i="8" s="1"/>
  <c r="L48" i="8"/>
  <c r="H49" i="8"/>
  <c r="O49" i="8"/>
  <c r="F48" i="8"/>
  <c r="G49" i="8" s="1"/>
  <c r="AG113" i="28"/>
  <c r="AI114" i="28" s="1"/>
  <c r="AK115" i="28" s="1"/>
  <c r="Y112" i="28"/>
  <c r="F110" i="28"/>
  <c r="P109" i="28"/>
  <c r="E110" i="28"/>
  <c r="G110" i="28" s="1"/>
  <c r="S109" i="28"/>
  <c r="D112" i="28"/>
  <c r="AF112" i="28"/>
  <c r="N112" i="28" s="1"/>
  <c r="L110" i="28" l="1"/>
  <c r="AA110" i="28"/>
  <c r="B110" i="28" s="1"/>
  <c r="AI50" i="8"/>
  <c r="AM50" i="8"/>
  <c r="AO50" i="8"/>
  <c r="AJ50" i="8"/>
  <c r="AL50" i="8"/>
  <c r="AK50" i="8"/>
  <c r="AN50" i="8"/>
  <c r="T49" i="8"/>
  <c r="V49" i="8"/>
  <c r="W49" i="8"/>
  <c r="U49" i="8"/>
  <c r="U113" i="28"/>
  <c r="X113" i="28" s="1"/>
  <c r="AH51" i="8"/>
  <c r="P50" i="8"/>
  <c r="Q51" i="8" s="1"/>
  <c r="H112" i="28"/>
  <c r="T112" i="28" s="1"/>
  <c r="W113" i="28" s="1"/>
  <c r="Z112" i="28"/>
  <c r="AH113" i="28"/>
  <c r="AJ114" i="28" s="1"/>
  <c r="AL115" i="28" s="1"/>
  <c r="V114" i="28" l="1"/>
  <c r="D49" i="8"/>
  <c r="J49" i="8"/>
  <c r="K49" i="8" s="1"/>
  <c r="B49" i="8"/>
  <c r="I110" i="28"/>
  <c r="C110" i="28" s="1"/>
  <c r="K110" i="28"/>
  <c r="AB111" i="28"/>
  <c r="R52" i="8"/>
  <c r="S53" i="8" s="1"/>
  <c r="E50" i="8"/>
  <c r="AG51" i="8" l="1"/>
  <c r="H50" i="8"/>
  <c r="M50" i="8"/>
  <c r="N51" i="8" s="1"/>
  <c r="L49" i="8"/>
  <c r="O50" i="8"/>
  <c r="F49" i="8"/>
  <c r="G50" i="8" s="1"/>
  <c r="AD112" i="28"/>
  <c r="AC112" i="28"/>
  <c r="AE113" i="28" s="1"/>
  <c r="Q110" i="28"/>
  <c r="J110" i="28"/>
  <c r="O110" i="28"/>
  <c r="AI51" i="8" l="1"/>
  <c r="AJ51" i="8"/>
  <c r="AN51" i="8"/>
  <c r="AO51" i="8"/>
  <c r="AK51" i="8"/>
  <c r="AM51" i="8"/>
  <c r="AL51" i="8"/>
  <c r="T50" i="8"/>
  <c r="B50" i="8" s="1"/>
  <c r="W50" i="8"/>
  <c r="U50" i="8"/>
  <c r="V50" i="8"/>
  <c r="P51" i="8"/>
  <c r="Q52" i="8" s="1"/>
  <c r="F111" i="28"/>
  <c r="P110" i="28"/>
  <c r="E111" i="28"/>
  <c r="G111" i="28" s="1"/>
  <c r="S110" i="28"/>
  <c r="AH52" i="8"/>
  <c r="Y113" i="28"/>
  <c r="AG114" i="28"/>
  <c r="AI115" i="28" s="1"/>
  <c r="D113" i="28"/>
  <c r="AF113" i="28"/>
  <c r="N113" i="28" s="1"/>
  <c r="R53" i="8" l="1"/>
  <c r="S54" i="8" s="1"/>
  <c r="E51" i="8"/>
  <c r="H113" i="28"/>
  <c r="T113" i="28" s="1"/>
  <c r="W114" i="28" s="1"/>
  <c r="Z113" i="28"/>
  <c r="U114" i="28" s="1"/>
  <c r="X114" i="28" s="1"/>
  <c r="AH114" i="28"/>
  <c r="AJ115" i="28" s="1"/>
  <c r="L111" i="28"/>
  <c r="AA111" i="28"/>
  <c r="B111" i="28" s="1"/>
  <c r="D50" i="8"/>
  <c r="J50" i="8"/>
  <c r="K50" i="8" s="1"/>
  <c r="H51" i="8" l="1"/>
  <c r="L50" i="8"/>
  <c r="M51" i="8"/>
  <c r="N52" i="8" s="1"/>
  <c r="O51" i="8"/>
  <c r="F50" i="8"/>
  <c r="G51" i="8" s="1"/>
  <c r="AG52" i="8"/>
  <c r="V115" i="28"/>
  <c r="K111" i="28"/>
  <c r="I111" i="28"/>
  <c r="C111" i="28" s="1"/>
  <c r="AB112" i="28"/>
  <c r="O111" i="28" l="1"/>
  <c r="Q111" i="28"/>
  <c r="J111" i="28"/>
  <c r="AH53" i="8"/>
  <c r="AD113" i="28"/>
  <c r="AC113" i="28"/>
  <c r="AE114" i="28" s="1"/>
  <c r="AI52" i="8"/>
  <c r="AM52" i="8"/>
  <c r="AL52" i="8"/>
  <c r="AN52" i="8"/>
  <c r="AJ52" i="8"/>
  <c r="AO52" i="8"/>
  <c r="AK52" i="8"/>
  <c r="P52" i="8"/>
  <c r="Q53" i="8" s="1"/>
  <c r="T51" i="8"/>
  <c r="U51" i="8"/>
  <c r="W51" i="8"/>
  <c r="V51" i="8"/>
  <c r="AF114" i="28" l="1"/>
  <c r="D114" i="28"/>
  <c r="D51" i="8"/>
  <c r="J51" i="8"/>
  <c r="K51" i="8" s="1"/>
  <c r="R54" i="8"/>
  <c r="S55" i="8" s="1"/>
  <c r="F112" i="28"/>
  <c r="P111" i="28"/>
  <c r="E112" i="28"/>
  <c r="G112" i="28" s="1"/>
  <c r="S111" i="28"/>
  <c r="E52" i="8"/>
  <c r="B51" i="8"/>
  <c r="Y114" i="28"/>
  <c r="AG115" i="28"/>
  <c r="M52" i="8" l="1"/>
  <c r="L51" i="8"/>
  <c r="H52" i="8"/>
  <c r="O52" i="8"/>
  <c r="F51" i="8"/>
  <c r="G52" i="8" s="1"/>
  <c r="U115" i="28"/>
  <c r="X115" i="28" s="1"/>
  <c r="L112" i="28"/>
  <c r="AA112" i="28"/>
  <c r="B112" i="28" s="1"/>
  <c r="H114" i="28"/>
  <c r="T114" i="28" s="1"/>
  <c r="W115" i="28" s="1"/>
  <c r="Z114" i="28"/>
  <c r="AH115" i="28"/>
  <c r="N114" i="28"/>
  <c r="AG53" i="8"/>
  <c r="AH54" i="8" l="1"/>
  <c r="T52" i="8"/>
  <c r="W52" i="8"/>
  <c r="V52" i="8"/>
  <c r="U52" i="8"/>
  <c r="AB113" i="28"/>
  <c r="K112" i="28"/>
  <c r="I112" i="28"/>
  <c r="C112" i="28" s="1"/>
  <c r="P53" i="8"/>
  <c r="Q54" i="8" s="1"/>
  <c r="AI53" i="8"/>
  <c r="AL53" i="8"/>
  <c r="AK53" i="8"/>
  <c r="AJ53" i="8"/>
  <c r="AO53" i="8"/>
  <c r="AM53" i="8"/>
  <c r="AN53" i="8"/>
  <c r="AD114" i="28" l="1"/>
  <c r="AC114" i="28"/>
  <c r="AE115" i="28" s="1"/>
  <c r="R55" i="8"/>
  <c r="S56" i="8" s="1"/>
  <c r="D52" i="8"/>
  <c r="J52" i="8"/>
  <c r="K52" i="8" s="1"/>
  <c r="B52" i="8"/>
  <c r="E53" i="8"/>
  <c r="Q112" i="28"/>
  <c r="J112" i="28"/>
  <c r="Y115" i="28" l="1"/>
  <c r="P112" i="28"/>
  <c r="F113" i="28"/>
  <c r="E113" i="28"/>
  <c r="G113" i="28" s="1"/>
  <c r="S112" i="28"/>
  <c r="O112" i="28"/>
  <c r="AF115" i="28"/>
  <c r="D115" i="28"/>
  <c r="AG54" i="8"/>
  <c r="M53" i="8"/>
  <c r="N54" i="8" s="1"/>
  <c r="L52" i="8"/>
  <c r="H53" i="8"/>
  <c r="O53" i="8"/>
  <c r="F52" i="8"/>
  <c r="G53" i="8" s="1"/>
  <c r="T53" i="8" l="1"/>
  <c r="V53" i="8"/>
  <c r="W53" i="8"/>
  <c r="U53" i="8"/>
  <c r="L113" i="28"/>
  <c r="AA113" i="28"/>
  <c r="B113" i="28" s="1"/>
  <c r="P54" i="8"/>
  <c r="Q55" i="8" s="1"/>
  <c r="N53" i="8"/>
  <c r="AH55" i="8"/>
  <c r="AI54" i="8"/>
  <c r="AJ54" i="8"/>
  <c r="AN54" i="8"/>
  <c r="AM54" i="8"/>
  <c r="AK54" i="8"/>
  <c r="AO54" i="8"/>
  <c r="AL54" i="8"/>
  <c r="Z115" i="28"/>
  <c r="H115" i="28"/>
  <c r="T115" i="28" s="1"/>
  <c r="N115" i="28"/>
  <c r="R56" i="8" l="1"/>
  <c r="S57" i="8" s="1"/>
  <c r="I113" i="28"/>
  <c r="C113" i="28" s="1"/>
  <c r="AB114" i="28"/>
  <c r="K113" i="28"/>
  <c r="E54" i="8"/>
  <c r="B53" i="8"/>
  <c r="D53" i="8"/>
  <c r="J53" i="8"/>
  <c r="K53" i="8" s="1"/>
  <c r="AG55" i="8" l="1"/>
  <c r="M54" i="8"/>
  <c r="N55" i="8" s="1"/>
  <c r="L53" i="8"/>
  <c r="H54" i="8"/>
  <c r="O54" i="8"/>
  <c r="F53" i="8"/>
  <c r="G54" i="8" s="1"/>
  <c r="AC115" i="28"/>
  <c r="AD115" i="28"/>
  <c r="O113" i="28"/>
  <c r="J113" i="28"/>
  <c r="Q113" i="28"/>
  <c r="C21" i="6" l="1"/>
  <c r="D21" i="6"/>
  <c r="T54" i="8"/>
  <c r="U54" i="8"/>
  <c r="W54" i="8"/>
  <c r="V54" i="8"/>
  <c r="AH56" i="8"/>
  <c r="P113" i="28"/>
  <c r="E114" i="28"/>
  <c r="G114" i="28" s="1"/>
  <c r="F114" i="28"/>
  <c r="S113" i="28"/>
  <c r="AI55" i="8"/>
  <c r="AL55" i="8"/>
  <c r="AK55" i="8"/>
  <c r="AN55" i="8"/>
  <c r="AO55" i="8"/>
  <c r="AM55" i="8"/>
  <c r="AJ55" i="8"/>
  <c r="P55" i="8"/>
  <c r="Q56" i="8" s="1"/>
  <c r="B54" i="8" l="1"/>
  <c r="E55" i="8"/>
  <c r="AG56" i="8" s="1"/>
  <c r="R57" i="8"/>
  <c r="S58" i="8" s="1"/>
  <c r="L114" i="28"/>
  <c r="AA114" i="28"/>
  <c r="B114" i="28" s="1"/>
  <c r="D54" i="8"/>
  <c r="J54" i="8"/>
  <c r="K54" i="8" s="1"/>
  <c r="AB115" i="28" l="1"/>
  <c r="I114" i="28"/>
  <c r="C114" i="28" s="1"/>
  <c r="K114" i="28"/>
  <c r="AH57" i="8"/>
  <c r="L54" i="8"/>
  <c r="M55" i="8"/>
  <c r="N56" i="8" s="1"/>
  <c r="H55" i="8"/>
  <c r="O55" i="8"/>
  <c r="F54" i="8"/>
  <c r="G55" i="8" s="1"/>
  <c r="AI56" i="8" l="1"/>
  <c r="AJ56" i="8"/>
  <c r="AN56" i="8"/>
  <c r="AM56" i="8"/>
  <c r="AK56" i="8"/>
  <c r="AL56" i="8"/>
  <c r="AO56" i="8"/>
  <c r="J114" i="28"/>
  <c r="Q114" i="28"/>
  <c r="P56" i="8"/>
  <c r="Q57" i="8" s="1"/>
  <c r="T55" i="8"/>
  <c r="W55" i="8"/>
  <c r="U55" i="8"/>
  <c r="V55" i="8"/>
  <c r="D55" i="8" l="1"/>
  <c r="J55" i="8"/>
  <c r="K55" i="8" s="1"/>
  <c r="R58" i="8"/>
  <c r="S59" i="8" s="1"/>
  <c r="E115" i="28"/>
  <c r="G115" i="28" s="1"/>
  <c r="F115" i="28"/>
  <c r="P114" i="28"/>
  <c r="S114" i="28"/>
  <c r="B55" i="8"/>
  <c r="O114" i="28"/>
  <c r="E56" i="8"/>
  <c r="AG57" i="8" l="1"/>
  <c r="L115" i="28"/>
  <c r="AA115" i="28"/>
  <c r="B115" i="28" s="1"/>
  <c r="D7" i="24"/>
  <c r="M56" i="8"/>
  <c r="N57" i="8" s="1"/>
  <c r="L55" i="8"/>
  <c r="H56" i="8"/>
  <c r="O56" i="8"/>
  <c r="F55" i="8"/>
  <c r="G56" i="8" s="1"/>
  <c r="I115" i="28" l="1"/>
  <c r="C115" i="28" s="1"/>
  <c r="K115" i="28"/>
  <c r="AI57" i="8"/>
  <c r="AM57" i="8"/>
  <c r="AO57" i="8"/>
  <c r="AN57" i="8"/>
  <c r="AJ57" i="8"/>
  <c r="AK57" i="8"/>
  <c r="AL57" i="8"/>
  <c r="AH58" i="8"/>
  <c r="P57" i="8"/>
  <c r="Q58" i="8" s="1"/>
  <c r="T56" i="8"/>
  <c r="W56" i="8"/>
  <c r="V56" i="8"/>
  <c r="U56" i="8"/>
  <c r="B56" i="8" l="1"/>
  <c r="R59" i="8"/>
  <c r="S60" i="8" s="1"/>
  <c r="E57" i="8"/>
  <c r="Q115" i="28"/>
  <c r="J115" i="28"/>
  <c r="D6" i="24"/>
  <c r="D56" i="8"/>
  <c r="J56" i="8"/>
  <c r="K56" i="8" s="1"/>
  <c r="P115" i="28" l="1"/>
  <c r="K20" i="6"/>
  <c r="K22" i="6" s="1"/>
  <c r="S115" i="28"/>
  <c r="D8" i="24" s="1"/>
  <c r="D5" i="24" s="1"/>
  <c r="L56" i="8"/>
  <c r="H57" i="8"/>
  <c r="M57" i="8"/>
  <c r="N58" i="8" s="1"/>
  <c r="O57" i="8"/>
  <c r="F56" i="8"/>
  <c r="G57" i="8" s="1"/>
  <c r="AG58" i="8"/>
  <c r="O115" i="28"/>
  <c r="D27" i="6"/>
  <c r="C27" i="6"/>
  <c r="B29" i="1" s="1"/>
  <c r="D9" i="24" l="1"/>
  <c r="AI58" i="8"/>
  <c r="AO58" i="8"/>
  <c r="AL58" i="8"/>
  <c r="AJ58" i="8"/>
  <c r="AK58" i="8"/>
  <c r="AN58" i="8"/>
  <c r="AM58" i="8"/>
  <c r="P58" i="8"/>
  <c r="Q59" i="8" s="1"/>
  <c r="T57" i="8"/>
  <c r="W57" i="8"/>
  <c r="U57" i="8"/>
  <c r="V57" i="8"/>
  <c r="AH59" i="8"/>
  <c r="D26" i="6"/>
  <c r="C26" i="6"/>
  <c r="D57" i="8" l="1"/>
  <c r="J57" i="8"/>
  <c r="K57" i="8" s="1"/>
  <c r="E26" i="6"/>
  <c r="B28" i="1"/>
  <c r="B35" i="1" s="1"/>
  <c r="B57" i="8"/>
  <c r="E58" i="8"/>
  <c r="R60" i="8"/>
  <c r="S61" i="8" s="1"/>
  <c r="M58" i="8" l="1"/>
  <c r="N59" i="8" s="1"/>
  <c r="H58" i="8"/>
  <c r="L57" i="8"/>
  <c r="O58" i="8"/>
  <c r="F57" i="8"/>
  <c r="G58" i="8" s="1"/>
  <c r="D20" i="18"/>
  <c r="D26" i="13"/>
  <c r="D35" i="1"/>
  <c r="J128" i="21"/>
  <c r="G128" i="21" s="1"/>
  <c r="G126" i="21" s="1"/>
  <c r="S126" i="21" s="1"/>
  <c r="Q126" i="21" s="1"/>
  <c r="B40" i="1"/>
  <c r="AG59" i="8"/>
  <c r="E26" i="13" l="1"/>
  <c r="D28" i="13"/>
  <c r="D27" i="13"/>
  <c r="AI59" i="8"/>
  <c r="AO59" i="8"/>
  <c r="AK59" i="8"/>
  <c r="AJ59" i="8"/>
  <c r="AN59" i="8"/>
  <c r="AM59" i="8"/>
  <c r="AL59" i="8"/>
  <c r="E20" i="18"/>
  <c r="F20" i="18"/>
  <c r="F27" i="18" s="1"/>
  <c r="P59" i="8"/>
  <c r="Q60" i="8" s="1"/>
  <c r="B19" i="1"/>
  <c r="B20" i="1" s="1"/>
  <c r="D40" i="1"/>
  <c r="E32" i="18"/>
  <c r="E34" i="18" s="1"/>
  <c r="E35" i="18" s="1"/>
  <c r="B10" i="26"/>
  <c r="T58" i="8"/>
  <c r="W58" i="8"/>
  <c r="V58" i="8"/>
  <c r="U58" i="8"/>
  <c r="AH60" i="8"/>
  <c r="B58" i="8" l="1"/>
  <c r="D58" i="8"/>
  <c r="J58" i="8"/>
  <c r="K58" i="8" s="1"/>
  <c r="R61" i="8"/>
  <c r="S62" i="8" s="1"/>
  <c r="F10" i="26"/>
  <c r="D10" i="26"/>
  <c r="E59" i="8"/>
  <c r="E28" i="13"/>
  <c r="C34" i="13" s="1"/>
  <c r="E27" i="13"/>
  <c r="C31" i="13" s="1"/>
  <c r="E34" i="13" l="1"/>
  <c r="C35" i="13"/>
  <c r="C42" i="13" s="1"/>
  <c r="H59" i="8"/>
  <c r="L58" i="8"/>
  <c r="M59" i="8"/>
  <c r="N60" i="8" s="1"/>
  <c r="O59" i="8"/>
  <c r="F58" i="8"/>
  <c r="G59" i="8" s="1"/>
  <c r="H10" i="26"/>
  <c r="B8" i="26"/>
  <c r="AG60" i="8"/>
  <c r="D26" i="8"/>
  <c r="D27" i="8"/>
  <c r="C33" i="13"/>
  <c r="AI60" i="8" l="1"/>
  <c r="AK60" i="8"/>
  <c r="AO60" i="8"/>
  <c r="AL60" i="8"/>
  <c r="AJ60" i="8"/>
  <c r="AN60" i="8"/>
  <c r="AM60" i="8"/>
  <c r="P60" i="8"/>
  <c r="Q61" i="8" s="1"/>
  <c r="AH61" i="8"/>
  <c r="B88" i="1"/>
  <c r="B90" i="1" s="1"/>
  <c r="D8" i="7"/>
  <c r="B13" i="7" s="1"/>
  <c r="C45" i="13"/>
  <c r="C46" i="13" s="1"/>
  <c r="E33" i="13"/>
  <c r="C41" i="13"/>
  <c r="B77" i="1" s="1"/>
  <c r="T59" i="8"/>
  <c r="V59" i="8"/>
  <c r="W59" i="8"/>
  <c r="U59" i="8"/>
  <c r="D8" i="26"/>
  <c r="H8" i="26" s="1"/>
  <c r="B3" i="26" s="1"/>
  <c r="C3" i="26" s="1"/>
  <c r="F8" i="26"/>
  <c r="B4" i="26" s="1"/>
  <c r="C4" i="26" s="1"/>
  <c r="D33" i="24" l="1"/>
  <c r="E33" i="24" s="1"/>
  <c r="F33" i="24"/>
  <c r="G33" i="24" s="1"/>
  <c r="D31" i="24"/>
  <c r="F31" i="24"/>
  <c r="B92" i="1"/>
  <c r="B91" i="1"/>
  <c r="D77" i="1"/>
  <c r="E77" i="1"/>
  <c r="B82" i="1"/>
  <c r="E13" i="7"/>
  <c r="C13" i="7"/>
  <c r="D13" i="7" s="1"/>
  <c r="B14" i="7" s="1"/>
  <c r="E60" i="8"/>
  <c r="D59" i="8"/>
  <c r="J59" i="8"/>
  <c r="K59" i="8" s="1"/>
  <c r="B59" i="8"/>
  <c r="R62" i="8"/>
  <c r="S63" i="8" s="1"/>
  <c r="D5" i="23" l="1"/>
  <c r="D29" i="27"/>
  <c r="D63" i="1"/>
  <c r="H60" i="8"/>
  <c r="M60" i="8"/>
  <c r="N61" i="8" s="1"/>
  <c r="L59" i="8"/>
  <c r="O60" i="8"/>
  <c r="F59" i="8"/>
  <c r="G60" i="8" s="1"/>
  <c r="G31" i="24"/>
  <c r="F32" i="24"/>
  <c r="G32" i="24" s="1"/>
  <c r="AG61" i="8"/>
  <c r="D61" i="1"/>
  <c r="C82" i="1" s="1"/>
  <c r="E31" i="24"/>
  <c r="D32" i="24"/>
  <c r="E32" i="24" s="1"/>
  <c r="C14" i="7"/>
  <c r="D14" i="7" s="1"/>
  <c r="E14" i="7"/>
  <c r="D3" i="23"/>
  <c r="D2" i="23"/>
  <c r="D30" i="27"/>
  <c r="F13" i="7"/>
  <c r="D1" i="23"/>
  <c r="B93" i="1"/>
  <c r="B94" i="1" s="1"/>
  <c r="D62" i="1" s="1"/>
  <c r="D34" i="24" l="1"/>
  <c r="E34" i="24" s="1"/>
  <c r="F14" i="7"/>
  <c r="D35" i="24"/>
  <c r="E35" i="24" s="1"/>
  <c r="AH62" i="8"/>
  <c r="F34" i="24"/>
  <c r="G34" i="24" s="1"/>
  <c r="P61" i="8"/>
  <c r="Q62" i="8" s="1"/>
  <c r="T60" i="8"/>
  <c r="U60" i="8"/>
  <c r="W60" i="8"/>
  <c r="V60" i="8"/>
  <c r="B15" i="7"/>
  <c r="E94" i="1"/>
  <c r="B102" i="1"/>
  <c r="B105" i="1" s="1"/>
  <c r="B98" i="1"/>
  <c r="B100" i="1" s="1"/>
  <c r="D30" i="24"/>
  <c r="D11" i="24" s="1"/>
  <c r="E9" i="24" s="1"/>
  <c r="C84" i="1"/>
  <c r="B85" i="1"/>
  <c r="B84" i="1"/>
  <c r="B60" i="1"/>
  <c r="D60" i="1" s="1"/>
  <c r="AI61" i="8"/>
  <c r="AJ61" i="8"/>
  <c r="AM61" i="8"/>
  <c r="AL61" i="8"/>
  <c r="AK61" i="8"/>
  <c r="AN61" i="8"/>
  <c r="AO61" i="8"/>
  <c r="F35" i="24" l="1"/>
  <c r="G35" i="24" s="1"/>
  <c r="C15" i="7"/>
  <c r="D15" i="7" s="1"/>
  <c r="B16" i="7" s="1"/>
  <c r="E15" i="7"/>
  <c r="E61" i="8"/>
  <c r="H3" i="24"/>
  <c r="B9" i="6"/>
  <c r="R63" i="8"/>
  <c r="S64" i="8" s="1"/>
  <c r="F30" i="24"/>
  <c r="F11" i="24" s="1"/>
  <c r="D60" i="8"/>
  <c r="J60" i="8"/>
  <c r="K60" i="8" s="1"/>
  <c r="B60" i="8"/>
  <c r="F38" i="24" l="1"/>
  <c r="AG62" i="8"/>
  <c r="L60" i="8"/>
  <c r="H61" i="8"/>
  <c r="M61" i="8"/>
  <c r="N62" i="8" s="1"/>
  <c r="O61" i="8"/>
  <c r="F60" i="8"/>
  <c r="G61" i="8" s="1"/>
  <c r="F15" i="7"/>
  <c r="E16" i="7"/>
  <c r="C16" i="7"/>
  <c r="D16" i="7" s="1"/>
  <c r="B17" i="7" s="1"/>
  <c r="P62" i="8" l="1"/>
  <c r="Q63" i="8" s="1"/>
  <c r="T61" i="8"/>
  <c r="V61" i="8"/>
  <c r="U61" i="8"/>
  <c r="W61" i="8"/>
  <c r="F16" i="7"/>
  <c r="E17" i="7"/>
  <c r="C17" i="7"/>
  <c r="D17" i="7" s="1"/>
  <c r="B18" i="7" s="1"/>
  <c r="AH63" i="8"/>
  <c r="AI62" i="8"/>
  <c r="AL62" i="8"/>
  <c r="AK62" i="8"/>
  <c r="AJ62" i="8"/>
  <c r="AM62" i="8"/>
  <c r="AN62" i="8"/>
  <c r="AO62" i="8"/>
  <c r="F40" i="24"/>
  <c r="G40" i="24" s="1"/>
  <c r="F41" i="24"/>
  <c r="G41" i="24" s="1"/>
  <c r="F43" i="24"/>
  <c r="G43" i="24" s="1"/>
  <c r="F39" i="24"/>
  <c r="F44" i="24"/>
  <c r="G44" i="24" s="1"/>
  <c r="F42" i="24"/>
  <c r="G42" i="24" s="1"/>
  <c r="E18" i="7" l="1"/>
  <c r="C18" i="7"/>
  <c r="D18" i="7" s="1"/>
  <c r="B19" i="7" s="1"/>
  <c r="F37" i="24"/>
  <c r="G39" i="24"/>
  <c r="G38" i="24" s="1"/>
  <c r="F12" i="24" s="1"/>
  <c r="G9" i="24" s="1"/>
  <c r="F17" i="7"/>
  <c r="E62" i="8"/>
  <c r="D61" i="8"/>
  <c r="J61" i="8"/>
  <c r="K61" i="8" s="1"/>
  <c r="B61" i="8"/>
  <c r="R64" i="8"/>
  <c r="S65" i="8" s="1"/>
  <c r="C19" i="7" l="1"/>
  <c r="D19" i="7" s="1"/>
  <c r="E19" i="7"/>
  <c r="B20" i="7"/>
  <c r="AG63" i="8"/>
  <c r="F18" i="7"/>
  <c r="F19" i="7" s="1"/>
  <c r="L61" i="8"/>
  <c r="H62" i="8"/>
  <c r="M62" i="8"/>
  <c r="N63" i="8" s="1"/>
  <c r="O62" i="8"/>
  <c r="F61" i="8"/>
  <c r="G62" i="8" s="1"/>
  <c r="AI63" i="8" l="1"/>
  <c r="AL63" i="8"/>
  <c r="AN63" i="8"/>
  <c r="AM63" i="8"/>
  <c r="AO63" i="8"/>
  <c r="AJ63" i="8"/>
  <c r="AK63" i="8"/>
  <c r="E20" i="7"/>
  <c r="C20" i="7"/>
  <c r="D20" i="7" s="1"/>
  <c r="B21" i="7"/>
  <c r="F20" i="7"/>
  <c r="AH64" i="8"/>
  <c r="P63" i="8"/>
  <c r="Q64" i="8" s="1"/>
  <c r="T62" i="8"/>
  <c r="V62" i="8"/>
  <c r="U62" i="8"/>
  <c r="W62" i="8"/>
  <c r="B62" i="8" l="1"/>
  <c r="E63" i="8"/>
  <c r="AG64" i="8" s="1"/>
  <c r="D62" i="8"/>
  <c r="J62" i="8"/>
  <c r="K62" i="8" s="1"/>
  <c r="R65" i="8"/>
  <c r="S66" i="8" s="1"/>
  <c r="E21" i="7"/>
  <c r="C21" i="7"/>
  <c r="D21" i="7" s="1"/>
  <c r="B22" i="7" s="1"/>
  <c r="E22" i="7" l="1"/>
  <c r="C22" i="7"/>
  <c r="D22" i="7" s="1"/>
  <c r="B23" i="7" s="1"/>
  <c r="H63" i="8"/>
  <c r="L62" i="8"/>
  <c r="M63" i="8"/>
  <c r="N64" i="8" s="1"/>
  <c r="O63" i="8"/>
  <c r="F62" i="8"/>
  <c r="G63" i="8" s="1"/>
  <c r="AH65" i="8"/>
  <c r="F21" i="7"/>
  <c r="F22" i="7" l="1"/>
  <c r="E23" i="7"/>
  <c r="C23" i="7"/>
  <c r="D23" i="7" s="1"/>
  <c r="B24" i="7" s="1"/>
  <c r="AI64" i="8"/>
  <c r="AO64" i="8"/>
  <c r="AM64" i="8"/>
  <c r="AJ64" i="8"/>
  <c r="AL64" i="8"/>
  <c r="AK64" i="8"/>
  <c r="AN64" i="8"/>
  <c r="P64" i="8"/>
  <c r="Q65" i="8" s="1"/>
  <c r="T63" i="8"/>
  <c r="V63" i="8"/>
  <c r="W63" i="8"/>
  <c r="U63" i="8"/>
  <c r="F23" i="7" l="1"/>
  <c r="E24" i="7"/>
  <c r="C24" i="7"/>
  <c r="D24" i="7" s="1"/>
  <c r="B25" i="7" s="1"/>
  <c r="E64" i="8"/>
  <c r="B63" i="8"/>
  <c r="D63" i="8"/>
  <c r="J63" i="8"/>
  <c r="K63" i="8" s="1"/>
  <c r="R66" i="8"/>
  <c r="S67" i="8" s="1"/>
  <c r="F24" i="7" l="1"/>
  <c r="AG65" i="8"/>
  <c r="C25" i="7"/>
  <c r="D25" i="7" s="1"/>
  <c r="F25" i="7" s="1"/>
  <c r="E25" i="7"/>
  <c r="H64" i="8"/>
  <c r="L63" i="8"/>
  <c r="M64" i="8"/>
  <c r="N65" i="8" s="1"/>
  <c r="O64" i="8"/>
  <c r="F63" i="8"/>
  <c r="G64" i="8" s="1"/>
  <c r="B26" i="7" l="1"/>
  <c r="AI65" i="8"/>
  <c r="AO65" i="8"/>
  <c r="AL65" i="8"/>
  <c r="AJ65" i="8"/>
  <c r="AK65" i="8"/>
  <c r="AM65" i="8"/>
  <c r="AN65" i="8"/>
  <c r="T64" i="8"/>
  <c r="U64" i="8"/>
  <c r="V64" i="8"/>
  <c r="W64" i="8"/>
  <c r="P65" i="8"/>
  <c r="Q66" i="8" s="1"/>
  <c r="B64" i="8"/>
  <c r="E26" i="7"/>
  <c r="C26" i="7"/>
  <c r="D26" i="7" s="1"/>
  <c r="F26" i="7" s="1"/>
  <c r="AH66" i="8"/>
  <c r="B27" i="7" l="1"/>
  <c r="R67" i="8"/>
  <c r="S68" i="8" s="1"/>
  <c r="E65" i="8"/>
  <c r="E27" i="7"/>
  <c r="C27" i="7"/>
  <c r="D27" i="7" s="1"/>
  <c r="F27" i="7" s="1"/>
  <c r="D64" i="8"/>
  <c r="J64" i="8"/>
  <c r="K64" i="8" s="1"/>
  <c r="B28" i="7" l="1"/>
  <c r="E28" i="7"/>
  <c r="C28" i="7"/>
  <c r="D28" i="7" s="1"/>
  <c r="F28" i="7" s="1"/>
  <c r="AG66" i="8"/>
  <c r="L64" i="8"/>
  <c r="M65" i="8"/>
  <c r="N66" i="8" s="1"/>
  <c r="H65" i="8"/>
  <c r="O65" i="8"/>
  <c r="F64" i="8"/>
  <c r="G65" i="8" s="1"/>
  <c r="B29" i="7" l="1"/>
  <c r="AH67" i="8"/>
  <c r="AI66" i="8"/>
  <c r="AJ66" i="8"/>
  <c r="AL66" i="8"/>
  <c r="AN66" i="8"/>
  <c r="AK66" i="8"/>
  <c r="AO66" i="8"/>
  <c r="AM66" i="8"/>
  <c r="E29" i="7"/>
  <c r="C29" i="7"/>
  <c r="D29" i="7" s="1"/>
  <c r="F29" i="7" s="1"/>
  <c r="P66" i="8"/>
  <c r="Q67" i="8" s="1"/>
  <c r="T65" i="8"/>
  <c r="V65" i="8"/>
  <c r="U65" i="8"/>
  <c r="W65" i="8"/>
  <c r="B65" i="8" l="1"/>
  <c r="B30" i="7"/>
  <c r="E30" i="7" s="1"/>
  <c r="R68" i="8"/>
  <c r="S69" i="8" s="1"/>
  <c r="E66" i="8"/>
  <c r="D65" i="8"/>
  <c r="J65" i="8"/>
  <c r="K65" i="8" s="1"/>
  <c r="C30" i="7" l="1"/>
  <c r="D30" i="7" s="1"/>
  <c r="F30" i="7" s="1"/>
  <c r="B31" i="7"/>
  <c r="E31" i="7" s="1"/>
  <c r="M66" i="8"/>
  <c r="N67" i="8" s="1"/>
  <c r="L65" i="8"/>
  <c r="H66" i="8"/>
  <c r="O66" i="8"/>
  <c r="F65" i="8"/>
  <c r="G66" i="8" s="1"/>
  <c r="AG67" i="8"/>
  <c r="C31" i="7" l="1"/>
  <c r="D31" i="7" s="1"/>
  <c r="F31" i="7" s="1"/>
  <c r="B32" i="7"/>
  <c r="C32" i="7" s="1"/>
  <c r="D32" i="7" s="1"/>
  <c r="F32" i="7" s="1"/>
  <c r="AH68" i="8"/>
  <c r="AI67" i="8"/>
  <c r="AN67" i="8"/>
  <c r="AO67" i="8"/>
  <c r="AL67" i="8"/>
  <c r="AJ67" i="8"/>
  <c r="AM67" i="8"/>
  <c r="AK67" i="8"/>
  <c r="P67" i="8"/>
  <c r="Q68" i="8" s="1"/>
  <c r="T66" i="8"/>
  <c r="U66" i="8"/>
  <c r="V66" i="8"/>
  <c r="W66" i="8"/>
  <c r="E32" i="7" l="1"/>
  <c r="B66" i="8"/>
  <c r="R69" i="8"/>
  <c r="S70" i="8" s="1"/>
  <c r="E67" i="8"/>
  <c r="D66" i="8"/>
  <c r="J66" i="8"/>
  <c r="K66" i="8" s="1"/>
  <c r="B33" i="7"/>
  <c r="M67" i="8" l="1"/>
  <c r="N68" i="8" s="1"/>
  <c r="H67" i="8"/>
  <c r="L66" i="8"/>
  <c r="O67" i="8"/>
  <c r="F66" i="8"/>
  <c r="G67" i="8" s="1"/>
  <c r="AG68" i="8"/>
  <c r="C33" i="7"/>
  <c r="D33" i="7" s="1"/>
  <c r="F33" i="7" s="1"/>
  <c r="E33" i="7"/>
  <c r="AH69" i="8" l="1"/>
  <c r="P68" i="8"/>
  <c r="Q69" i="8" s="1"/>
  <c r="T67" i="8"/>
  <c r="W67" i="8"/>
  <c r="V67" i="8"/>
  <c r="U67" i="8"/>
  <c r="AI68" i="8"/>
  <c r="AL68" i="8"/>
  <c r="AO68" i="8"/>
  <c r="AJ68" i="8"/>
  <c r="AK68" i="8"/>
  <c r="AM68" i="8"/>
  <c r="AN68" i="8"/>
  <c r="B34" i="7"/>
  <c r="B67" i="8" l="1"/>
  <c r="R70" i="8"/>
  <c r="S71" i="8" s="1"/>
  <c r="E68" i="8"/>
  <c r="D67" i="8"/>
  <c r="J67" i="8"/>
  <c r="K67" i="8" s="1"/>
  <c r="E34" i="7"/>
  <c r="C34" i="7"/>
  <c r="D34" i="7" s="1"/>
  <c r="F34" i="7" s="1"/>
  <c r="AG69" i="8" l="1"/>
  <c r="B35" i="7"/>
  <c r="H68" i="8"/>
  <c r="M68" i="8"/>
  <c r="N69" i="8" s="1"/>
  <c r="L67" i="8"/>
  <c r="O68" i="8"/>
  <c r="F67" i="8"/>
  <c r="G68" i="8" s="1"/>
  <c r="P69" i="8" l="1"/>
  <c r="Q70" i="8" s="1"/>
  <c r="T68" i="8"/>
  <c r="W68" i="8"/>
  <c r="U68" i="8"/>
  <c r="V68" i="8"/>
  <c r="AH70" i="8"/>
  <c r="AI69" i="8"/>
  <c r="AO69" i="8"/>
  <c r="AJ69" i="8"/>
  <c r="AN69" i="8"/>
  <c r="AK69" i="8"/>
  <c r="AM69" i="8"/>
  <c r="AL69" i="8"/>
  <c r="E35" i="7"/>
  <c r="C35" i="7"/>
  <c r="D35" i="7" s="1"/>
  <c r="F35" i="7" s="1"/>
  <c r="B36" i="7" l="1"/>
  <c r="C36" i="7"/>
  <c r="D36" i="7" s="1"/>
  <c r="B37" i="7" s="1"/>
  <c r="E36" i="7"/>
  <c r="D68" i="8"/>
  <c r="J68" i="8"/>
  <c r="K68" i="8" s="1"/>
  <c r="B68" i="8"/>
  <c r="R71" i="8"/>
  <c r="S72" i="8" s="1"/>
  <c r="E69" i="8"/>
  <c r="F36" i="7" l="1"/>
  <c r="AG70" i="8"/>
  <c r="E37" i="7"/>
  <c r="C37" i="7"/>
  <c r="D37" i="7" s="1"/>
  <c r="F37" i="7" s="1"/>
  <c r="M69" i="8"/>
  <c r="N70" i="8" s="1"/>
  <c r="L68" i="8"/>
  <c r="H69" i="8"/>
  <c r="O69" i="8"/>
  <c r="F68" i="8"/>
  <c r="G69" i="8" s="1"/>
  <c r="B38" i="7" l="1"/>
  <c r="E38" i="7"/>
  <c r="C38" i="7"/>
  <c r="D38" i="7" s="1"/>
  <c r="F38" i="7" s="1"/>
  <c r="AI70" i="8"/>
  <c r="AN70" i="8"/>
  <c r="AM70" i="8"/>
  <c r="AK70" i="8"/>
  <c r="AL70" i="8"/>
  <c r="AO70" i="8"/>
  <c r="AJ70" i="8"/>
  <c r="P70" i="8"/>
  <c r="Q71" i="8" s="1"/>
  <c r="AH71" i="8"/>
  <c r="T69" i="8"/>
  <c r="W69" i="8"/>
  <c r="V69" i="8"/>
  <c r="U69" i="8"/>
  <c r="E70" i="8" l="1"/>
  <c r="B69" i="8"/>
  <c r="B39" i="7"/>
  <c r="E39" i="7" s="1"/>
  <c r="AG71" i="8"/>
  <c r="C39" i="7"/>
  <c r="D39" i="7" s="1"/>
  <c r="B40" i="7" s="1"/>
  <c r="R72" i="8"/>
  <c r="S73" i="8" s="1"/>
  <c r="D69" i="8"/>
  <c r="J69" i="8"/>
  <c r="K69" i="8" s="1"/>
  <c r="C40" i="7" l="1"/>
  <c r="D40" i="7" s="1"/>
  <c r="E40" i="7"/>
  <c r="B41" i="7"/>
  <c r="AH72" i="8"/>
  <c r="F39" i="7"/>
  <c r="F40" i="7" s="1"/>
  <c r="M70" i="8"/>
  <c r="N71" i="8" s="1"/>
  <c r="H70" i="8"/>
  <c r="L69" i="8"/>
  <c r="O70" i="8"/>
  <c r="F69" i="8"/>
  <c r="G70" i="8" s="1"/>
  <c r="AI71" i="8" l="1"/>
  <c r="AN71" i="8"/>
  <c r="AM71" i="8"/>
  <c r="AL71" i="8"/>
  <c r="AJ71" i="8"/>
  <c r="AO71" i="8"/>
  <c r="AK71" i="8"/>
  <c r="P71" i="8"/>
  <c r="Q72" i="8" s="1"/>
  <c r="E41" i="7"/>
  <c r="C41" i="7"/>
  <c r="D41" i="7" s="1"/>
  <c r="F41" i="7" s="1"/>
  <c r="T70" i="8"/>
  <c r="V70" i="8"/>
  <c r="W70" i="8"/>
  <c r="U70" i="8"/>
  <c r="B70" i="8" l="1"/>
  <c r="B42" i="7"/>
  <c r="C42" i="7" s="1"/>
  <c r="D42" i="7" s="1"/>
  <c r="F42" i="7" s="1"/>
  <c r="R73" i="8"/>
  <c r="S74" i="8" s="1"/>
  <c r="E71" i="8"/>
  <c r="E42" i="7"/>
  <c r="D70" i="8"/>
  <c r="J70" i="8"/>
  <c r="K70" i="8" s="1"/>
  <c r="B43" i="7" l="1"/>
  <c r="C43" i="7"/>
  <c r="D43" i="7" s="1"/>
  <c r="F43" i="7" s="1"/>
  <c r="E43" i="7"/>
  <c r="M71" i="8"/>
  <c r="N72" i="8" s="1"/>
  <c r="H71" i="8"/>
  <c r="L70" i="8"/>
  <c r="O71" i="8"/>
  <c r="F70" i="8"/>
  <c r="G71" i="8" s="1"/>
  <c r="AG72" i="8"/>
  <c r="B44" i="7" l="1"/>
  <c r="E44" i="7"/>
  <c r="C44" i="7"/>
  <c r="D44" i="7" s="1"/>
  <c r="F44" i="7" s="1"/>
  <c r="T71" i="8"/>
  <c r="U71" i="8"/>
  <c r="W71" i="8"/>
  <c r="V71" i="8"/>
  <c r="AH73" i="8"/>
  <c r="AI72" i="8"/>
  <c r="AK72" i="8"/>
  <c r="AN72" i="8"/>
  <c r="AO72" i="8"/>
  <c r="AM72" i="8"/>
  <c r="AJ72" i="8"/>
  <c r="AL72" i="8"/>
  <c r="P72" i="8"/>
  <c r="Q73" i="8" s="1"/>
  <c r="B45" i="7" l="1"/>
  <c r="E72" i="8"/>
  <c r="AG73" i="8" s="1"/>
  <c r="B71" i="8"/>
  <c r="D71" i="8"/>
  <c r="J71" i="8"/>
  <c r="K71" i="8" s="1"/>
  <c r="R74" i="8"/>
  <c r="S75" i="8" s="1"/>
  <c r="E45" i="7"/>
  <c r="C45" i="7"/>
  <c r="D45" i="7" s="1"/>
  <c r="F45" i="7" s="1"/>
  <c r="B46" i="7" l="1"/>
  <c r="AH74" i="8"/>
  <c r="L71" i="8"/>
  <c r="H72" i="8"/>
  <c r="M72" i="8"/>
  <c r="N73" i="8" s="1"/>
  <c r="O72" i="8"/>
  <c r="F71" i="8"/>
  <c r="G72" i="8" s="1"/>
  <c r="T72" i="8" l="1"/>
  <c r="U72" i="8"/>
  <c r="V72" i="8"/>
  <c r="W72" i="8"/>
  <c r="E46" i="7"/>
  <c r="C46" i="7"/>
  <c r="D46" i="7" s="1"/>
  <c r="F46" i="7" s="1"/>
  <c r="AI73" i="8"/>
  <c r="AN73" i="8"/>
  <c r="AL73" i="8"/>
  <c r="AJ73" i="8"/>
  <c r="AM73" i="8"/>
  <c r="AO73" i="8"/>
  <c r="AK73" i="8"/>
  <c r="P73" i="8"/>
  <c r="Q74" i="8" s="1"/>
  <c r="B72" i="8" l="1"/>
  <c r="B47" i="7"/>
  <c r="E47" i="7" s="1"/>
  <c r="R75" i="8"/>
  <c r="S76" i="8" s="1"/>
  <c r="E73" i="8"/>
  <c r="D72" i="8"/>
  <c r="J72" i="8"/>
  <c r="K72" i="8" s="1"/>
  <c r="C47" i="7" l="1"/>
  <c r="D47" i="7" s="1"/>
  <c r="AG74" i="8"/>
  <c r="L72" i="8"/>
  <c r="H73" i="8"/>
  <c r="M73" i="8"/>
  <c r="N74" i="8" s="1"/>
  <c r="O73" i="8"/>
  <c r="F72" i="8"/>
  <c r="G73" i="8" s="1"/>
  <c r="F47" i="7" l="1"/>
  <c r="B48" i="7"/>
  <c r="AI74" i="8"/>
  <c r="AK74" i="8"/>
  <c r="AN74" i="8"/>
  <c r="AO74" i="8"/>
  <c r="AL74" i="8"/>
  <c r="AM74" i="8"/>
  <c r="AJ74" i="8"/>
  <c r="AH75" i="8"/>
  <c r="P74" i="8"/>
  <c r="Q75" i="8" s="1"/>
  <c r="T73" i="8"/>
  <c r="U73" i="8"/>
  <c r="W73" i="8"/>
  <c r="V73" i="8"/>
  <c r="E48" i="7" l="1"/>
  <c r="C48" i="7"/>
  <c r="D48" i="7" s="1"/>
  <c r="B73" i="8"/>
  <c r="R76" i="8"/>
  <c r="S77" i="8" s="1"/>
  <c r="D73" i="8"/>
  <c r="J73" i="8"/>
  <c r="K73" i="8" s="1"/>
  <c r="E74" i="8"/>
  <c r="F48" i="7" l="1"/>
  <c r="B49" i="7"/>
  <c r="L73" i="8"/>
  <c r="H74" i="8"/>
  <c r="M74" i="8"/>
  <c r="N75" i="8" s="1"/>
  <c r="O74" i="8"/>
  <c r="F73" i="8"/>
  <c r="G74" i="8" s="1"/>
  <c r="AG75" i="8"/>
  <c r="E49" i="7" l="1"/>
  <c r="C49" i="7"/>
  <c r="D49" i="7" s="1"/>
  <c r="F49" i="7" s="1"/>
  <c r="AI75" i="8"/>
  <c r="AJ75" i="8"/>
  <c r="AN75" i="8"/>
  <c r="AL75" i="8"/>
  <c r="AO75" i="8"/>
  <c r="AK75" i="8"/>
  <c r="AM75" i="8"/>
  <c r="P75" i="8"/>
  <c r="Q76" i="8" s="1"/>
  <c r="AH76" i="8"/>
  <c r="T74" i="8"/>
  <c r="V74" i="8"/>
  <c r="U74" i="8"/>
  <c r="W74" i="8"/>
  <c r="B50" i="7" l="1"/>
  <c r="C50" i="7"/>
  <c r="D50" i="7" s="1"/>
  <c r="E50" i="7"/>
  <c r="B74" i="8"/>
  <c r="R77" i="8"/>
  <c r="S78" i="8" s="1"/>
  <c r="D74" i="8"/>
  <c r="J74" i="8"/>
  <c r="K74" i="8" s="1"/>
  <c r="E75" i="8"/>
  <c r="F50" i="7" l="1"/>
  <c r="B51" i="7"/>
  <c r="AG76" i="8"/>
  <c r="L74" i="8"/>
  <c r="H75" i="8"/>
  <c r="M75" i="8"/>
  <c r="N76" i="8" s="1"/>
  <c r="O75" i="8"/>
  <c r="F74" i="8"/>
  <c r="G75" i="8" s="1"/>
  <c r="E51" i="7" l="1"/>
  <c r="C51" i="7"/>
  <c r="D51" i="7" s="1"/>
  <c r="F51" i="7" s="1"/>
  <c r="T75" i="8"/>
  <c r="U75" i="8"/>
  <c r="V75" i="8"/>
  <c r="W75" i="8"/>
  <c r="AH77" i="8"/>
  <c r="AI76" i="8"/>
  <c r="AO76" i="8"/>
  <c r="AL76" i="8"/>
  <c r="AK76" i="8"/>
  <c r="AJ76" i="8"/>
  <c r="AM76" i="8"/>
  <c r="AN76" i="8"/>
  <c r="P76" i="8"/>
  <c r="Q77" i="8" s="1"/>
  <c r="B52" i="7" l="1"/>
  <c r="E52" i="7"/>
  <c r="C52" i="7"/>
  <c r="D52" i="7" s="1"/>
  <c r="F52" i="7" s="1"/>
  <c r="D75" i="8"/>
  <c r="J75" i="8"/>
  <c r="K75" i="8" s="1"/>
  <c r="R78" i="8"/>
  <c r="S79" i="8" s="1"/>
  <c r="B75" i="8"/>
  <c r="D28" i="8" s="1"/>
  <c r="E76" i="8"/>
  <c r="B53" i="7" l="1"/>
  <c r="AG77" i="8"/>
  <c r="M76" i="8"/>
  <c r="N77" i="8" s="1"/>
  <c r="H76" i="8"/>
  <c r="L75" i="8"/>
  <c r="O76" i="8"/>
  <c r="F75" i="8"/>
  <c r="G76" i="8" s="1"/>
  <c r="C53" i="7" l="1"/>
  <c r="D53" i="7" s="1"/>
  <c r="F53" i="7" s="1"/>
  <c r="E53" i="7"/>
  <c r="B54" i="7"/>
  <c r="AH78" i="8"/>
  <c r="AI77" i="8"/>
  <c r="AJ77" i="8"/>
  <c r="AL77" i="8"/>
  <c r="AN77" i="8"/>
  <c r="AO77" i="8"/>
  <c r="AM77" i="8"/>
  <c r="AK77" i="8"/>
  <c r="P77" i="8"/>
  <c r="Q78" i="8" s="1"/>
  <c r="T76" i="8"/>
  <c r="W76" i="8"/>
  <c r="U76" i="8"/>
  <c r="V76" i="8"/>
  <c r="E54" i="7" l="1"/>
  <c r="C54" i="7"/>
  <c r="D54" i="7" s="1"/>
  <c r="F54" i="7" s="1"/>
  <c r="B76" i="8"/>
  <c r="E77" i="8"/>
  <c r="D76" i="8"/>
  <c r="J76" i="8"/>
  <c r="K76" i="8" s="1"/>
  <c r="R79" i="8"/>
  <c r="S80" i="8" s="1"/>
  <c r="B55" i="7" l="1"/>
  <c r="E55" i="7"/>
  <c r="C55" i="7"/>
  <c r="D55" i="7" s="1"/>
  <c r="F55" i="7" s="1"/>
  <c r="AG78" i="8"/>
  <c r="M77" i="8"/>
  <c r="N78" i="8" s="1"/>
  <c r="H77" i="8"/>
  <c r="L76" i="8"/>
  <c r="O77" i="8"/>
  <c r="F76" i="8"/>
  <c r="G77" i="8" s="1"/>
  <c r="B56" i="7" l="1"/>
  <c r="AI78" i="8"/>
  <c r="AL78" i="8"/>
  <c r="AM78" i="8"/>
  <c r="AJ78" i="8"/>
  <c r="AK78" i="8"/>
  <c r="AO78" i="8"/>
  <c r="AN78" i="8"/>
  <c r="P78" i="8"/>
  <c r="Q79" i="8" s="1"/>
  <c r="T77" i="8"/>
  <c r="U77" i="8"/>
  <c r="V77" i="8"/>
  <c r="W77" i="8"/>
  <c r="AH79" i="8"/>
  <c r="E56" i="7" l="1"/>
  <c r="C56" i="7"/>
  <c r="D56" i="7" s="1"/>
  <c r="F56" i="7" s="1"/>
  <c r="E78" i="8"/>
  <c r="AG79" i="8" s="1"/>
  <c r="R80" i="8"/>
  <c r="D77" i="8"/>
  <c r="J77" i="8"/>
  <c r="K77" i="8" s="1"/>
  <c r="B77" i="8"/>
  <c r="B57" i="7" l="1"/>
  <c r="C57" i="7"/>
  <c r="D57" i="7" s="1"/>
  <c r="B58" i="7" s="1"/>
  <c r="E57" i="7"/>
  <c r="AH80" i="8"/>
  <c r="L77" i="8"/>
  <c r="H78" i="8"/>
  <c r="M78" i="8"/>
  <c r="N79" i="8" s="1"/>
  <c r="O78" i="8"/>
  <c r="F77" i="8"/>
  <c r="G78" i="8" s="1"/>
  <c r="F57" i="7" l="1"/>
  <c r="C58" i="7"/>
  <c r="D58" i="7" s="1"/>
  <c r="B59" i="7" s="1"/>
  <c r="E58" i="7"/>
  <c r="T78" i="8"/>
  <c r="U78" i="8"/>
  <c r="V78" i="8"/>
  <c r="W78" i="8"/>
  <c r="B78" i="8" s="1"/>
  <c r="AI79" i="8"/>
  <c r="AL79" i="8"/>
  <c r="AK79" i="8"/>
  <c r="AN79" i="8"/>
  <c r="AM79" i="8"/>
  <c r="AO79" i="8"/>
  <c r="AJ79" i="8"/>
  <c r="P79" i="8"/>
  <c r="Q80" i="8" s="1"/>
  <c r="E59" i="7" l="1"/>
  <c r="C59" i="7"/>
  <c r="D59" i="7" s="1"/>
  <c r="B60" i="7" s="1"/>
  <c r="F58" i="7"/>
  <c r="F59" i="7" s="1"/>
  <c r="E79" i="8"/>
  <c r="D78" i="8"/>
  <c r="J78" i="8"/>
  <c r="K78" i="8" s="1"/>
  <c r="C60" i="7" l="1"/>
  <c r="D60" i="7" s="1"/>
  <c r="B61" i="7" s="1"/>
  <c r="E60" i="7"/>
  <c r="H79" i="8"/>
  <c r="L78" i="8"/>
  <c r="M79" i="8"/>
  <c r="N80" i="8" s="1"/>
  <c r="O79" i="8"/>
  <c r="F78" i="8"/>
  <c r="G79" i="8" s="1"/>
  <c r="AG80" i="8"/>
  <c r="C61" i="7" l="1"/>
  <c r="D61" i="7" s="1"/>
  <c r="E61" i="7"/>
  <c r="B62" i="7"/>
  <c r="F60" i="7"/>
  <c r="P80" i="8"/>
  <c r="AI80" i="8"/>
  <c r="AO80" i="8"/>
  <c r="AK80" i="8"/>
  <c r="AN80" i="8"/>
  <c r="AL80" i="8"/>
  <c r="AM80" i="8"/>
  <c r="AJ80" i="8"/>
  <c r="T79" i="8"/>
  <c r="U79" i="8"/>
  <c r="V79" i="8"/>
  <c r="W79" i="8"/>
  <c r="E62" i="7" l="1"/>
  <c r="C62" i="7"/>
  <c r="D62" i="7" s="1"/>
  <c r="F61" i="7"/>
  <c r="E80" i="8"/>
  <c r="D79" i="8"/>
  <c r="J79" i="8"/>
  <c r="K79" i="8" s="1"/>
  <c r="B79" i="8"/>
  <c r="F62" i="7" l="1"/>
  <c r="B63" i="7"/>
  <c r="L79" i="8"/>
  <c r="M80" i="8"/>
  <c r="H80" i="8"/>
  <c r="O80" i="8"/>
  <c r="F79" i="8"/>
  <c r="G80" i="8" s="1"/>
  <c r="E63" i="7" l="1"/>
  <c r="C63" i="7"/>
  <c r="D63" i="7" s="1"/>
  <c r="F63" i="7" s="1"/>
  <c r="T80" i="8"/>
  <c r="U80" i="8"/>
  <c r="W80" i="8"/>
  <c r="V80" i="8"/>
  <c r="B64" i="7" l="1"/>
  <c r="D80" i="8"/>
  <c r="J80" i="8"/>
  <c r="K80" i="8" s="1"/>
  <c r="B80" i="8"/>
  <c r="E64" i="7" l="1"/>
  <c r="C64" i="7"/>
  <c r="D64" i="7" s="1"/>
  <c r="F64" i="7" s="1"/>
  <c r="L80" i="8"/>
  <c r="F80" i="8"/>
  <c r="B65" i="7" l="1"/>
  <c r="E65" i="7" l="1"/>
  <c r="C65" i="7"/>
  <c r="D65" i="7" s="1"/>
  <c r="B66" i="7" l="1"/>
  <c r="F65" i="7"/>
  <c r="E66" i="7" l="1"/>
  <c r="C66" i="7"/>
  <c r="D66" i="7" s="1"/>
  <c r="F66" i="7" s="1"/>
  <c r="B67" i="7" l="1"/>
  <c r="C67" i="7"/>
  <c r="D67" i="7" s="1"/>
  <c r="F67" i="7" s="1"/>
  <c r="E67" i="7"/>
  <c r="B68" i="7"/>
  <c r="E68" i="7" l="1"/>
  <c r="C68" i="7"/>
  <c r="D68" i="7" s="1"/>
  <c r="F68" i="7" s="1"/>
  <c r="B69" i="7" l="1"/>
  <c r="E69" i="7" l="1"/>
  <c r="C69" i="7"/>
  <c r="D69" i="7" s="1"/>
  <c r="F69" i="7" s="1"/>
  <c r="B70" i="7" l="1"/>
  <c r="E70" i="7"/>
  <c r="C70" i="7"/>
  <c r="D70" i="7" s="1"/>
  <c r="F70" i="7" s="1"/>
  <c r="B71" i="7" l="1"/>
  <c r="C71" i="7"/>
  <c r="D71" i="7" s="1"/>
  <c r="F71" i="7" s="1"/>
  <c r="E71" i="7"/>
  <c r="B72" i="7"/>
  <c r="C72" i="7" l="1"/>
  <c r="D72" i="7" s="1"/>
  <c r="F72" i="7" s="1"/>
  <c r="E72" i="7"/>
  <c r="B73" i="7" l="1"/>
  <c r="E73" i="7"/>
  <c r="C73" i="7"/>
  <c r="D73" i="7" s="1"/>
  <c r="F73" i="7" s="1"/>
  <c r="B74" i="7" l="1"/>
  <c r="C74" i="7"/>
  <c r="D74" i="7" s="1"/>
  <c r="E74" i="7"/>
  <c r="B75" i="7"/>
  <c r="C75" i="7" l="1"/>
  <c r="D75" i="7" s="1"/>
  <c r="E75" i="7"/>
  <c r="B76" i="7"/>
  <c r="F74" i="7"/>
  <c r="C76" i="7" l="1"/>
  <c r="D76" i="7" s="1"/>
  <c r="D9" i="7" s="1"/>
  <c r="E9" i="7" s="1"/>
  <c r="B77" i="7"/>
  <c r="E76" i="7"/>
  <c r="F75" i="7"/>
  <c r="F76" i="7" s="1"/>
  <c r="E77" i="7" l="1"/>
  <c r="C77" i="7"/>
  <c r="D77" i="7" s="1"/>
  <c r="B78" i="7" s="1"/>
  <c r="F77" i="7"/>
  <c r="C78" i="7" l="1"/>
  <c r="D78" i="7" s="1"/>
  <c r="E78" i="7"/>
  <c r="B79" i="7"/>
  <c r="C79" i="7" l="1"/>
  <c r="D79" i="7" s="1"/>
  <c r="B80" i="7"/>
  <c r="E79" i="7"/>
  <c r="C80" i="7" l="1"/>
  <c r="D80" i="7" s="1"/>
  <c r="B81" i="7"/>
  <c r="E80" i="7"/>
  <c r="E81" i="7" l="1"/>
  <c r="C81" i="7"/>
  <c r="D81" i="7" s="1"/>
  <c r="B82" i="7" s="1"/>
  <c r="C82" i="7" l="1"/>
  <c r="D82" i="7" s="1"/>
  <c r="B83" i="7"/>
  <c r="E82" i="7"/>
  <c r="C83" i="7" l="1"/>
  <c r="D83" i="7" s="1"/>
  <c r="E83" i="7"/>
  <c r="B84" i="7"/>
  <c r="C84" i="7" l="1"/>
  <c r="D84" i="7" s="1"/>
  <c r="B85" i="7"/>
  <c r="E84" i="7"/>
  <c r="E85" i="7" l="1"/>
  <c r="C85" i="7"/>
  <c r="D85" i="7" s="1"/>
  <c r="B86" i="7" s="1"/>
  <c r="E86" i="7" l="1"/>
  <c r="C86" i="7"/>
  <c r="D86" i="7" s="1"/>
  <c r="B87" i="7" s="1"/>
  <c r="C87" i="7" l="1"/>
  <c r="D87" i="7" s="1"/>
  <c r="B88" i="7"/>
  <c r="E87" i="7"/>
  <c r="E88" i="7" l="1"/>
  <c r="C88" i="7"/>
  <c r="D88" i="7" s="1"/>
  <c r="B89" i="7" s="1"/>
  <c r="C89" i="7" l="1"/>
  <c r="D89" i="7" s="1"/>
  <c r="B90" i="7"/>
  <c r="E89" i="7"/>
  <c r="E90" i="7" l="1"/>
  <c r="C90" i="7"/>
  <c r="D90" i="7" s="1"/>
  <c r="B91" i="7"/>
  <c r="E91" i="7" l="1"/>
  <c r="C91" i="7"/>
  <c r="D91" i="7" s="1"/>
  <c r="B92" i="7"/>
  <c r="E92" i="7" l="1"/>
  <c r="C92" i="7"/>
  <c r="D92" i="7" s="1"/>
  <c r="B93" i="7" s="1"/>
  <c r="E93" i="7" l="1"/>
  <c r="C93" i="7"/>
  <c r="D93" i="7" s="1"/>
  <c r="B94" i="7" s="1"/>
  <c r="C94" i="7" l="1"/>
  <c r="D94" i="7" s="1"/>
  <c r="B95" i="7" s="1"/>
  <c r="E94" i="7"/>
  <c r="C95" i="7" l="1"/>
  <c r="D95" i="7" s="1"/>
  <c r="B96" i="7"/>
  <c r="E95" i="7"/>
  <c r="C96" i="7" l="1"/>
  <c r="D96" i="7" s="1"/>
  <c r="B97" i="7" s="1"/>
  <c r="E96" i="7"/>
  <c r="C97" i="7" l="1"/>
  <c r="D97" i="7" s="1"/>
  <c r="B98" i="7" s="1"/>
  <c r="E97" i="7"/>
  <c r="E98" i="7" l="1"/>
  <c r="C98" i="7"/>
  <c r="D98" i="7" s="1"/>
  <c r="B99" i="7"/>
  <c r="E99" i="7" l="1"/>
  <c r="C99" i="7"/>
  <c r="D99" i="7" s="1"/>
  <c r="B100" i="7" s="1"/>
  <c r="C100" i="7" l="1"/>
  <c r="D100" i="7" s="1"/>
  <c r="B101" i="7" s="1"/>
  <c r="E100" i="7"/>
  <c r="C101" i="7" l="1"/>
  <c r="D101" i="7" s="1"/>
  <c r="B102" i="7"/>
  <c r="E101" i="7"/>
  <c r="C102" i="7" l="1"/>
  <c r="D102" i="7" s="1"/>
  <c r="E102" i="7"/>
  <c r="B103" i="7"/>
  <c r="C103" i="7" l="1"/>
  <c r="D103" i="7" s="1"/>
  <c r="B104" i="7"/>
  <c r="E103" i="7"/>
  <c r="C104" i="7" l="1"/>
  <c r="D104" i="7" s="1"/>
  <c r="B105" i="7"/>
  <c r="E104" i="7"/>
  <c r="C105" i="7" l="1"/>
  <c r="D105" i="7" s="1"/>
  <c r="E105" i="7"/>
  <c r="B106" i="7"/>
  <c r="C106" i="7" l="1"/>
  <c r="D106" i="7" s="1"/>
  <c r="B107" i="7"/>
  <c r="E106" i="7"/>
  <c r="C107" i="7" l="1"/>
  <c r="D107" i="7" s="1"/>
  <c r="E107" i="7"/>
  <c r="B108" i="7"/>
  <c r="C108" i="7" l="1"/>
  <c r="D108" i="7" s="1"/>
  <c r="B109" i="7" s="1"/>
  <c r="E108" i="7"/>
  <c r="C109" i="7" l="1"/>
  <c r="D109" i="7" s="1"/>
  <c r="B110" i="7"/>
  <c r="E109" i="7"/>
  <c r="E110" i="7" l="1"/>
  <c r="C110" i="7"/>
  <c r="D110" i="7" s="1"/>
  <c r="B111" i="7" s="1"/>
  <c r="E111" i="7" l="1"/>
  <c r="C111" i="7"/>
  <c r="D111" i="7" s="1"/>
  <c r="B112" i="7" s="1"/>
  <c r="E112" i="7" l="1"/>
  <c r="C112" i="7"/>
  <c r="D112" i="7" s="1"/>
  <c r="B113" i="7" s="1"/>
  <c r="C113" i="7" l="1"/>
  <c r="D113" i="7" s="1"/>
  <c r="E113" i="7"/>
  <c r="B114" i="7"/>
  <c r="E114" i="7" l="1"/>
  <c r="C114" i="7"/>
  <c r="D114" i="7" s="1"/>
  <c r="B115" i="7" s="1"/>
  <c r="C115" i="7" l="1"/>
  <c r="D115" i="7" s="1"/>
  <c r="B116" i="7" s="1"/>
  <c r="E115" i="7"/>
  <c r="E116" i="7" l="1"/>
  <c r="C116" i="7"/>
  <c r="D116" i="7" s="1"/>
  <c r="B117" i="7"/>
  <c r="E117" i="7" l="1"/>
  <c r="C117" i="7"/>
  <c r="D117" i="7" s="1"/>
  <c r="B118" i="7" s="1"/>
  <c r="E118" i="7" l="1"/>
  <c r="C118" i="7"/>
  <c r="D118" i="7" s="1"/>
  <c r="B119" i="7"/>
  <c r="E119" i="7" l="1"/>
  <c r="C119" i="7"/>
  <c r="D119" i="7" s="1"/>
  <c r="B120" i="7" s="1"/>
  <c r="C120" i="7" l="1"/>
  <c r="D120" i="7" s="1"/>
  <c r="E120" i="7"/>
  <c r="B121" i="7"/>
  <c r="E121" i="7" l="1"/>
  <c r="C121" i="7"/>
  <c r="D121" i="7" s="1"/>
  <c r="B122" i="7" s="1"/>
  <c r="C122" i="7" l="1"/>
  <c r="D122" i="7" s="1"/>
  <c r="B123" i="7"/>
  <c r="E122" i="7"/>
  <c r="C123" i="7" l="1"/>
  <c r="D123" i="7" s="1"/>
  <c r="E123" i="7"/>
  <c r="B124" i="7"/>
  <c r="E124" i="7" l="1"/>
  <c r="C124" i="7"/>
  <c r="D124" i="7" s="1"/>
  <c r="B125" i="7" s="1"/>
  <c r="E125" i="7" l="1"/>
  <c r="C125" i="7"/>
  <c r="D125" i="7" s="1"/>
  <c r="B126" i="7" s="1"/>
  <c r="C126" i="7" l="1"/>
  <c r="D126" i="7" s="1"/>
  <c r="E126" i="7"/>
  <c r="B127" i="7"/>
  <c r="E127" i="7" l="1"/>
  <c r="C127" i="7"/>
  <c r="D127" i="7" s="1"/>
  <c r="B128" i="7"/>
  <c r="E128" i="7" l="1"/>
  <c r="C128" i="7"/>
  <c r="D128" i="7" s="1"/>
  <c r="B129" i="7" s="1"/>
  <c r="C129" i="7" l="1"/>
  <c r="D129" i="7" s="1"/>
  <c r="B130" i="7" s="1"/>
  <c r="E129" i="7"/>
  <c r="C130" i="7" l="1"/>
  <c r="D130" i="7" s="1"/>
  <c r="B131" i="7"/>
  <c r="E130" i="7"/>
  <c r="C131" i="7" l="1"/>
  <c r="D131" i="7" s="1"/>
  <c r="B132" i="7" s="1"/>
  <c r="E131" i="7"/>
  <c r="C132" i="7" l="1"/>
  <c r="D132" i="7" s="1"/>
  <c r="B133" i="7" s="1"/>
  <c r="E132" i="7"/>
  <c r="C133" i="7" l="1"/>
  <c r="D133" i="7" s="1"/>
  <c r="B134" i="7"/>
  <c r="E133" i="7"/>
  <c r="C134" i="7" l="1"/>
  <c r="D134" i="7" s="1"/>
  <c r="B135" i="7"/>
  <c r="E134" i="7"/>
  <c r="C135" i="7" l="1"/>
  <c r="D135" i="7" s="1"/>
  <c r="B136" i="7"/>
  <c r="E135" i="7"/>
  <c r="E136" i="7" l="1"/>
  <c r="C136" i="7"/>
  <c r="D136" i="7" s="1"/>
  <c r="B137" i="7" s="1"/>
  <c r="E137" i="7" l="1"/>
  <c r="C137" i="7"/>
  <c r="D137" i="7" s="1"/>
  <c r="B138" i="7"/>
  <c r="C138" i="7" l="1"/>
  <c r="D138" i="7" s="1"/>
  <c r="B139" i="7"/>
  <c r="E138" i="7"/>
  <c r="C139" i="7" l="1"/>
  <c r="D139" i="7" s="1"/>
  <c r="B140" i="7" s="1"/>
  <c r="E139" i="7"/>
  <c r="E140" i="7" l="1"/>
  <c r="C140" i="7"/>
  <c r="D140" i="7" s="1"/>
  <c r="B141" i="7" s="1"/>
  <c r="C141" i="7" l="1"/>
  <c r="D141" i="7" s="1"/>
  <c r="B142" i="7"/>
  <c r="E141" i="7"/>
  <c r="C142" i="7" l="1"/>
  <c r="D142" i="7" s="1"/>
  <c r="B143" i="7"/>
  <c r="E142" i="7"/>
  <c r="C143" i="7" l="1"/>
  <c r="D143" i="7" s="1"/>
  <c r="B144" i="7"/>
  <c r="E143" i="7"/>
  <c r="C144" i="7" l="1"/>
  <c r="D144" i="7" s="1"/>
  <c r="B145" i="7"/>
  <c r="E144" i="7"/>
  <c r="C145" i="7" l="1"/>
  <c r="D145" i="7" s="1"/>
  <c r="B146" i="7"/>
  <c r="E145" i="7"/>
  <c r="C146" i="7" l="1"/>
  <c r="D146" i="7" s="1"/>
  <c r="B147" i="7"/>
  <c r="E146" i="7"/>
  <c r="E147" i="7" l="1"/>
  <c r="C147" i="7"/>
  <c r="D147" i="7" s="1"/>
  <c r="B148" i="7" s="1"/>
  <c r="C148" i="7" l="1"/>
  <c r="D148" i="7" s="1"/>
  <c r="B149" i="7"/>
  <c r="E148" i="7"/>
  <c r="E149" i="7" l="1"/>
  <c r="C149" i="7"/>
  <c r="D149" i="7" s="1"/>
  <c r="B150" i="7" s="1"/>
  <c r="C150" i="7" l="1"/>
  <c r="D150" i="7" s="1"/>
  <c r="E150" i="7"/>
  <c r="B151" i="7"/>
  <c r="C151" i="7" l="1"/>
  <c r="D151" i="7" s="1"/>
  <c r="B152" i="7"/>
  <c r="E151" i="7"/>
  <c r="C152" i="7" l="1"/>
  <c r="D152" i="7" s="1"/>
  <c r="E152" i="7"/>
  <c r="B153" i="7"/>
  <c r="E153" i="7" l="1"/>
  <c r="C153" i="7"/>
  <c r="D153" i="7" s="1"/>
  <c r="B154" i="7" s="1"/>
  <c r="E154" i="7" l="1"/>
  <c r="C154" i="7"/>
  <c r="D154" i="7" s="1"/>
  <c r="B155" i="7" s="1"/>
  <c r="E155" i="7" l="1"/>
  <c r="C155" i="7"/>
  <c r="D155" i="7" s="1"/>
  <c r="B156" i="7" s="1"/>
  <c r="C156" i="7" l="1"/>
  <c r="D156" i="7" s="1"/>
  <c r="B157" i="7"/>
  <c r="E156" i="7"/>
  <c r="E157" i="7" l="1"/>
  <c r="C157" i="7"/>
  <c r="D157" i="7" s="1"/>
  <c r="B158" i="7" s="1"/>
  <c r="C158" i="7" l="1"/>
  <c r="D158" i="7" s="1"/>
  <c r="B159" i="7"/>
  <c r="E158" i="7"/>
  <c r="C159" i="7" l="1"/>
  <c r="D159" i="7" s="1"/>
  <c r="B160" i="7"/>
  <c r="E159" i="7"/>
  <c r="C160" i="7" l="1"/>
  <c r="D160" i="7" s="1"/>
  <c r="B161" i="7"/>
  <c r="E160" i="7"/>
  <c r="E161" i="7" l="1"/>
  <c r="C161" i="7"/>
  <c r="D161" i="7" s="1"/>
  <c r="B162" i="7" s="1"/>
  <c r="E162" i="7" l="1"/>
  <c r="C162" i="7"/>
  <c r="D162" i="7" s="1"/>
  <c r="B163" i="7" s="1"/>
  <c r="C163" i="7" l="1"/>
  <c r="D163" i="7" s="1"/>
  <c r="B164" i="7"/>
  <c r="E163" i="7"/>
  <c r="E164" i="7" l="1"/>
  <c r="C164" i="7"/>
  <c r="D164" i="7" s="1"/>
  <c r="B165" i="7" s="1"/>
  <c r="E165" i="7" l="1"/>
  <c r="C165" i="7"/>
  <c r="D165" i="7" s="1"/>
  <c r="B166" i="7" s="1"/>
  <c r="E166" i="7" l="1"/>
  <c r="C166" i="7"/>
  <c r="D166" i="7" s="1"/>
  <c r="B167" i="7" s="1"/>
  <c r="C167" i="7" l="1"/>
  <c r="D167" i="7" s="1"/>
  <c r="E167" i="7"/>
  <c r="B168" i="7"/>
  <c r="C168" i="7" l="1"/>
  <c r="D168" i="7" s="1"/>
  <c r="E168" i="7"/>
  <c r="B169" i="7"/>
  <c r="E169" i="7" l="1"/>
  <c r="C169" i="7"/>
  <c r="D169" i="7" s="1"/>
  <c r="B170" i="7" s="1"/>
  <c r="C170" i="7" l="1"/>
  <c r="D170" i="7" s="1"/>
  <c r="B171" i="7" s="1"/>
  <c r="E170" i="7"/>
  <c r="C171" i="7" l="1"/>
  <c r="D171" i="7" s="1"/>
  <c r="E171" i="7"/>
  <c r="B172" i="7"/>
  <c r="E172" i="7" l="1"/>
  <c r="C172" i="7"/>
  <c r="D172" i="7" s="1"/>
  <c r="B173" i="7" s="1"/>
  <c r="E173" i="7" l="1"/>
  <c r="C173" i="7"/>
  <c r="D173" i="7" s="1"/>
  <c r="B174" i="7" s="1"/>
  <c r="E174" i="7" l="1"/>
  <c r="C174" i="7"/>
  <c r="D174" i="7" s="1"/>
  <c r="B175" i="7" s="1"/>
  <c r="E175" i="7" l="1"/>
  <c r="C175" i="7"/>
  <c r="D175" i="7" s="1"/>
  <c r="B176" i="7" s="1"/>
  <c r="E176" i="7" l="1"/>
  <c r="C176" i="7"/>
  <c r="D176" i="7" s="1"/>
  <c r="B177" i="7" s="1"/>
  <c r="E177" i="7" l="1"/>
  <c r="C177" i="7"/>
  <c r="D177" i="7" s="1"/>
  <c r="B178" i="7" s="1"/>
  <c r="E178" i="7" l="1"/>
  <c r="C178" i="7"/>
  <c r="D178" i="7" s="1"/>
  <c r="B179" i="7" s="1"/>
  <c r="C179" i="7" l="1"/>
  <c r="D179" i="7" s="1"/>
  <c r="B180" i="7"/>
  <c r="E179" i="7"/>
  <c r="E180" i="7" l="1"/>
  <c r="C180" i="7"/>
  <c r="D180" i="7" s="1"/>
  <c r="B181" i="7" s="1"/>
  <c r="E181" i="7" l="1"/>
  <c r="C181" i="7"/>
  <c r="D181" i="7" s="1"/>
  <c r="B182" i="7" s="1"/>
  <c r="E182" i="7" l="1"/>
  <c r="C182" i="7"/>
  <c r="D182" i="7" s="1"/>
  <c r="B183" i="7" s="1"/>
  <c r="C183" i="7" l="1"/>
  <c r="D183" i="7" s="1"/>
  <c r="B184" i="7" s="1"/>
  <c r="E183" i="7"/>
  <c r="E184" i="7" l="1"/>
  <c r="C184" i="7"/>
  <c r="D184" i="7" s="1"/>
  <c r="B185" i="7" s="1"/>
  <c r="C185" i="7" l="1"/>
  <c r="D185" i="7" s="1"/>
  <c r="B186" i="7"/>
  <c r="E185" i="7"/>
  <c r="E186" i="7" l="1"/>
  <c r="C186" i="7"/>
  <c r="D186" i="7" s="1"/>
  <c r="B187" i="7" s="1"/>
  <c r="C187" i="7" l="1"/>
  <c r="D187" i="7" s="1"/>
  <c r="E187" i="7"/>
  <c r="B188" i="7"/>
  <c r="E188" i="7" l="1"/>
  <c r="C188" i="7"/>
  <c r="D188" i="7" s="1"/>
  <c r="B189" i="7" s="1"/>
  <c r="C189" i="7" l="1"/>
  <c r="D189" i="7" s="1"/>
  <c r="E189" i="7"/>
  <c r="B190" i="7"/>
  <c r="E190" i="7" l="1"/>
  <c r="C190" i="7"/>
  <c r="D190" i="7" s="1"/>
  <c r="B191" i="7" s="1"/>
  <c r="E191" i="7" l="1"/>
  <c r="C191" i="7"/>
  <c r="D191" i="7" s="1"/>
  <c r="B192" i="7"/>
  <c r="C192" i="7" l="1"/>
  <c r="D192" i="7" s="1"/>
  <c r="B193" i="7"/>
  <c r="E192" i="7"/>
  <c r="E193" i="7" l="1"/>
  <c r="C193" i="7"/>
  <c r="D193" i="7" s="1"/>
  <c r="B194" i="7" s="1"/>
  <c r="E194" i="7" l="1"/>
  <c r="C194" i="7"/>
  <c r="D194" i="7" s="1"/>
  <c r="B195" i="7" s="1"/>
  <c r="C195" i="7" l="1"/>
  <c r="D195" i="7" s="1"/>
  <c r="E195" i="7"/>
  <c r="B196" i="7"/>
  <c r="E196" i="7" l="1"/>
  <c r="C196" i="7"/>
  <c r="D196" i="7" s="1"/>
  <c r="B197" i="7" s="1"/>
  <c r="C197" i="7" l="1"/>
  <c r="D197" i="7" s="1"/>
  <c r="B198" i="7" s="1"/>
  <c r="E197" i="7"/>
  <c r="E198" i="7" l="1"/>
  <c r="C198" i="7"/>
  <c r="D198" i="7" s="1"/>
  <c r="B199" i="7" s="1"/>
  <c r="C199" i="7" l="1"/>
  <c r="D199" i="7" s="1"/>
  <c r="B200" i="7"/>
  <c r="E199" i="7"/>
  <c r="C200" i="7" l="1"/>
  <c r="D200" i="7" s="1"/>
  <c r="B201" i="7" s="1"/>
  <c r="E200" i="7"/>
  <c r="C201" i="7" l="1"/>
  <c r="D201" i="7" s="1"/>
  <c r="B202" i="7"/>
  <c r="E201" i="7"/>
  <c r="E202" i="7" l="1"/>
  <c r="C202" i="7"/>
  <c r="D202" i="7" s="1"/>
  <c r="B203" i="7"/>
  <c r="E203" i="7" l="1"/>
  <c r="C203" i="7"/>
  <c r="D203" i="7" s="1"/>
  <c r="B204" i="7" s="1"/>
  <c r="C204" i="7" l="1"/>
  <c r="D204" i="7" s="1"/>
  <c r="B205" i="7" s="1"/>
  <c r="E204" i="7"/>
  <c r="C205" i="7" l="1"/>
  <c r="D205" i="7" s="1"/>
  <c r="E205" i="7"/>
  <c r="B206" i="7"/>
  <c r="E206" i="7" l="1"/>
  <c r="C206" i="7"/>
  <c r="D206" i="7" s="1"/>
  <c r="B207" i="7"/>
  <c r="C207" i="7" l="1"/>
  <c r="D207" i="7" s="1"/>
  <c r="B208" i="7"/>
  <c r="E207" i="7"/>
  <c r="C208" i="7" l="1"/>
  <c r="D208" i="7" s="1"/>
  <c r="E208" i="7"/>
  <c r="B209" i="7"/>
  <c r="C209" i="7" l="1"/>
  <c r="D209" i="7" s="1"/>
  <c r="E209" i="7"/>
  <c r="B210" i="7"/>
  <c r="C210" i="7" l="1"/>
  <c r="D210" i="7" s="1"/>
  <c r="B211" i="7"/>
  <c r="E210" i="7"/>
  <c r="C211" i="7" l="1"/>
  <c r="D211" i="7" s="1"/>
  <c r="B212" i="7"/>
  <c r="E211" i="7"/>
  <c r="E212" i="7" l="1"/>
  <c r="C212" i="7"/>
  <c r="D212" i="7" s="1"/>
  <c r="B213" i="7" s="1"/>
  <c r="E213" i="7" l="1"/>
  <c r="C213" i="7"/>
  <c r="D213" i="7" s="1"/>
  <c r="B214" i="7"/>
  <c r="E214" i="7" l="1"/>
  <c r="C214" i="7"/>
  <c r="D214" i="7" s="1"/>
  <c r="B215" i="7" s="1"/>
  <c r="C215" i="7" l="1"/>
  <c r="D215" i="7" s="1"/>
  <c r="B216" i="7"/>
  <c r="E215" i="7"/>
  <c r="E216" i="7" l="1"/>
  <c r="C216" i="7"/>
  <c r="D216" i="7" s="1"/>
  <c r="B217" i="7" s="1"/>
  <c r="E217" i="7" l="1"/>
  <c r="C217" i="7"/>
  <c r="D217" i="7" s="1"/>
  <c r="B218" i="7" s="1"/>
  <c r="C218" i="7" l="1"/>
  <c r="D218" i="7" s="1"/>
  <c r="B219" i="7"/>
  <c r="E218" i="7"/>
  <c r="C219" i="7" l="1"/>
  <c r="D219" i="7" s="1"/>
  <c r="B220" i="7"/>
  <c r="E219" i="7"/>
  <c r="E220" i="7" l="1"/>
  <c r="C220" i="7"/>
  <c r="D220" i="7" s="1"/>
  <c r="B221" i="7" s="1"/>
  <c r="C221" i="7" l="1"/>
  <c r="D221" i="7" s="1"/>
  <c r="B222" i="7"/>
  <c r="E221" i="7"/>
  <c r="E222" i="7" l="1"/>
  <c r="C222" i="7"/>
  <c r="D222" i="7" s="1"/>
  <c r="B223" i="7"/>
  <c r="E223" i="7" l="1"/>
  <c r="C223" i="7"/>
  <c r="D223" i="7" s="1"/>
  <c r="B224" i="7" s="1"/>
  <c r="C224" i="7" l="1"/>
  <c r="D224" i="7" s="1"/>
  <c r="E224" i="7"/>
  <c r="B225" i="7"/>
  <c r="E225" i="7" l="1"/>
  <c r="C225" i="7"/>
  <c r="D225" i="7" s="1"/>
  <c r="B226" i="7" s="1"/>
  <c r="C226" i="7" l="1"/>
  <c r="D226" i="7" s="1"/>
  <c r="B227" i="7" s="1"/>
  <c r="E226" i="7"/>
  <c r="C227" i="7" l="1"/>
  <c r="D227" i="7" s="1"/>
  <c r="B228" i="7"/>
  <c r="E227" i="7"/>
  <c r="E228" i="7" l="1"/>
  <c r="C228" i="7"/>
  <c r="D228" i="7" s="1"/>
  <c r="B229" i="7" s="1"/>
  <c r="C229" i="7" l="1"/>
  <c r="D229" i="7" s="1"/>
  <c r="B230" i="7"/>
  <c r="E229" i="7"/>
  <c r="E230" i="7" l="1"/>
  <c r="C230" i="7"/>
  <c r="D230" i="7" s="1"/>
  <c r="B231" i="7" s="1"/>
  <c r="C231" i="7" l="1"/>
  <c r="D231" i="7" s="1"/>
  <c r="B232" i="7"/>
  <c r="E231" i="7"/>
  <c r="E232" i="7" l="1"/>
  <c r="C232" i="7"/>
  <c r="D232" i="7" s="1"/>
  <c r="B233" i="7" s="1"/>
  <c r="C233" i="7" l="1"/>
  <c r="D233" i="7" s="1"/>
  <c r="B234" i="7"/>
  <c r="E233" i="7"/>
  <c r="E234" i="7" l="1"/>
  <c r="C234" i="7"/>
  <c r="D234" i="7" s="1"/>
  <c r="B235" i="7" s="1"/>
  <c r="E235" i="7" l="1"/>
  <c r="C235" i="7"/>
  <c r="D235" i="7" s="1"/>
  <c r="B236" i="7"/>
  <c r="C236" i="7" l="1"/>
  <c r="D236" i="7" s="1"/>
  <c r="B237" i="7" s="1"/>
  <c r="E236" i="7"/>
  <c r="C237" i="7" l="1"/>
  <c r="D237" i="7" s="1"/>
  <c r="B238" i="7"/>
  <c r="E237" i="7"/>
  <c r="C238" i="7" l="1"/>
  <c r="D238" i="7" s="1"/>
  <c r="B239" i="7" s="1"/>
  <c r="E238" i="7"/>
  <c r="C239" i="7" l="1"/>
  <c r="D239" i="7" s="1"/>
  <c r="B240" i="7" s="1"/>
  <c r="E239" i="7"/>
  <c r="C240" i="7" l="1"/>
  <c r="D240" i="7" s="1"/>
  <c r="B241" i="7"/>
  <c r="E240" i="7"/>
  <c r="C241" i="7" l="1"/>
  <c r="D241" i="7" s="1"/>
  <c r="B242" i="7" s="1"/>
  <c r="E241" i="7"/>
  <c r="E242" i="7" l="1"/>
  <c r="C242" i="7"/>
  <c r="D242" i="7" s="1"/>
  <c r="B243" i="7" s="1"/>
  <c r="E243" i="7" l="1"/>
  <c r="C243" i="7"/>
  <c r="D243" i="7" s="1"/>
  <c r="B244" i="7" s="1"/>
  <c r="C244" i="7" l="1"/>
  <c r="D244" i="7" s="1"/>
  <c r="B245" i="7"/>
  <c r="E244" i="7"/>
  <c r="C245" i="7" l="1"/>
  <c r="D245" i="7" s="1"/>
  <c r="E245" i="7"/>
  <c r="B246" i="7"/>
  <c r="E246" i="7" l="1"/>
  <c r="C246" i="7"/>
  <c r="D246" i="7" s="1"/>
  <c r="B247" i="7" s="1"/>
  <c r="E247" i="7" l="1"/>
  <c r="C247" i="7"/>
  <c r="D247" i="7" s="1"/>
  <c r="B248" i="7" s="1"/>
  <c r="C248" i="7" l="1"/>
  <c r="D248" i="7" s="1"/>
  <c r="E248" i="7"/>
  <c r="B249" i="7"/>
  <c r="E249" i="7" l="1"/>
  <c r="C249" i="7"/>
  <c r="D249" i="7" s="1"/>
  <c r="B250" i="7" s="1"/>
  <c r="E250" i="7" l="1"/>
  <c r="C250" i="7"/>
  <c r="D250" i="7" s="1"/>
  <c r="B251" i="7" s="1"/>
  <c r="E251" i="7" l="1"/>
  <c r="C251" i="7"/>
  <c r="D251" i="7" s="1"/>
  <c r="B252" i="7"/>
  <c r="E252" i="7" l="1"/>
  <c r="C252" i="7"/>
  <c r="D252" i="7" s="1"/>
  <c r="B253" i="7"/>
  <c r="E253" i="7" l="1"/>
  <c r="C253" i="7"/>
  <c r="D253" i="7" s="1"/>
  <c r="B254" i="7" s="1"/>
  <c r="C254" i="7" l="1"/>
  <c r="D254" i="7" s="1"/>
  <c r="B255" i="7"/>
  <c r="E254" i="7"/>
  <c r="E255" i="7" l="1"/>
  <c r="C255" i="7"/>
  <c r="D255" i="7" s="1"/>
  <c r="B256" i="7"/>
  <c r="C256" i="7" l="1"/>
  <c r="D256" i="7" s="1"/>
  <c r="B257" i="7" s="1"/>
  <c r="E256" i="7"/>
  <c r="C257" i="7" l="1"/>
  <c r="D257" i="7" s="1"/>
  <c r="B258" i="7" s="1"/>
  <c r="E257" i="7"/>
  <c r="C258" i="7" l="1"/>
  <c r="D258" i="7" s="1"/>
  <c r="E258" i="7"/>
  <c r="B259" i="7"/>
  <c r="E259" i="7" l="1"/>
  <c r="C259" i="7"/>
  <c r="D259" i="7" s="1"/>
  <c r="B260" i="7" s="1"/>
  <c r="C260" i="7" l="1"/>
  <c r="D260" i="7" s="1"/>
  <c r="E260" i="7"/>
  <c r="B261" i="7"/>
  <c r="C261" i="7" l="1"/>
  <c r="D261" i="7" s="1"/>
  <c r="B262" i="7" s="1"/>
  <c r="E261" i="7"/>
  <c r="C262" i="7" l="1"/>
  <c r="D262" i="7" s="1"/>
  <c r="B263" i="7"/>
  <c r="E262" i="7"/>
  <c r="C263" i="7" l="1"/>
  <c r="D263" i="7" s="1"/>
  <c r="B264" i="7"/>
  <c r="E263" i="7"/>
  <c r="C264" i="7" l="1"/>
  <c r="D264" i="7" s="1"/>
  <c r="B265" i="7" s="1"/>
  <c r="E264" i="7"/>
  <c r="E265" i="7" l="1"/>
  <c r="C265" i="7"/>
  <c r="D265" i="7" s="1"/>
  <c r="B266" i="7"/>
  <c r="E266" i="7" l="1"/>
  <c r="C266" i="7"/>
  <c r="D266" i="7" s="1"/>
  <c r="B267" i="7" s="1"/>
  <c r="C267" i="7" l="1"/>
  <c r="D267" i="7" s="1"/>
  <c r="B268" i="7"/>
  <c r="E267" i="7"/>
  <c r="C268" i="7" l="1"/>
  <c r="D268" i="7" s="1"/>
  <c r="B269" i="7"/>
  <c r="E268" i="7"/>
  <c r="C269" i="7" l="1"/>
  <c r="D269" i="7" s="1"/>
  <c r="B270" i="7"/>
  <c r="E269" i="7"/>
  <c r="E270" i="7" l="1"/>
  <c r="C270" i="7"/>
  <c r="D270" i="7" s="1"/>
  <c r="B271" i="7" s="1"/>
  <c r="C271" i="7" l="1"/>
  <c r="D271" i="7" s="1"/>
  <c r="B272" i="7"/>
  <c r="E271" i="7"/>
  <c r="C272" i="7" l="1"/>
  <c r="D272" i="7" s="1"/>
  <c r="B273" i="7" s="1"/>
  <c r="E272" i="7"/>
  <c r="C273" i="7" l="1"/>
  <c r="D273" i="7" s="1"/>
  <c r="B274" i="7"/>
  <c r="E273" i="7"/>
  <c r="C274" i="7" l="1"/>
  <c r="D274" i="7" s="1"/>
  <c r="B275" i="7" s="1"/>
  <c r="E274" i="7"/>
  <c r="E275" i="7" l="1"/>
  <c r="C275" i="7"/>
  <c r="D275" i="7" s="1"/>
  <c r="B276" i="7" s="1"/>
  <c r="E276" i="7" l="1"/>
  <c r="C276" i="7"/>
  <c r="D276" i="7" s="1"/>
  <c r="B277" i="7" s="1"/>
  <c r="E277" i="7" l="1"/>
  <c r="C277" i="7"/>
  <c r="D277" i="7" s="1"/>
  <c r="B278" i="7" s="1"/>
  <c r="C278" i="7" l="1"/>
  <c r="D278" i="7" s="1"/>
  <c r="E278" i="7"/>
  <c r="B279" i="7"/>
  <c r="E279" i="7" l="1"/>
  <c r="C279" i="7"/>
  <c r="D279" i="7" s="1"/>
  <c r="B280" i="7" s="1"/>
  <c r="C280" i="7" l="1"/>
  <c r="D280" i="7" s="1"/>
  <c r="B281" i="7" s="1"/>
  <c r="E280" i="7"/>
  <c r="E281" i="7" l="1"/>
  <c r="C281" i="7"/>
  <c r="D281" i="7" s="1"/>
  <c r="B282" i="7" s="1"/>
  <c r="E282" i="7" l="1"/>
  <c r="C282" i="7"/>
  <c r="D282" i="7" s="1"/>
  <c r="B283" i="7" s="1"/>
  <c r="C283" i="7" l="1"/>
  <c r="D283" i="7" s="1"/>
  <c r="B284" i="7" s="1"/>
  <c r="E283" i="7"/>
  <c r="C284" i="7" l="1"/>
  <c r="D284" i="7" s="1"/>
  <c r="B285" i="7"/>
  <c r="E284" i="7"/>
  <c r="E285" i="7" l="1"/>
  <c r="C285" i="7"/>
  <c r="D285" i="7" s="1"/>
  <c r="B286" i="7" s="1"/>
  <c r="C286" i="7" l="1"/>
  <c r="D286" i="7" s="1"/>
  <c r="B287" i="7"/>
  <c r="E286" i="7"/>
  <c r="E287" i="7" l="1"/>
  <c r="C287" i="7"/>
  <c r="D287" i="7" s="1"/>
  <c r="B288" i="7" s="1"/>
  <c r="E288" i="7" l="1"/>
  <c r="C288" i="7"/>
  <c r="D288" i="7" s="1"/>
  <c r="B289" i="7" s="1"/>
  <c r="C289" i="7" l="1"/>
  <c r="D289" i="7" s="1"/>
  <c r="B290" i="7" s="1"/>
  <c r="E289" i="7"/>
  <c r="E290" i="7" l="1"/>
  <c r="C290" i="7"/>
  <c r="D290" i="7" s="1"/>
  <c r="B291" i="7" s="1"/>
  <c r="E291" i="7" l="1"/>
  <c r="C291" i="7"/>
  <c r="D291" i="7" s="1"/>
  <c r="B292" i="7" s="1"/>
  <c r="E292" i="7" l="1"/>
  <c r="C292" i="7"/>
  <c r="D292" i="7" s="1"/>
  <c r="B293" i="7"/>
  <c r="E293" i="7" l="1"/>
  <c r="C293" i="7"/>
  <c r="D293" i="7" s="1"/>
  <c r="B294" i="7" s="1"/>
  <c r="C294" i="7" l="1"/>
  <c r="D294" i="7" s="1"/>
  <c r="B295" i="7"/>
  <c r="E294" i="7"/>
  <c r="E295" i="7" l="1"/>
  <c r="C295" i="7"/>
  <c r="D295" i="7" s="1"/>
  <c r="B296" i="7"/>
  <c r="E296" i="7" l="1"/>
  <c r="C296" i="7"/>
  <c r="D296" i="7" s="1"/>
  <c r="B297" i="7"/>
  <c r="E297" i="7" l="1"/>
  <c r="C297" i="7"/>
  <c r="D297" i="7" s="1"/>
  <c r="B298" i="7" s="1"/>
  <c r="C298" i="7" l="1"/>
  <c r="D298" i="7" s="1"/>
  <c r="B299" i="7"/>
  <c r="E298" i="7"/>
  <c r="E299" i="7" l="1"/>
  <c r="C299" i="7"/>
  <c r="D299" i="7" s="1"/>
  <c r="B300" i="7" s="1"/>
  <c r="C300" i="7" l="1"/>
  <c r="D300" i="7" s="1"/>
  <c r="B301" i="7"/>
  <c r="E300" i="7"/>
  <c r="C301" i="7" l="1"/>
  <c r="D301" i="7" s="1"/>
  <c r="B302" i="7" s="1"/>
  <c r="E301" i="7"/>
  <c r="E302" i="7" l="1"/>
  <c r="C302" i="7"/>
  <c r="D302" i="7" s="1"/>
  <c r="B303" i="7" s="1"/>
  <c r="E303" i="7" l="1"/>
  <c r="C303" i="7"/>
  <c r="D303" i="7" s="1"/>
  <c r="B304" i="7" s="1"/>
  <c r="E304" i="7" l="1"/>
  <c r="C304" i="7"/>
  <c r="D304" i="7" s="1"/>
  <c r="B305" i="7" s="1"/>
  <c r="C305" i="7" l="1"/>
  <c r="D305" i="7" s="1"/>
  <c r="E305" i="7"/>
  <c r="B306" i="7"/>
  <c r="C306" i="7" l="1"/>
  <c r="D306" i="7" s="1"/>
  <c r="B307" i="7"/>
  <c r="E306" i="7"/>
  <c r="C307" i="7" l="1"/>
  <c r="D307" i="7" s="1"/>
  <c r="B308" i="7"/>
  <c r="E307" i="7"/>
  <c r="E308" i="7" l="1"/>
  <c r="C308" i="7"/>
  <c r="D308" i="7" s="1"/>
  <c r="B309" i="7" s="1"/>
  <c r="C309" i="7" l="1"/>
  <c r="D309" i="7" s="1"/>
  <c r="B310" i="7" s="1"/>
  <c r="E309" i="7"/>
  <c r="E310" i="7" l="1"/>
  <c r="C310" i="7"/>
  <c r="D310" i="7" s="1"/>
  <c r="B311" i="7" s="1"/>
  <c r="C311" i="7" l="1"/>
  <c r="D311" i="7" s="1"/>
  <c r="B312" i="7" s="1"/>
  <c r="E311" i="7"/>
  <c r="C312" i="7" l="1"/>
  <c r="D312" i="7" s="1"/>
  <c r="B313" i="7" s="1"/>
  <c r="E312" i="7"/>
  <c r="C313" i="7" l="1"/>
  <c r="D313" i="7" s="1"/>
  <c r="E313" i="7"/>
  <c r="B314" i="7"/>
  <c r="E314" i="7" l="1"/>
  <c r="C314" i="7"/>
  <c r="D314" i="7" s="1"/>
  <c r="B315" i="7" s="1"/>
  <c r="C315" i="7" l="1"/>
  <c r="D315" i="7" s="1"/>
  <c r="B316" i="7"/>
  <c r="E315" i="7"/>
  <c r="E316" i="7" l="1"/>
  <c r="C316" i="7"/>
  <c r="D316" i="7" s="1"/>
  <c r="B317" i="7" s="1"/>
  <c r="E317" i="7" l="1"/>
  <c r="C317" i="7"/>
  <c r="D317" i="7" s="1"/>
  <c r="B318" i="7" s="1"/>
  <c r="E318" i="7" l="1"/>
  <c r="C318" i="7"/>
  <c r="D318" i="7" s="1"/>
  <c r="B319" i="7" s="1"/>
  <c r="E319" i="7" l="1"/>
  <c r="C319" i="7"/>
  <c r="D319" i="7" s="1"/>
  <c r="B320" i="7" s="1"/>
  <c r="E320" i="7" l="1"/>
  <c r="C320" i="7"/>
  <c r="D320" i="7" s="1"/>
  <c r="B321" i="7" s="1"/>
  <c r="E321" i="7" l="1"/>
  <c r="C321" i="7"/>
  <c r="D321" i="7" s="1"/>
  <c r="B322" i="7" s="1"/>
  <c r="C322" i="7" l="1"/>
  <c r="D322" i="7" s="1"/>
  <c r="B323" i="7" s="1"/>
  <c r="E322" i="7"/>
  <c r="E323" i="7" l="1"/>
  <c r="C323" i="7"/>
  <c r="D323" i="7" s="1"/>
  <c r="B324" i="7" s="1"/>
  <c r="C324" i="7" l="1"/>
  <c r="D324" i="7" s="1"/>
  <c r="E324" i="7"/>
  <c r="B325" i="7"/>
  <c r="C325" i="7" l="1"/>
  <c r="D325" i="7" s="1"/>
  <c r="E325" i="7"/>
  <c r="B326" i="7"/>
  <c r="C326" i="7" l="1"/>
  <c r="D326" i="7" s="1"/>
  <c r="E326" i="7"/>
  <c r="B327" i="7"/>
  <c r="C327" i="7" l="1"/>
  <c r="D327" i="7" s="1"/>
  <c r="B328" i="7"/>
  <c r="E327" i="7"/>
  <c r="C328" i="7" l="1"/>
  <c r="D328" i="7" s="1"/>
  <c r="B329" i="7" s="1"/>
  <c r="E328" i="7"/>
  <c r="C329" i="7" l="1"/>
  <c r="D329" i="7" s="1"/>
  <c r="B330" i="7"/>
  <c r="E329" i="7"/>
  <c r="C330" i="7" l="1"/>
  <c r="D330" i="7" s="1"/>
  <c r="B331" i="7"/>
  <c r="E330" i="7"/>
  <c r="E331" i="7" l="1"/>
  <c r="C331" i="7"/>
  <c r="D331" i="7" s="1"/>
  <c r="B332" i="7" s="1"/>
  <c r="C332" i="7" l="1"/>
  <c r="D332" i="7" s="1"/>
  <c r="B333" i="7" s="1"/>
  <c r="E332" i="7"/>
  <c r="E333" i="7" l="1"/>
  <c r="C333" i="7"/>
  <c r="D333" i="7" s="1"/>
  <c r="B334" i="7"/>
  <c r="E334" i="7" l="1"/>
  <c r="C334" i="7"/>
  <c r="D334" i="7" s="1"/>
  <c r="B335" i="7" s="1"/>
  <c r="C335" i="7" l="1"/>
  <c r="D335" i="7" s="1"/>
  <c r="B336" i="7"/>
  <c r="E335" i="7"/>
  <c r="E336" i="7" l="1"/>
  <c r="C336" i="7"/>
  <c r="D336" i="7" s="1"/>
  <c r="B337" i="7" s="1"/>
  <c r="C337" i="7" l="1"/>
  <c r="D337" i="7" s="1"/>
  <c r="E337" i="7"/>
  <c r="B338" i="7"/>
  <c r="E338" i="7" l="1"/>
  <c r="C338" i="7"/>
  <c r="D338" i="7" s="1"/>
  <c r="B339" i="7" s="1"/>
  <c r="E339" i="7" l="1"/>
  <c r="C339" i="7"/>
  <c r="D339" i="7" s="1"/>
  <c r="B340" i="7"/>
  <c r="C340" i="7" l="1"/>
  <c r="D340" i="7" s="1"/>
  <c r="B341" i="7"/>
  <c r="E340" i="7"/>
  <c r="C341" i="7" l="1"/>
  <c r="D341" i="7" s="1"/>
  <c r="B342" i="7"/>
  <c r="E341" i="7"/>
  <c r="C342" i="7" l="1"/>
  <c r="D342" i="7" s="1"/>
  <c r="B343" i="7" s="1"/>
  <c r="E342" i="7"/>
  <c r="E343" i="7" l="1"/>
  <c r="C343" i="7"/>
  <c r="D343" i="7" s="1"/>
  <c r="B344" i="7" s="1"/>
  <c r="E344" i="7" l="1"/>
  <c r="C344" i="7"/>
  <c r="D344" i="7" s="1"/>
  <c r="B345" i="7" s="1"/>
  <c r="E345" i="7" l="1"/>
  <c r="C345" i="7"/>
  <c r="D345" i="7" s="1"/>
  <c r="B346" i="7" s="1"/>
  <c r="E346" i="7" l="1"/>
  <c r="C346" i="7"/>
  <c r="D346" i="7" s="1"/>
  <c r="B347" i="7" s="1"/>
  <c r="E347" i="7" l="1"/>
  <c r="C347" i="7"/>
  <c r="D347" i="7" s="1"/>
  <c r="B348" i="7" s="1"/>
  <c r="C348" i="7" l="1"/>
  <c r="D348" i="7" s="1"/>
  <c r="B349" i="7"/>
  <c r="E348" i="7"/>
  <c r="E349" i="7" l="1"/>
  <c r="C349" i="7"/>
  <c r="D349" i="7" s="1"/>
  <c r="B350" i="7" s="1"/>
  <c r="E350" i="7" l="1"/>
  <c r="C350" i="7"/>
  <c r="D350" i="7" s="1"/>
  <c r="B351" i="7" s="1"/>
  <c r="C351" i="7" l="1"/>
  <c r="D351" i="7" s="1"/>
  <c r="B352" i="7"/>
  <c r="E351" i="7"/>
  <c r="E352" i="7" l="1"/>
  <c r="C352" i="7"/>
  <c r="D352" i="7" s="1"/>
  <c r="B353" i="7" s="1"/>
  <c r="E353" i="7" l="1"/>
  <c r="C353" i="7"/>
  <c r="D353" i="7" s="1"/>
  <c r="B354" i="7" s="1"/>
  <c r="E354" i="7" l="1"/>
  <c r="C354" i="7"/>
  <c r="D354" i="7" s="1"/>
  <c r="B355" i="7"/>
  <c r="E355" i="7" l="1"/>
  <c r="C355" i="7"/>
  <c r="D355" i="7" s="1"/>
  <c r="B356" i="7" s="1"/>
  <c r="C356" i="7" l="1"/>
  <c r="D356" i="7" s="1"/>
  <c r="B357" i="7"/>
  <c r="E356" i="7"/>
  <c r="E357" i="7" l="1"/>
  <c r="C357" i="7"/>
  <c r="D357" i="7" s="1"/>
  <c r="B358" i="7" s="1"/>
  <c r="C358" i="7" l="1"/>
  <c r="D358" i="7" s="1"/>
  <c r="B359" i="7" s="1"/>
  <c r="E358" i="7"/>
  <c r="C359" i="7" l="1"/>
  <c r="D359" i="7" s="1"/>
  <c r="B360" i="7" s="1"/>
  <c r="E359" i="7"/>
  <c r="E360" i="7" l="1"/>
  <c r="C360" i="7"/>
  <c r="D360" i="7" s="1"/>
  <c r="B361" i="7" s="1"/>
  <c r="C361" i="7" l="1"/>
  <c r="D361" i="7" s="1"/>
  <c r="B362" i="7"/>
  <c r="E361" i="7"/>
  <c r="C362" i="7" l="1"/>
  <c r="D362" i="7" s="1"/>
  <c r="B363" i="7" s="1"/>
  <c r="E362" i="7"/>
  <c r="E363" i="7" l="1"/>
  <c r="C363" i="7"/>
  <c r="D363" i="7" s="1"/>
  <c r="B364" i="7"/>
  <c r="C364" i="7" l="1"/>
  <c r="D364" i="7" s="1"/>
  <c r="B365" i="7"/>
  <c r="E364" i="7"/>
  <c r="E365" i="7" l="1"/>
  <c r="C365" i="7"/>
  <c r="D365" i="7" s="1"/>
  <c r="B366" i="7"/>
  <c r="E366" i="7" l="1"/>
  <c r="C366" i="7"/>
  <c r="D366" i="7" s="1"/>
  <c r="B367" i="7" s="1"/>
  <c r="C367" i="7" l="1"/>
  <c r="D367" i="7" s="1"/>
  <c r="B368" i="7"/>
  <c r="E367" i="7"/>
  <c r="E368" i="7" l="1"/>
  <c r="C368" i="7"/>
  <c r="D368" i="7" s="1"/>
  <c r="B369" i="7" s="1"/>
  <c r="C369" i="7" l="1"/>
  <c r="D369" i="7" s="1"/>
  <c r="E369" i="7"/>
  <c r="B370" i="7"/>
  <c r="E370" i="7" l="1"/>
  <c r="C370" i="7"/>
  <c r="D370" i="7" s="1"/>
  <c r="B371" i="7" s="1"/>
  <c r="C371" i="7" l="1"/>
  <c r="D371" i="7" s="1"/>
  <c r="B372" i="7" s="1"/>
  <c r="E371" i="7"/>
  <c r="C372" i="7" l="1"/>
  <c r="D372" i="7" s="1"/>
  <c r="B373" i="7"/>
  <c r="E372" i="7"/>
  <c r="E373" i="7" l="1"/>
  <c r="C373" i="7"/>
  <c r="D373" i="7" s="1"/>
  <c r="B374" i="7" s="1"/>
  <c r="E374" i="7" l="1"/>
  <c r="C374" i="7"/>
  <c r="D374" i="7" s="1"/>
  <c r="B375" i="7" s="1"/>
  <c r="E375" i="7" l="1"/>
  <c r="C375" i="7"/>
  <c r="D375" i="7" s="1"/>
  <c r="B376" i="7" s="1"/>
  <c r="C376" i="7" l="1"/>
  <c r="D376" i="7" s="1"/>
  <c r="B377" i="7" s="1"/>
  <c r="E376" i="7"/>
  <c r="E377" i="7" l="1"/>
  <c r="C377" i="7"/>
  <c r="D377" i="7" s="1"/>
  <c r="B378" i="7" s="1"/>
  <c r="C378" i="7" l="1"/>
  <c r="D378" i="7" s="1"/>
  <c r="B379" i="7"/>
  <c r="E378" i="7"/>
  <c r="E379" i="7" l="1"/>
  <c r="C379" i="7"/>
  <c r="D379" i="7" s="1"/>
  <c r="B380" i="7" s="1"/>
  <c r="C380" i="7" l="1"/>
  <c r="D380" i="7" s="1"/>
  <c r="B381" i="7"/>
  <c r="E380" i="7"/>
  <c r="E381" i="7" l="1"/>
  <c r="C381" i="7"/>
  <c r="D381" i="7" s="1"/>
  <c r="B382" i="7" s="1"/>
  <c r="E382" i="7" l="1"/>
  <c r="C382" i="7"/>
  <c r="D382" i="7" s="1"/>
  <c r="B383" i="7"/>
  <c r="C383" i="7" l="1"/>
  <c r="D383" i="7" s="1"/>
  <c r="B384" i="7"/>
  <c r="E383" i="7"/>
  <c r="E384" i="7" l="1"/>
  <c r="C384" i="7"/>
  <c r="D384" i="7" s="1"/>
  <c r="B385" i="7"/>
  <c r="C385" i="7" l="1"/>
  <c r="D385" i="7" s="1"/>
  <c r="B386" i="7"/>
  <c r="E385" i="7"/>
  <c r="E386" i="7" l="1"/>
  <c r="C386" i="7"/>
  <c r="D386" i="7" s="1"/>
  <c r="B387" i="7" s="1"/>
  <c r="E387" i="7" l="1"/>
  <c r="C387" i="7"/>
  <c r="D387" i="7" s="1"/>
  <c r="B388" i="7" s="1"/>
  <c r="E388" i="7" l="1"/>
  <c r="C388" i="7"/>
  <c r="D388" i="7" s="1"/>
  <c r="B389" i="7"/>
  <c r="E389" i="7" l="1"/>
  <c r="C389" i="7"/>
  <c r="D389" i="7" s="1"/>
  <c r="B390" i="7" s="1"/>
  <c r="C390" i="7" l="1"/>
  <c r="D390" i="7" s="1"/>
  <c r="E390" i="7"/>
  <c r="B391" i="7"/>
  <c r="E391" i="7" l="1"/>
  <c r="C391" i="7"/>
  <c r="D391" i="7" s="1"/>
  <c r="B392" i="7" s="1"/>
  <c r="E392" i="7" l="1"/>
  <c r="C392" i="7"/>
  <c r="D392" i="7" s="1"/>
  <c r="B393" i="7" s="1"/>
  <c r="C393" i="7" l="1"/>
  <c r="D393" i="7" s="1"/>
  <c r="B394" i="7"/>
  <c r="E393" i="7"/>
  <c r="E394" i="7" l="1"/>
  <c r="C394" i="7"/>
  <c r="D394" i="7" s="1"/>
  <c r="B395" i="7" s="1"/>
  <c r="E395" i="7" l="1"/>
  <c r="C395" i="7"/>
  <c r="D395" i="7" s="1"/>
  <c r="B396" i="7" s="1"/>
  <c r="C396" i="7" l="1"/>
  <c r="D396" i="7" s="1"/>
  <c r="B397" i="7"/>
  <c r="E396" i="7"/>
  <c r="E397" i="7" l="1"/>
  <c r="C397" i="7"/>
  <c r="D397" i="7" s="1"/>
  <c r="B398" i="7" s="1"/>
  <c r="E398" i="7" l="1"/>
  <c r="C398" i="7"/>
  <c r="D398" i="7" s="1"/>
  <c r="B399" i="7"/>
  <c r="E399" i="7" l="1"/>
  <c r="C399" i="7"/>
  <c r="D399" i="7" s="1"/>
  <c r="B400" i="7" s="1"/>
  <c r="E400" i="7" l="1"/>
  <c r="C400" i="7"/>
  <c r="D400" i="7" s="1"/>
  <c r="B401" i="7"/>
  <c r="C401" i="7" l="1"/>
  <c r="D401" i="7" s="1"/>
  <c r="B402" i="7" s="1"/>
  <c r="E401" i="7"/>
  <c r="E402" i="7" l="1"/>
  <c r="C402" i="7"/>
  <c r="D402" i="7" s="1"/>
  <c r="B403" i="7" s="1"/>
  <c r="E403" i="7" l="1"/>
  <c r="C403" i="7"/>
  <c r="D403" i="7" s="1"/>
  <c r="B404" i="7" s="1"/>
  <c r="E404" i="7" l="1"/>
  <c r="C404" i="7"/>
  <c r="D404" i="7" s="1"/>
  <c r="B405" i="7" s="1"/>
  <c r="E405" i="7" l="1"/>
  <c r="C405" i="7"/>
  <c r="D405" i="7" s="1"/>
  <c r="B406" i="7" s="1"/>
  <c r="C406" i="7" l="1"/>
  <c r="D406" i="7" s="1"/>
  <c r="B407" i="7"/>
  <c r="E406" i="7"/>
  <c r="C407" i="7" l="1"/>
  <c r="D407" i="7" s="1"/>
  <c r="B408" i="7" s="1"/>
  <c r="E407" i="7"/>
  <c r="C408" i="7" l="1"/>
  <c r="D408" i="7" s="1"/>
  <c r="B409" i="7" s="1"/>
  <c r="E408" i="7"/>
  <c r="E409" i="7" l="1"/>
  <c r="C409" i="7"/>
  <c r="D409" i="7" s="1"/>
  <c r="B410" i="7" s="1"/>
  <c r="E410" i="7" l="1"/>
  <c r="C410" i="7"/>
  <c r="D410" i="7" s="1"/>
  <c r="B411" i="7" s="1"/>
  <c r="E411" i="7" l="1"/>
  <c r="C411" i="7"/>
  <c r="D411" i="7" s="1"/>
  <c r="B412" i="7" s="1"/>
  <c r="C412" i="7" l="1"/>
  <c r="D412" i="7" s="1"/>
  <c r="E412" i="7"/>
</calcChain>
</file>

<file path=xl/sharedStrings.xml><?xml version="1.0" encoding="utf-8"?>
<sst xmlns="http://schemas.openxmlformats.org/spreadsheetml/2006/main" count="1150" uniqueCount="873">
  <si>
    <t>Light Year</t>
  </si>
  <si>
    <t>Accelleration Rate:</t>
  </si>
  <si>
    <t>ly</t>
  </si>
  <si>
    <t>m</t>
  </si>
  <si>
    <t>m/s/s</t>
  </si>
  <si>
    <t>s</t>
  </si>
  <si>
    <t>Turn-Around Distance</t>
  </si>
  <si>
    <t>year</t>
  </si>
  <si>
    <t>Accelleration</t>
  </si>
  <si>
    <t>Distance</t>
  </si>
  <si>
    <t>Seconds in year</t>
  </si>
  <si>
    <t>G</t>
  </si>
  <si>
    <t>dt</t>
  </si>
  <si>
    <t>Year</t>
  </si>
  <si>
    <t>Lorentz Factor (ymid)</t>
  </si>
  <si>
    <t>Travel time (ship)</t>
  </si>
  <si>
    <t>Trave time (map)</t>
  </si>
  <si>
    <t>Speed of Light</t>
  </si>
  <si>
    <t>Total</t>
  </si>
  <si>
    <t>Soil Depth</t>
  </si>
  <si>
    <t>m^2</t>
  </si>
  <si>
    <t>Beam Capacity</t>
  </si>
  <si>
    <t>Mass per m</t>
  </si>
  <si>
    <t>kg/m</t>
  </si>
  <si>
    <t>Soil Mass</t>
  </si>
  <si>
    <t>Propulsion System</t>
  </si>
  <si>
    <t>Total Vehicle Mass</t>
  </si>
  <si>
    <t>Mass of eros</t>
  </si>
  <si>
    <t>million m^2</t>
  </si>
  <si>
    <t>American football fields</t>
  </si>
  <si>
    <t>Acres</t>
  </si>
  <si>
    <t>Square Miles</t>
  </si>
  <si>
    <t>Death</t>
  </si>
  <si>
    <t>Death Rate Info https://www.allcountries.org/uscensus/129_death_and_death_rates_by_age.html</t>
  </si>
  <si>
    <t>DT</t>
  </si>
  <si>
    <t>Elderly %</t>
  </si>
  <si>
    <t>Peak</t>
  </si>
  <si>
    <t>Min</t>
  </si>
  <si>
    <t>Final</t>
  </si>
  <si>
    <t>Natural</t>
  </si>
  <si>
    <t>Selected</t>
  </si>
  <si>
    <t>Seed Females</t>
  </si>
  <si>
    <t>M/F Ratio</t>
  </si>
  <si>
    <t>Seed Male</t>
  </si>
  <si>
    <t>Survival Rate</t>
  </si>
  <si>
    <t>Child/Female</t>
  </si>
  <si>
    <t>Fertile Female</t>
  </si>
  <si>
    <t>Over 70</t>
  </si>
  <si>
    <t>Children</t>
  </si>
  <si>
    <t>Pop Max</t>
  </si>
  <si>
    <t>Pop Start</t>
  </si>
  <si>
    <t>kg</t>
  </si>
  <si>
    <t>Mass of ceres</t>
  </si>
  <si>
    <t>Fuel Mass</t>
  </si>
  <si>
    <t>e = m c^2</t>
  </si>
  <si>
    <t>https://f4e.europa.eu/understandingfusion/merits.aspx</t>
  </si>
  <si>
    <t>Impulse</t>
  </si>
  <si>
    <t>Deuterium</t>
  </si>
  <si>
    <t>Lithium</t>
  </si>
  <si>
    <t>https://www.space.com/37146-nuclear-fusion-rockets-interstellar-spaceflight.html</t>
  </si>
  <si>
    <t>https://earthsky.org/space/rosettas-comet-fuels-debate-on-origin-of-earths-oceans</t>
  </si>
  <si>
    <t>comet 3x deuterium concentration</t>
  </si>
  <si>
    <t>Goal: 1 kW/kg fusion</t>
  </si>
  <si>
    <t>Mass of spacecraft * accelleration * time</t>
  </si>
  <si>
    <t>Dry Mass</t>
  </si>
  <si>
    <t>Fuel Consumption</t>
  </si>
  <si>
    <t>Vehicle Dry Mass</t>
  </si>
  <si>
    <t>Vehicle Mass</t>
  </si>
  <si>
    <t>Fuel Consumed</t>
  </si>
  <si>
    <t>Fuel Mass Estimate</t>
  </si>
  <si>
    <t>Nimitz Class Carriers</t>
  </si>
  <si>
    <t>Dry Mass Estimate</t>
  </si>
  <si>
    <t>Child %</t>
  </si>
  <si>
    <t>Seed Child</t>
  </si>
  <si>
    <t>Seed %</t>
  </si>
  <si>
    <t>Carry</t>
  </si>
  <si>
    <t>Promote</t>
  </si>
  <si>
    <t>Mass Consume</t>
  </si>
  <si>
    <t>Agriculture Calculations</t>
  </si>
  <si>
    <t>Graze Area</t>
  </si>
  <si>
    <t>km^2</t>
  </si>
  <si>
    <t>Max Dense</t>
  </si>
  <si>
    <t>Calf</t>
  </si>
  <si>
    <t>Oxen</t>
  </si>
  <si>
    <t>Cow</t>
  </si>
  <si>
    <t>Bull</t>
  </si>
  <si>
    <t>Heifer</t>
  </si>
  <si>
    <t>Year:</t>
  </si>
  <si>
    <t>calf</t>
  </si>
  <si>
    <t>Ox</t>
  </si>
  <si>
    <t>Cultivation</t>
  </si>
  <si>
    <t>https://en.wikipedia.org/wiki/Carucate</t>
  </si>
  <si>
    <t>Total Area:</t>
  </si>
  <si>
    <t>Oxen:</t>
  </si>
  <si>
    <t>https://www.drovers.com/article/breeding-season-bull-management</t>
  </si>
  <si>
    <t>Cows</t>
  </si>
  <si>
    <t>Bulls</t>
  </si>
  <si>
    <t>cow:bull</t>
  </si>
  <si>
    <t>Cull bull</t>
  </si>
  <si>
    <t>Cull Cow</t>
  </si>
  <si>
    <t>Beef Production</t>
  </si>
  <si>
    <t>Cull Ox</t>
  </si>
  <si>
    <t>Delta</t>
  </si>
  <si>
    <t>Harvest</t>
  </si>
  <si>
    <t>Target Population</t>
  </si>
  <si>
    <t>Milk</t>
  </si>
  <si>
    <t>Cow/Bull Ratio</t>
  </si>
  <si>
    <t>Steer</t>
  </si>
  <si>
    <t>Target Dairy:</t>
  </si>
  <si>
    <t>Beef / Head</t>
  </si>
  <si>
    <t>Target Beef/capita:</t>
  </si>
  <si>
    <t>Replacement Rate (Ox, Steer)</t>
  </si>
  <si>
    <t>Replacement Rate (Cow, Bull)</t>
  </si>
  <si>
    <t>https://en.wikipedia.org/wiki/List_of_countries_by_milk_consumption_per_capita</t>
  </si>
  <si>
    <t>kg/capita/year</t>
  </si>
  <si>
    <t>head</t>
  </si>
  <si>
    <t>Milk / Cow</t>
  </si>
  <si>
    <t>kg/cow/day</t>
  </si>
  <si>
    <t>Human Population</t>
  </si>
  <si>
    <t>Crops</t>
  </si>
  <si>
    <t>Wheat</t>
  </si>
  <si>
    <t>kg Per Capita</t>
  </si>
  <si>
    <t>kg / Hectare</t>
  </si>
  <si>
    <t>Potato</t>
  </si>
  <si>
    <t>Barley</t>
  </si>
  <si>
    <t>Total Area utilized</t>
  </si>
  <si>
    <t>Cotton</t>
  </si>
  <si>
    <t>Bamboo</t>
  </si>
  <si>
    <t>Apples</t>
  </si>
  <si>
    <t>Other Fruit</t>
  </si>
  <si>
    <t>Peanuts</t>
  </si>
  <si>
    <t>http://www.prep-blog.com/2013/04/18/survival-gardening-the-most-productive-calorie-crops/</t>
  </si>
  <si>
    <t>Amaranth</t>
  </si>
  <si>
    <t>Soybeans</t>
  </si>
  <si>
    <t>Quinoa</t>
  </si>
  <si>
    <t>Garlic</t>
  </si>
  <si>
    <t>Cargo Capacity</t>
  </si>
  <si>
    <t>http://www.projectrho.com/public_html/rocket/enginelist.php</t>
  </si>
  <si>
    <t>Radius</t>
  </si>
  <si>
    <t>km^2/acre</t>
  </si>
  <si>
    <t>km^2/hectare</t>
  </si>
  <si>
    <t>head/hectar</t>
  </si>
  <si>
    <t>Cocoa</t>
  </si>
  <si>
    <t>Coffee</t>
  </si>
  <si>
    <t>Tea</t>
  </si>
  <si>
    <t>grapes</t>
  </si>
  <si>
    <t>au</t>
  </si>
  <si>
    <t>hectare</t>
  </si>
  <si>
    <t>kg/person</t>
  </si>
  <si>
    <t>Cattle Range:</t>
  </si>
  <si>
    <t>Crops Range:</t>
  </si>
  <si>
    <t>Settlement Area:</t>
  </si>
  <si>
    <t>Plow</t>
  </si>
  <si>
    <t>Total allocated Area:</t>
  </si>
  <si>
    <t>Population</t>
  </si>
  <si>
    <t>Per Capita Usage</t>
  </si>
  <si>
    <t>Average Power Usage</t>
  </si>
  <si>
    <t>Efficiency</t>
  </si>
  <si>
    <t>Watt per kg</t>
  </si>
  <si>
    <t>Power System</t>
  </si>
  <si>
    <t>Safety Factor</t>
  </si>
  <si>
    <t>Mission Length</t>
  </si>
  <si>
    <t>Fuel Mass (Propulsion):</t>
  </si>
  <si>
    <t>Fuel Mass (Power):</t>
  </si>
  <si>
    <t>Survival Duration</t>
  </si>
  <si>
    <t>kg/w</t>
  </si>
  <si>
    <t>Fuel / mW</t>
  </si>
  <si>
    <t>7 billion kwh / 3100kg fuel</t>
  </si>
  <si>
    <t>kg/kwH</t>
  </si>
  <si>
    <t>(Assuming equivilent to early 21st century Iceland)</t>
  </si>
  <si>
    <t>kwH/yr</t>
  </si>
  <si>
    <t>Lighting Power Usage</t>
  </si>
  <si>
    <t>w</t>
  </si>
  <si>
    <t>kwh/yr -&gt; watt</t>
  </si>
  <si>
    <t>kg/kwh</t>
  </si>
  <si>
    <t>Hours/year</t>
  </si>
  <si>
    <t>Fusion Fuel Usage</t>
  </si>
  <si>
    <t>Lighting Mass / w</t>
  </si>
  <si>
    <t>kg/watt</t>
  </si>
  <si>
    <t>Fusion Power Mass</t>
  </si>
  <si>
    <t>Power System Fuel / yr</t>
  </si>
  <si>
    <t>Total Power System Fuel Mass:</t>
  </si>
  <si>
    <t>Lighting System Mass</t>
  </si>
  <si>
    <t>Nimitz Carrier</t>
  </si>
  <si>
    <t>Nimitz carrier is 1.046 million long tons</t>
  </si>
  <si>
    <t>Nimitz Carriers</t>
  </si>
  <si>
    <t>Power Fuel/dt</t>
  </si>
  <si>
    <t>kG / kwh</t>
  </si>
  <si>
    <t>W/kwh</t>
  </si>
  <si>
    <t>kw</t>
  </si>
  <si>
    <t>Pure Duterium</t>
  </si>
  <si>
    <t>Pure Lithium</t>
  </si>
  <si>
    <t>Mole</t>
  </si>
  <si>
    <t>https://www.nextbigfuture.com/2012/06/what-is-energy-content-of-earths-water.html</t>
  </si>
  <si>
    <t>Heavy Water</t>
  </si>
  <si>
    <t>Moles</t>
  </si>
  <si>
    <t>Fuel Mass (raw)</t>
  </si>
  <si>
    <t>As Lithium and Heavy Water</t>
  </si>
  <si>
    <t>Comet Water</t>
  </si>
  <si>
    <t>Ratio Deuterium Comet Water</t>
  </si>
  <si>
    <t>Number of Equivilent Haley's Comets</t>
  </si>
  <si>
    <t>Ceres Water</t>
  </si>
  <si>
    <t>Mass of planet</t>
  </si>
  <si>
    <t>Mass of water on planet</t>
  </si>
  <si>
    <t>Computer Center</t>
  </si>
  <si>
    <t>Fuel Remaining</t>
  </si>
  <si>
    <t>Assuming Dexter cows and some minor technology tweaks</t>
  </si>
  <si>
    <t>Hypothetical 250kg cow that yields 75% meat</t>
  </si>
  <si>
    <t>Lower output than standard</t>
  </si>
  <si>
    <t>Seeweed</t>
  </si>
  <si>
    <t>kg/capita</t>
  </si>
  <si>
    <t>Water Depth</t>
  </si>
  <si>
    <t>Tuna</t>
  </si>
  <si>
    <t>Consumption</t>
  </si>
  <si>
    <t>Harvest Age</t>
  </si>
  <si>
    <t>salmon</t>
  </si>
  <si>
    <t>tilapia</t>
  </si>
  <si>
    <t>cod</t>
  </si>
  <si>
    <t>carp</t>
  </si>
  <si>
    <t>trout</t>
  </si>
  <si>
    <t>marine</t>
  </si>
  <si>
    <t>yes</t>
  </si>
  <si>
    <t>no</t>
  </si>
  <si>
    <t>Fish Per capita</t>
  </si>
  <si>
    <t>Density</t>
  </si>
  <si>
    <t>Tank Size</t>
  </si>
  <si>
    <t>m^3</t>
  </si>
  <si>
    <t>kg/m^3</t>
  </si>
  <si>
    <t>Mass of Meat</t>
  </si>
  <si>
    <t>Meat Yeild</t>
  </si>
  <si>
    <t>Mass of Fish</t>
  </si>
  <si>
    <t>m^2/person</t>
  </si>
  <si>
    <t>kilogram of oil (kgoe)</t>
  </si>
  <si>
    <t>kJ/kg</t>
  </si>
  <si>
    <t>kwh</t>
  </si>
  <si>
    <t>Agriculture Work</t>
  </si>
  <si>
    <t>http://www.fao.org/docrep/003/X8054E/x8054e05.htm</t>
  </si>
  <si>
    <t>kwh/hectare</t>
  </si>
  <si>
    <t>Area</t>
  </si>
  <si>
    <t>Average</t>
  </si>
  <si>
    <t>Feed/year</t>
  </si>
  <si>
    <t>Forage/Day/AU</t>
  </si>
  <si>
    <t>Kale</t>
  </si>
  <si>
    <t>Livestock Forage</t>
  </si>
  <si>
    <t>Cow population density assuming agriculturally grown forage</t>
  </si>
  <si>
    <t>Cricket Powder (to offset protein)</t>
  </si>
  <si>
    <t>Mass powder/capita</t>
  </si>
  <si>
    <t>Yeild per kg of organism</t>
  </si>
  <si>
    <t>Living kg of organism</t>
  </si>
  <si>
    <t>Feed kg / organism kg</t>
  </si>
  <si>
    <t>Mass powder/year</t>
  </si>
  <si>
    <t>Cattle</t>
  </si>
  <si>
    <t>Cricket</t>
  </si>
  <si>
    <t>Avg Mass</t>
  </si>
  <si>
    <t>Protein per day</t>
  </si>
  <si>
    <t>https://www.healthline.com/nutrition/how-much-protein-per-day</t>
  </si>
  <si>
    <t>g/kg/day</t>
  </si>
  <si>
    <t>kg/s</t>
  </si>
  <si>
    <t>Mission Cargo</t>
  </si>
  <si>
    <t>Steel Structure</t>
  </si>
  <si>
    <t>Material</t>
  </si>
  <si>
    <t>Tensile Strength</t>
  </si>
  <si>
    <t>N/mm^2</t>
  </si>
  <si>
    <t>Yield Point</t>
  </si>
  <si>
    <t>g/cm^3</t>
  </si>
  <si>
    <t>Nickle/Iron Alloy 52/48</t>
  </si>
  <si>
    <t>MPP</t>
  </si>
  <si>
    <t>Caloires</t>
  </si>
  <si>
    <t>kCal/Day</t>
  </si>
  <si>
    <t>Chicken</t>
  </si>
  <si>
    <t>Mass Chicken/Capita</t>
  </si>
  <si>
    <t>Mass Meat /year</t>
  </si>
  <si>
    <t>Yield per Kg of Organism</t>
  </si>
  <si>
    <t>Living Kg per organism</t>
  </si>
  <si>
    <t>https://www.gov.mb.ca/agriculture/livestock/production/poultry/basic-feeding-programs-for-small-chicken-flocks.html</t>
  </si>
  <si>
    <t>Broiler</t>
  </si>
  <si>
    <t>Roaster</t>
  </si>
  <si>
    <t>Egg Layer</t>
  </si>
  <si>
    <t>Feed (total)</t>
  </si>
  <si>
    <t>Kg protein / organism</t>
  </si>
  <si>
    <t>Feed (protein)</t>
  </si>
  <si>
    <t>%protein diet</t>
  </si>
  <si>
    <t>Medievel Estimate</t>
  </si>
  <si>
    <t>Raw Cultivattion Estimate</t>
  </si>
  <si>
    <t>Medieval Estimate</t>
  </si>
  <si>
    <t>Medieval Population Rate</t>
  </si>
  <si>
    <t>capita/km^2</t>
  </si>
  <si>
    <t>Livestock feed</t>
  </si>
  <si>
    <t>Straw (from other crops)</t>
  </si>
  <si>
    <t>Alfalfa</t>
  </si>
  <si>
    <t>Grass</t>
  </si>
  <si>
    <t>Straw can be derived from parts of plants in food production not eaten</t>
  </si>
  <si>
    <t>Grass only requires 0.2 meters of topsoil. Assume some sort of stacking cultivation system</t>
  </si>
  <si>
    <t>Human Crops</t>
  </si>
  <si>
    <t>Livestock crops</t>
  </si>
  <si>
    <t>Grass (cultivated)</t>
  </si>
  <si>
    <t>Grass (living + recreation area)</t>
  </si>
  <si>
    <t>Grass (graze range)</t>
  </si>
  <si>
    <t>lbs/capita</t>
  </si>
  <si>
    <t>(Slightly higher than switzerland)</t>
  </si>
  <si>
    <t>Pig</t>
  </si>
  <si>
    <t>Sugar Beets</t>
  </si>
  <si>
    <t>m^3 soil</t>
  </si>
  <si>
    <t>Soil Volume</t>
  </si>
  <si>
    <t>US 1990</t>
  </si>
  <si>
    <t>http://www.foodreference.com/html/f-chick-consp.html</t>
  </si>
  <si>
    <t>http://www.foodreference.com/html/fbeef.html</t>
  </si>
  <si>
    <t>Assuming pigs eat leftovers from everything</t>
  </si>
  <si>
    <t>Total Meat</t>
  </si>
  <si>
    <t>Mass / organism</t>
  </si>
  <si>
    <t>Number organism</t>
  </si>
  <si>
    <t>Feed Organism/Market</t>
  </si>
  <si>
    <t>https://countrysidenetwork.com/daily/livestock/pigs/feeding-a-pig-for-market/</t>
  </si>
  <si>
    <t>kg / pig</t>
  </si>
  <si>
    <t>Total Mass of Food/yr</t>
  </si>
  <si>
    <t>meat</t>
  </si>
  <si>
    <t>Capita</t>
  </si>
  <si>
    <t>cereals + produce</t>
  </si>
  <si>
    <t>Food Waste</t>
  </si>
  <si>
    <t>Feed (from scaps)</t>
  </si>
  <si>
    <t>http://www.foodreference.com/html/fpork.html</t>
  </si>
  <si>
    <t>Enclosure / Organism</t>
  </si>
  <si>
    <t>Enclosure total</t>
  </si>
  <si>
    <t>Living organizm</t>
  </si>
  <si>
    <t>Enclosure per organism</t>
  </si>
  <si>
    <t>Pigs</t>
  </si>
  <si>
    <t>Ruminant Total</t>
  </si>
  <si>
    <t>% grass</t>
  </si>
  <si>
    <t>Levels</t>
  </si>
  <si>
    <t>Soil Density</t>
  </si>
  <si>
    <t>Kg/m^2 manned space</t>
  </si>
  <si>
    <t>https://en.wikipedia.org/wiki/World_Trade_Center_(1973–2001)</t>
  </si>
  <si>
    <t>https://hypertextbook.com/facts/2004/EricChen.shtml</t>
  </si>
  <si>
    <t>Steel Constuction</t>
  </si>
  <si>
    <t>World Trade Center</t>
  </si>
  <si>
    <t>Floor Area</t>
  </si>
  <si>
    <t>Mass</t>
  </si>
  <si>
    <t>kg/m^2</t>
  </si>
  <si>
    <t>U.S. Steel Building</t>
  </si>
  <si>
    <t>https://en.wikipedia.org/wiki/U.S._Steel_Tower</t>
  </si>
  <si>
    <t>Soil</t>
  </si>
  <si>
    <t>PSFS Building</t>
  </si>
  <si>
    <t>https://cdn.ymaws.com/www.aspenational.org/resource/resmgr/Techical_Papers/2013_October_TP.pdf</t>
  </si>
  <si>
    <t>Includes concrete flooring</t>
  </si>
  <si>
    <t>Based on construction formulas</t>
  </si>
  <si>
    <t>Crew + Effects / per</t>
  </si>
  <si>
    <t>Water Tank/Rad shield</t>
  </si>
  <si>
    <t>Radition Shielding</t>
  </si>
  <si>
    <t>Thickness of water surrounding all habitat areas of ship</t>
  </si>
  <si>
    <t>Atmosphere</t>
  </si>
  <si>
    <t>Assuming STP 1.225 kg/m^3 and 90% of total interior volume</t>
  </si>
  <si>
    <t>https://settlement.arc.nasa.gov/75SummerStudy/Chapt4.html#Shielding</t>
  </si>
  <si>
    <t>4500 kg/m^2 needed</t>
  </si>
  <si>
    <t>Total Area</t>
  </si>
  <si>
    <t>3 * square Root of three</t>
  </si>
  <si>
    <t>Number of domes</t>
  </si>
  <si>
    <t>dy</t>
  </si>
  <si>
    <t>Design Area per dome</t>
  </si>
  <si>
    <t>Implementation area</t>
  </si>
  <si>
    <t>Surface area</t>
  </si>
  <si>
    <t>Number Domes</t>
  </si>
  <si>
    <t>Volume</t>
  </si>
  <si>
    <t>Radation Shielding</t>
  </si>
  <si>
    <t>Slice Area</t>
  </si>
  <si>
    <t>Dome Exterior Surface</t>
  </si>
  <si>
    <t>Dome Land Surface</t>
  </si>
  <si>
    <t>Dome Volume</t>
  </si>
  <si>
    <t>Dome Shield Mass</t>
  </si>
  <si>
    <t>Radiation Mass</t>
  </si>
  <si>
    <t>Dome Levels</t>
  </si>
  <si>
    <t>Total Land Area</t>
  </si>
  <si>
    <t>Dome Radius</t>
  </si>
  <si>
    <t>1 G Radius</t>
  </si>
  <si>
    <t>RPM</t>
  </si>
  <si>
    <t>Angular Speed</t>
  </si>
  <si>
    <t>Floor Radius</t>
  </si>
  <si>
    <t>Rot Radius</t>
  </si>
  <si>
    <t>%g</t>
  </si>
  <si>
    <t>Height</t>
  </si>
  <si>
    <t>Design of a spheriod dome</t>
  </si>
  <si>
    <t>h</t>
  </si>
  <si>
    <t>Verticle Usage</t>
  </si>
  <si>
    <t>long ton/ft^3</t>
  </si>
  <si>
    <t>Width</t>
  </si>
  <si>
    <t>Structure Mass</t>
  </si>
  <si>
    <t>Mass m^3</t>
  </si>
  <si>
    <t>G at apex</t>
  </si>
  <si>
    <t>area / volume</t>
  </si>
  <si>
    <t>Segment Length</t>
  </si>
  <si>
    <t>Dome Structure Mass</t>
  </si>
  <si>
    <t>Dome Structure</t>
  </si>
  <si>
    <t>Oats</t>
  </si>
  <si>
    <t>Cereals</t>
  </si>
  <si>
    <t>broccoli</t>
  </si>
  <si>
    <t>% protein</t>
  </si>
  <si>
    <t>% oil</t>
  </si>
  <si>
    <t>% EFA</t>
  </si>
  <si>
    <t>% carb</t>
  </si>
  <si>
    <t>kcal/m^2</t>
  </si>
  <si>
    <t>Cabbage</t>
  </si>
  <si>
    <t>camelina</t>
  </si>
  <si>
    <t>chia seeds</t>
  </si>
  <si>
    <t>Coconut Oil</t>
  </si>
  <si>
    <t>duckweed</t>
  </si>
  <si>
    <t>flaxseed</t>
  </si>
  <si>
    <t>fonio</t>
  </si>
  <si>
    <t>http://gardeningplaces.com/articles/nutrition-per-hectare1.htm</t>
  </si>
  <si>
    <t>hempseed</t>
  </si>
  <si>
    <t>lentils</t>
  </si>
  <si>
    <t>maize (corn)</t>
  </si>
  <si>
    <t>millet</t>
  </si>
  <si>
    <t>Nerica</t>
  </si>
  <si>
    <t>Olive Oil</t>
  </si>
  <si>
    <t>Palm Oil</t>
  </si>
  <si>
    <t>Palm Kernel Oil</t>
  </si>
  <si>
    <t>Peas - Dry</t>
  </si>
  <si>
    <t>Peas - Green</t>
  </si>
  <si>
    <t>Plaintains</t>
  </si>
  <si>
    <t>rapeseed (canola)</t>
  </si>
  <si>
    <t>Rice - paddy</t>
  </si>
  <si>
    <t>Rye</t>
  </si>
  <si>
    <t>sacha inchi</t>
  </si>
  <si>
    <t>safflower kernels</t>
  </si>
  <si>
    <t>sesame seeds</t>
  </si>
  <si>
    <t>sorghum - grain</t>
  </si>
  <si>
    <t>spelt</t>
  </si>
  <si>
    <t>sugarcane</t>
  </si>
  <si>
    <t>sunflower seeds</t>
  </si>
  <si>
    <t>sweet potatoes</t>
  </si>
  <si>
    <t>teff</t>
  </si>
  <si>
    <t>triticale</t>
  </si>
  <si>
    <t>Wild Rice</t>
  </si>
  <si>
    <t>yams</t>
  </si>
  <si>
    <t>Pumpkin</t>
  </si>
  <si>
    <t>Pumplkin seed</t>
  </si>
  <si>
    <t>Winged bean seeds</t>
  </si>
  <si>
    <t>winged bean pods</t>
  </si>
  <si>
    <t>winged bean tuber</t>
  </si>
  <si>
    <t>forage / hectare</t>
  </si>
  <si>
    <t>turnips</t>
  </si>
  <si>
    <t>Feed - Crops</t>
  </si>
  <si>
    <t>Organisms</t>
  </si>
  <si>
    <t>Food From Crops</t>
  </si>
  <si>
    <t>Number of organisms</t>
  </si>
  <si>
    <t>1 us ton/acre -&gt; kg/hectare</t>
  </si>
  <si>
    <t>Source A</t>
  </si>
  <si>
    <t>Source B</t>
  </si>
  <si>
    <t>http://www.gardensofeden.org/04%20Crop%20Yield%20Verification.htm</t>
  </si>
  <si>
    <t>Avacados</t>
  </si>
  <si>
    <t>Source</t>
  </si>
  <si>
    <t>A</t>
  </si>
  <si>
    <t>lb / Acre</t>
  </si>
  <si>
    <t>Almonds (shelled)</t>
  </si>
  <si>
    <t>Pecans - In Shell</t>
  </si>
  <si>
    <t>Pistachios</t>
  </si>
  <si>
    <t>Walnuts</t>
  </si>
  <si>
    <t>Apricots</t>
  </si>
  <si>
    <t>Cherry (sweet)</t>
  </si>
  <si>
    <t>Dates</t>
  </si>
  <si>
    <t>Figs</t>
  </si>
  <si>
    <t>Kiwi Fruit</t>
  </si>
  <si>
    <t>Nectarines</t>
  </si>
  <si>
    <t>Olives</t>
  </si>
  <si>
    <t>Peaches</t>
  </si>
  <si>
    <t>Pears</t>
  </si>
  <si>
    <t>Plums</t>
  </si>
  <si>
    <t>Spinach</t>
  </si>
  <si>
    <t>Carrot</t>
  </si>
  <si>
    <t>Onion</t>
  </si>
  <si>
    <t>Celery</t>
  </si>
  <si>
    <t>Tomato</t>
  </si>
  <si>
    <t>lettuce</t>
  </si>
  <si>
    <t>Caulflower</t>
  </si>
  <si>
    <t>Pepper, Bell</t>
  </si>
  <si>
    <t>Pepper, Black</t>
  </si>
  <si>
    <t>Squash, Summer</t>
  </si>
  <si>
    <t>Beet</t>
  </si>
  <si>
    <t>Cantaloupe</t>
  </si>
  <si>
    <t>Asparagus</t>
  </si>
  <si>
    <t>Cucumber</t>
  </si>
  <si>
    <t>Radish</t>
  </si>
  <si>
    <t>Watermellon</t>
  </si>
  <si>
    <t>Bean, Lima</t>
  </si>
  <si>
    <t>Bean, snap</t>
  </si>
  <si>
    <t>Beans, greeen</t>
  </si>
  <si>
    <t>Bean, dry</t>
  </si>
  <si>
    <t>Source C</t>
  </si>
  <si>
    <t>Chufa (tigernut)</t>
  </si>
  <si>
    <t>Grow Time</t>
  </si>
  <si>
    <t>days</t>
  </si>
  <si>
    <t>Source D</t>
  </si>
  <si>
    <t>https://www.gardenguides.com/134169-growing-times-vegetables.html</t>
  </si>
  <si>
    <t>Perennial</t>
  </si>
  <si>
    <t>Oranges</t>
  </si>
  <si>
    <t>Lemon</t>
  </si>
  <si>
    <t>Lime</t>
  </si>
  <si>
    <t>kg/year</t>
  </si>
  <si>
    <t>United States</t>
  </si>
  <si>
    <t>https://ourworldindata.org/diet-compositions</t>
  </si>
  <si>
    <t>kCal/kg</t>
  </si>
  <si>
    <t>Harvests</t>
  </si>
  <si>
    <t>Kg Food</t>
  </si>
  <si>
    <t>Kg Forage</t>
  </si>
  <si>
    <t>% forage</t>
  </si>
  <si>
    <t>Total Forage Source</t>
  </si>
  <si>
    <t>food</t>
  </si>
  <si>
    <t>forage</t>
  </si>
  <si>
    <t>Cal/day/person</t>
  </si>
  <si>
    <t>Grown</t>
  </si>
  <si>
    <t>Other Vegetables</t>
  </si>
  <si>
    <t>Class</t>
  </si>
  <si>
    <t>kcal/day</t>
  </si>
  <si>
    <t>Non-Food Crops</t>
  </si>
  <si>
    <t>Diet Design</t>
  </si>
  <si>
    <t>Other</t>
  </si>
  <si>
    <t>Sugar</t>
  </si>
  <si>
    <t>Japan</t>
  </si>
  <si>
    <t>Iceland</t>
  </si>
  <si>
    <t>Life Expectency</t>
  </si>
  <si>
    <t>Canada</t>
  </si>
  <si>
    <t>Russia</t>
  </si>
  <si>
    <t>China</t>
  </si>
  <si>
    <t>India</t>
  </si>
  <si>
    <t>Chad</t>
  </si>
  <si>
    <t>Diet Data:</t>
  </si>
  <si>
    <t>Life Expectency Data:</t>
  </si>
  <si>
    <t>https://www.infoplease.com/world/health-and-social-statistics/life-expectancy-countries-0</t>
  </si>
  <si>
    <t>Based of Year 2013Data from</t>
  </si>
  <si>
    <t>TCD</t>
  </si>
  <si>
    <t>Code</t>
  </si>
  <si>
    <t>CAN</t>
  </si>
  <si>
    <t>ISL</t>
  </si>
  <si>
    <t>IND</t>
  </si>
  <si>
    <t>Ireland</t>
  </si>
  <si>
    <t>IRL</t>
  </si>
  <si>
    <t>Saudi Arabia</t>
  </si>
  <si>
    <t>JPN</t>
  </si>
  <si>
    <t>CHN</t>
  </si>
  <si>
    <t>RUS</t>
  </si>
  <si>
    <t>SAU</t>
  </si>
  <si>
    <t>USA</t>
  </si>
  <si>
    <t>kcal (total)</t>
  </si>
  <si>
    <t>Australia</t>
  </si>
  <si>
    <t>AUS</t>
  </si>
  <si>
    <t>United Kingdom</t>
  </si>
  <si>
    <t>GBR</t>
  </si>
  <si>
    <t>South Korea</t>
  </si>
  <si>
    <t>KOR</t>
  </si>
  <si>
    <t>kilocalories per person per day</t>
  </si>
  <si>
    <t>Oils &amp; Fats</t>
  </si>
  <si>
    <t>Meat</t>
  </si>
  <si>
    <t>Dairy &amp; Eggs</t>
  </si>
  <si>
    <t>Fruits &amp; Vegetables</t>
  </si>
  <si>
    <t>Starchy Roots</t>
  </si>
  <si>
    <t>Pulses</t>
  </si>
  <si>
    <t>Cereals &amp; Grains</t>
  </si>
  <si>
    <t>Alcoholic Beverages</t>
  </si>
  <si>
    <t>Type</t>
  </si>
  <si>
    <t>Oil &amp; Fats</t>
  </si>
  <si>
    <t>Starchy Root</t>
  </si>
  <si>
    <t>Alcholic Beverages</t>
  </si>
  <si>
    <t>https://nutritionstudies.org/what-are-pulses-and-why-are-they-important/</t>
  </si>
  <si>
    <t>kcal/100g</t>
  </si>
  <si>
    <t>https://www.fatsecret.com/calories-nutrition/generic/sugar?portionid=55855&amp;portionamount=100.000</t>
  </si>
  <si>
    <t>https://www.fatsecret.com/calories-nutrition/generic/rice-white-cooked-regular?portionid=53181&amp;portionamount=100.000</t>
  </si>
  <si>
    <t>https://www.fatsecret.com/calories-nutrition/usda/potatoes-(flesh-without-skin-without-salt-boiled)?portionid=59236&amp;portionamount=100.000</t>
  </si>
  <si>
    <t>https://www.fatsecret.com/calories-nutrition/usda/green-peas?portionid=59195&amp;portionamount=100.000</t>
  </si>
  <si>
    <t>https://www.fatsecret.com/calories-nutrition/usda/red-table-wine?portionid=60471&amp;portionamount=100.000</t>
  </si>
  <si>
    <t>Fish</t>
  </si>
  <si>
    <t>Modeled as a generic organism that east primarly crickets</t>
  </si>
  <si>
    <t>kg / ea</t>
  </si>
  <si>
    <t>kg / capita</t>
  </si>
  <si>
    <t>Protein - Vegetable</t>
  </si>
  <si>
    <t>lux</t>
  </si>
  <si>
    <t>https://en.wikipedia.org/wiki/Daylight</t>
  </si>
  <si>
    <t>https://en.wikipedia.org/wiki/Moonlight</t>
  </si>
  <si>
    <t>https://www1.eere.energy.gov/buildings/publications/pdfs/ssl/led_energy_efficiency.pdf</t>
  </si>
  <si>
    <t>lumen/W</t>
  </si>
  <si>
    <t>MW</t>
  </si>
  <si>
    <t>Total Mass</t>
  </si>
  <si>
    <t>Fusion Reactor</t>
  </si>
  <si>
    <t>(Similar to propulsion System)</t>
  </si>
  <si>
    <t>Tritium Production</t>
  </si>
  <si>
    <t>Tritium Production/yr</t>
  </si>
  <si>
    <t>Cosmic Ray interactions with water in insulation</t>
  </si>
  <si>
    <t>Insulation Surface area</t>
  </si>
  <si>
    <t>He3 Production</t>
  </si>
  <si>
    <t>H2 production</t>
  </si>
  <si>
    <t>kg/yr</t>
  </si>
  <si>
    <t>Fuel Collected / yr</t>
  </si>
  <si>
    <t>https://ntrs.nasa.gov/archive/nasa/casi.ntrs.nasa.gov/19680012956.pdf</t>
  </si>
  <si>
    <t>Insulation loss/yr</t>
  </si>
  <si>
    <t>Gallery Rate</t>
  </si>
  <si>
    <t>Diameter</t>
  </si>
  <si>
    <t>1g Radius</t>
  </si>
  <si>
    <t>dy Standard</t>
  </si>
  <si>
    <t>(1 meter utility, 1-2 meter soil, 3-4 meter headspace)</t>
  </si>
  <si>
    <t>Dueterium Refining</t>
  </si>
  <si>
    <t>USD/kg</t>
  </si>
  <si>
    <t>Steel</t>
  </si>
  <si>
    <t>Lithium (pure)</t>
  </si>
  <si>
    <t>Lithium (li2co3)</t>
  </si>
  <si>
    <t>Flywheel Mass</t>
  </si>
  <si>
    <t>Flywheel Max Radius</t>
  </si>
  <si>
    <t>Moment of Inertia</t>
  </si>
  <si>
    <t>Angular Momentum</t>
  </si>
  <si>
    <t>Flywheel Inner Radius</t>
  </si>
  <si>
    <t>Flywheel Moment of Inertia</t>
  </si>
  <si>
    <t>Flywheel Thickness</t>
  </si>
  <si>
    <t>Flywheel Angular Speed</t>
  </si>
  <si>
    <t>Air Density</t>
  </si>
  <si>
    <t>Sphere + Flywheel</t>
  </si>
  <si>
    <t>Flywheel Density</t>
  </si>
  <si>
    <t>Length of a Nimtz Carrier</t>
  </si>
  <si>
    <t>in</t>
  </si>
  <si>
    <t>Length of Football Field</t>
  </si>
  <si>
    <t>2d Slice Area</t>
  </si>
  <si>
    <t>Floor Count</t>
  </si>
  <si>
    <t>Vertical Usage</t>
  </si>
  <si>
    <t>Spare Parts Factor</t>
  </si>
  <si>
    <t>Cargo Storage</t>
  </si>
  <si>
    <t>Usage</t>
  </si>
  <si>
    <t>Park Area</t>
  </si>
  <si>
    <t>Settlement Area</t>
  </si>
  <si>
    <t>Agriculture</t>
  </si>
  <si>
    <t>Single</t>
  </si>
  <si>
    <t>Family</t>
  </si>
  <si>
    <t>Medical</t>
  </si>
  <si>
    <t>Human Services</t>
  </si>
  <si>
    <t>Manufacture</t>
  </si>
  <si>
    <t>Service Industry</t>
  </si>
  <si>
    <t>Craftsmen - Food</t>
  </si>
  <si>
    <t>Vendor</t>
  </si>
  <si>
    <t>Craftsmen - Art</t>
  </si>
  <si>
    <t>Craftsman - Misc</t>
  </si>
  <si>
    <t>Law Enforcement</t>
  </si>
  <si>
    <t>Per 100000</t>
  </si>
  <si>
    <t>Labor Category</t>
  </si>
  <si>
    <t>Crew</t>
  </si>
  <si>
    <t>Retired</t>
  </si>
  <si>
    <t>Working</t>
  </si>
  <si>
    <t>Command</t>
  </si>
  <si>
    <t>Education</t>
  </si>
  <si>
    <t>Maternity</t>
  </si>
  <si>
    <t>Non-Working</t>
  </si>
  <si>
    <t>Assume 1 teacher per 12 children, starting at age 4</t>
  </si>
  <si>
    <t>Inn/Taverns/Restaurants</t>
  </si>
  <si>
    <t>Ship Systems</t>
  </si>
  <si>
    <t>Robotics + Agriculture</t>
  </si>
  <si>
    <t>Human Services Categories</t>
  </si>
  <si>
    <t>Assuming 3 doctors and 3 nurses on rotation 24/7, with 2 trainees</t>
  </si>
  <si>
    <t>Student</t>
  </si>
  <si>
    <t>Assuming 40% of children will go on to 4 years of advanced training</t>
  </si>
  <si>
    <t>Trainee / Generalist</t>
  </si>
  <si>
    <t>Plant Operator</t>
  </si>
  <si>
    <t>Technicians / Electricians</t>
  </si>
  <si>
    <t>Repair + Fabrication</t>
  </si>
  <si>
    <t>Assuming this count also includes individuals engaged in domestic manufactur</t>
  </si>
  <si>
    <t>Weighted Allocation</t>
  </si>
  <si>
    <t>Figures for trades estimated from medieval towns/cities</t>
  </si>
  <si>
    <t>Government</t>
  </si>
  <si>
    <t>Picked a plausible number from: https://www.governing.com/gov-data/public-workforce-salaries/states-most-government-workers-public-employees-by-job-type.html</t>
  </si>
  <si>
    <t>Officers</t>
  </si>
  <si>
    <t>Scientists</t>
  </si>
  <si>
    <t>Plant Safety</t>
  </si>
  <si>
    <t>FOG</t>
  </si>
  <si>
    <t>Science + Development</t>
  </si>
  <si>
    <t>Mortality</t>
  </si>
  <si>
    <t>Replacement</t>
  </si>
  <si>
    <t>Spare Parts Estimate</t>
  </si>
  <si>
    <t>Births per F</t>
  </si>
  <si>
    <t>Maintenance Schedule Robotics</t>
  </si>
  <si>
    <t>Mobile Units</t>
  </si>
  <si>
    <t>Manufacturing Units</t>
  </si>
  <si>
    <t>Design Life</t>
  </si>
  <si>
    <t>Recycle</t>
  </si>
  <si>
    <t>Maintenance</t>
  </si>
  <si>
    <t>Tractors</t>
  </si>
  <si>
    <t>http://www.waterandenergyprogress.org/library/05006.pdf</t>
  </si>
  <si>
    <t>Shred Stalks</t>
  </si>
  <si>
    <t>Plow 8 inches deep</t>
  </si>
  <si>
    <t>Field Cultivate</t>
  </si>
  <si>
    <t>Harrow</t>
  </si>
  <si>
    <t>Cultivate Row Crops</t>
  </si>
  <si>
    <t>Plant Row Crops</t>
  </si>
  <si>
    <t>No-till planter</t>
  </si>
  <si>
    <t>Grain Drill</t>
  </si>
  <si>
    <t>Combine - Grain</t>
  </si>
  <si>
    <t>Combine - corn/sorghum</t>
  </si>
  <si>
    <t>Corn Picker</t>
  </si>
  <si>
    <t>Baler</t>
  </si>
  <si>
    <t>Rotary Mower</t>
  </si>
  <si>
    <t>Forage Harvester - green</t>
  </si>
  <si>
    <t>Forage Harvester - hay</t>
  </si>
  <si>
    <t>Forage Harvester - corm</t>
  </si>
  <si>
    <t>Forage blower - green</t>
  </si>
  <si>
    <t>Forage blower - hay</t>
  </si>
  <si>
    <t>Forage blower - corn</t>
  </si>
  <si>
    <t>Grain Drying</t>
  </si>
  <si>
    <t>Estimate Number of Tractors needed</t>
  </si>
  <si>
    <t>Task</t>
  </si>
  <si>
    <t>PTO hp/hr/acre</t>
  </si>
  <si>
    <t>Hectares</t>
  </si>
  <si>
    <t>Tractor Hours</t>
  </si>
  <si>
    <t>acre</t>
  </si>
  <si>
    <t>mile^2</t>
  </si>
  <si>
    <t>ft^2</t>
  </si>
  <si>
    <t>Constants</t>
  </si>
  <si>
    <t>Human Population (peak)</t>
  </si>
  <si>
    <t>PTO HP-hour/acre</t>
  </si>
  <si>
    <t>PTO HP-hour</t>
  </si>
  <si>
    <t>Food Processing Units</t>
  </si>
  <si>
    <t>Work Hours</t>
  </si>
  <si>
    <t>Utilization</t>
  </si>
  <si>
    <t>Labor Hours - Repair</t>
  </si>
  <si>
    <t>Labor Hours - Operation</t>
  </si>
  <si>
    <t>Operation Unit (Hr)</t>
  </si>
  <si>
    <t>Operation All (hr)</t>
  </si>
  <si>
    <t>Repair Unit (hr)</t>
  </si>
  <si>
    <t>Repair all (hr)</t>
  </si>
  <si>
    <t>Man Hrs</t>
  </si>
  <si>
    <t>Robotic Operators</t>
  </si>
  <si>
    <t>Recreation Area:</t>
  </si>
  <si>
    <t>Land Usage</t>
  </si>
  <si>
    <t>Budget</t>
  </si>
  <si>
    <t>Implemented</t>
  </si>
  <si>
    <t>Cargo Area</t>
  </si>
  <si>
    <t>Name</t>
  </si>
  <si>
    <t>Settlement</t>
  </si>
  <si>
    <t>Park</t>
  </si>
  <si>
    <t>Cargo</t>
  </si>
  <si>
    <t>HOUSING</t>
  </si>
  <si>
    <t>Housing - Single</t>
  </si>
  <si>
    <t>Housing - Family</t>
  </si>
  <si>
    <t>Budget %</t>
  </si>
  <si>
    <t>Acres/Capita</t>
  </si>
  <si>
    <t>Industry</t>
  </si>
  <si>
    <t>Zones</t>
  </si>
  <si>
    <t>Industrial</t>
  </si>
  <si>
    <t>Grade Level Size</t>
  </si>
  <si>
    <t>Artist/Musician</t>
  </si>
  <si>
    <t>https://www.arts.gov/sites/default/files/ArtistsInWorkforce.pdf</t>
  </si>
  <si>
    <t>Domes</t>
  </si>
  <si>
    <t>Usage:</t>
  </si>
  <si>
    <t>Food Storage</t>
  </si>
  <si>
    <t>Store the equivilent of 7 years of food</t>
  </si>
  <si>
    <t>Volume / Dome</t>
  </si>
  <si>
    <t>Horsepower to KW</t>
  </si>
  <si>
    <t>KW to Horsepower</t>
  </si>
  <si>
    <t>Cultivation energy / hectare</t>
  </si>
  <si>
    <t>Yearly Power Consuption</t>
  </si>
  <si>
    <t>Days in year</t>
  </si>
  <si>
    <t>Niave</t>
  </si>
  <si>
    <t>Exact</t>
  </si>
  <si>
    <t>5 mw data center</t>
  </si>
  <si>
    <t>Image Scale (carrier)</t>
  </si>
  <si>
    <t>Image Scale (field)</t>
  </si>
  <si>
    <t>Life Exp</t>
  </si>
  <si>
    <t>Uniform</t>
  </si>
  <si>
    <t>Widest Deck</t>
  </si>
  <si>
    <t>Widest</t>
  </si>
  <si>
    <t>Hab Levels</t>
  </si>
  <si>
    <t>Note: Some decks do not have area that adds up to 100% to represent thru-deck features</t>
  </si>
  <si>
    <t>Machinery</t>
  </si>
  <si>
    <t>Total Levels</t>
  </si>
  <si>
    <t>Dome Radius est</t>
  </si>
  <si>
    <t>Potential Mate Rate</t>
  </si>
  <si>
    <t>Age</t>
  </si>
  <si>
    <t>male</t>
  </si>
  <si>
    <t>femal</t>
  </si>
  <si>
    <t>female</t>
  </si>
  <si>
    <t>Fertility Rate</t>
  </si>
  <si>
    <t>Low</t>
  </si>
  <si>
    <t>High</t>
  </si>
  <si>
    <t>Max</t>
  </si>
  <si>
    <t>avg</t>
  </si>
  <si>
    <t>Marriage</t>
  </si>
  <si>
    <t>Housing</t>
  </si>
  <si>
    <t>http://www.no1ledlight.com/lux-standard-for-indoor-lighting/</t>
  </si>
  <si>
    <t>https://homeguides.sfgate.com/problem-using-grow-lights-greenhouses-51087.html</t>
  </si>
  <si>
    <t>Illumination Hours</t>
  </si>
  <si>
    <t>kwh /day</t>
  </si>
  <si>
    <t>Peak Wattage</t>
  </si>
  <si>
    <t>watt</t>
  </si>
  <si>
    <t>Lighting</t>
  </si>
  <si>
    <t>Peak Power Load</t>
  </si>
  <si>
    <t>Daily Power Consumption</t>
  </si>
  <si>
    <t>kwh/day -&gt; watt</t>
  </si>
  <si>
    <t>khw/day</t>
  </si>
  <si>
    <t>kwH/day</t>
  </si>
  <si>
    <t>kwh/day</t>
  </si>
  <si>
    <t>Ship Calendar</t>
  </si>
  <si>
    <t>Some fuel stores are offset by tritium and he3 production in the cosmic ray shield</t>
  </si>
  <si>
    <t>System Mass</t>
  </si>
  <si>
    <t>Hemp</t>
  </si>
  <si>
    <t>(Assume a magical 25% production increase from technology)</t>
  </si>
  <si>
    <t>Hectare</t>
  </si>
  <si>
    <t>(Sum of proportions)</t>
  </si>
  <si>
    <t>Male</t>
  </si>
  <si>
    <t>Female</t>
  </si>
  <si>
    <t>Marriages</t>
  </si>
  <si>
    <t>Seed Marriages</t>
  </si>
  <si>
    <t>Singles</t>
  </si>
  <si>
    <t>Marriage Rate</t>
  </si>
  <si>
    <t>Divorce Rate</t>
  </si>
  <si>
    <t>weddings</t>
  </si>
  <si>
    <t>age out</t>
  </si>
  <si>
    <t>divorce</t>
  </si>
  <si>
    <t>Seed</t>
  </si>
  <si>
    <t>single</t>
  </si>
  <si>
    <t>housing</t>
  </si>
  <si>
    <t>family</t>
  </si>
  <si>
    <t>Illumination (Peak)</t>
  </si>
  <si>
    <t>Illumination (Night)</t>
  </si>
  <si>
    <t>Manned</t>
  </si>
  <si>
    <t>Unmanned</t>
  </si>
  <si>
    <t>Outdoor</t>
  </si>
  <si>
    <t>Bringing along a self-replicating robot factory to mine remote system</t>
  </si>
  <si>
    <t>Ideal</t>
  </si>
  <si>
    <t>Magic Factor</t>
  </si>
  <si>
    <t>Labor Hours - Finished Goods/Capita</t>
  </si>
  <si>
    <t>Industrial Finished Goods</t>
  </si>
  <si>
    <t>Start Population</t>
  </si>
  <si>
    <t>PEAK</t>
  </si>
  <si>
    <t>START</t>
  </si>
  <si>
    <t>Select Profile:</t>
  </si>
  <si>
    <t>Death/100000</t>
  </si>
  <si>
    <t>Marriage %</t>
  </si>
  <si>
    <t>M:F Ratio</t>
  </si>
  <si>
    <t>F:M Ratio</t>
  </si>
  <si>
    <t>Trip Growth</t>
  </si>
  <si>
    <t>21-27</t>
  </si>
  <si>
    <t>28-34</t>
  </si>
  <si>
    <t>35-41</t>
  </si>
  <si>
    <t>42-48</t>
  </si>
  <si>
    <t>49-55</t>
  </si>
  <si>
    <t>56-62</t>
  </si>
  <si>
    <t>Elderly</t>
  </si>
  <si>
    <t>Workforce</t>
  </si>
  <si>
    <t>General</t>
  </si>
  <si>
    <t>Mission Arrival</t>
  </si>
  <si>
    <t>Return</t>
  </si>
  <si>
    <t>Reproduction Model</t>
  </si>
  <si>
    <t>Target</t>
  </si>
  <si>
    <t>balanced</t>
  </si>
  <si>
    <t>Balanced Population Level based on developed technological cultures</t>
  </si>
  <si>
    <t>island</t>
  </si>
  <si>
    <t>Based on Polynsesian colonization. Primarily unmarried people in their 20s</t>
  </si>
  <si>
    <t>growth</t>
  </si>
  <si>
    <t>Minimizes starting population - Young crew, predominately female</t>
  </si>
  <si>
    <t>Travel Time</t>
  </si>
  <si>
    <t>Population Profile</t>
  </si>
  <si>
    <t>Time in System</t>
  </si>
  <si>
    <t>Return Trip</t>
  </si>
  <si>
    <t>Total Mission Length</t>
  </si>
  <si>
    <t>(Earth)</t>
  </si>
  <si>
    <t>Growth Knee</t>
  </si>
  <si>
    <t>Knee</t>
  </si>
  <si>
    <t>professional</t>
  </si>
  <si>
    <t>Crew composed of existing professionals. Middle aged crew, most married, some children, skews male</t>
  </si>
  <si>
    <t>Mission End</t>
  </si>
  <si>
    <t>Hallway</t>
  </si>
  <si>
    <t>Assume at least a mayor</t>
  </si>
  <si>
    <t>Specialists</t>
  </si>
  <si>
    <t>Seed Specialists</t>
  </si>
  <si>
    <t>Specialist</t>
  </si>
  <si>
    <t>Clones</t>
  </si>
  <si>
    <t>Target Workforce</t>
  </si>
  <si>
    <t>Requirements</t>
  </si>
  <si>
    <t>Total Population</t>
  </si>
  <si>
    <t>Target Breeding Population:</t>
  </si>
  <si>
    <t>Design Population</t>
  </si>
  <si>
    <t>Replacement (Clones)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</si>
</sst>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(&quot;$&quot;* #,##0.00_);_(&quot;$&quot;* \(#,##0.00\);_(&quot;$&quot;* &quot;-&quot;??_);_(@_)"/>
    <numFmt numFmtId="164" formatCode="0.0"/>
    <numFmt numFmtId="165" formatCode="0.0000000"/>
    <numFmt numFmtId="166" formatCode="#,##0.0"/>
    <numFmt numFmtId="167" formatCode="0.00000E+00"/>
    <numFmt numFmtId="168" formatCode="0.0%"/>
    <numFmt numFmtId="169" formatCode="0.00000"/>
    <numFmt numFmtId="170" formatCode="0.0000"/>
    <numFmt numFmtId="171" formatCode="0.000"/>
    <numFmt numFmtId="172" formatCode="0.000E+00"/>
    <numFmt numFmtId="173" formatCode="0.0000000000"/>
    <numFmt numFmtId="174" formatCode="0.0000%"/>
  </numFmts>
  <fonts count="16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rgb="FF333333"/>
      <name val="Times New Roman"/>
      <family val="1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000000"/>
      <name val="Arial"/>
      <family val="2"/>
    </font>
    <font>
      <sz val="14"/>
      <color rgb="FF222222"/>
      <name val="Arial"/>
      <family val="2"/>
    </font>
    <font>
      <sz val="10"/>
      <color rgb="FF000000"/>
      <name val="Arial Unicode MS"/>
      <family val="2"/>
    </font>
    <font>
      <sz val="14"/>
      <color rgb="FF000099"/>
      <name val="-webkit-standard"/>
    </font>
    <font>
      <sz val="13"/>
      <color rgb="FF333333"/>
      <name val="Arial"/>
      <family val="2"/>
    </font>
    <font>
      <sz val="11"/>
      <color rgb="FF4D4D4D"/>
      <name val="Arial"/>
      <family val="2"/>
    </font>
    <font>
      <b/>
      <sz val="12"/>
      <color theme="1"/>
      <name val="Calibri"/>
      <family val="2"/>
      <scheme val="minor"/>
    </font>
    <font>
      <sz val="13"/>
      <color rgb="FF000000"/>
      <name val="Georgia"/>
      <family val="1"/>
    </font>
    <font>
      <sz val="13"/>
      <color rgb="FF666666"/>
      <name val="Arial"/>
      <family val="2"/>
    </font>
    <font>
      <i/>
      <sz val="12"/>
      <color theme="1"/>
      <name val="Calibri"/>
      <family val="2"/>
      <scheme val="minor"/>
    </font>
    <font>
      <i/>
      <u/>
      <sz val="12"/>
      <color theme="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C3F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44" fontId="1" fillId="0" borderId="0" applyFont="0" applyFill="0" applyBorder="0" applyAlignment="0" applyProtection="0"/>
  </cellStyleXfs>
  <cellXfs count="16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1" fontId="0" fillId="2" borderId="0" xfId="0" applyNumberFormat="1" applyFill="1"/>
    <xf numFmtId="0" fontId="0" fillId="0" borderId="0" xfId="0" applyFill="1"/>
    <xf numFmtId="0" fontId="0" fillId="4" borderId="0" xfId="0" applyFill="1"/>
    <xf numFmtId="0" fontId="0" fillId="4" borderId="0" xfId="0" applyFill="1" applyAlignment="1">
      <alignment horizontal="center"/>
    </xf>
    <xf numFmtId="1" fontId="0" fillId="4" borderId="0" xfId="0" applyNumberFormat="1" applyFill="1" applyAlignment="1">
      <alignment horizontal="center"/>
    </xf>
    <xf numFmtId="165" fontId="0" fillId="0" borderId="0" xfId="0" applyNumberFormat="1"/>
    <xf numFmtId="2" fontId="0" fillId="0" borderId="0" xfId="0" applyNumberFormat="1" applyFill="1"/>
    <xf numFmtId="164" fontId="0" fillId="5" borderId="0" xfId="0" applyNumberFormat="1" applyFill="1"/>
    <xf numFmtId="164" fontId="0" fillId="6" borderId="0" xfId="0" applyNumberFormat="1" applyFill="1"/>
    <xf numFmtId="164" fontId="0" fillId="0" borderId="0" xfId="0" applyNumberFormat="1" applyFill="1"/>
    <xf numFmtId="0" fontId="0" fillId="3" borderId="0" xfId="0" applyFill="1"/>
    <xf numFmtId="164" fontId="0" fillId="3" borderId="0" xfId="0" applyNumberFormat="1" applyFill="1"/>
    <xf numFmtId="164" fontId="0" fillId="7" borderId="0" xfId="0" applyNumberFormat="1" applyFill="1"/>
    <xf numFmtId="0" fontId="0" fillId="0" borderId="0" xfId="0" applyAlignment="1"/>
    <xf numFmtId="166" fontId="2" fillId="0" borderId="0" xfId="0" applyNumberFormat="1" applyFont="1"/>
    <xf numFmtId="167" fontId="0" fillId="0" borderId="0" xfId="0" applyNumberFormat="1"/>
    <xf numFmtId="0" fontId="0" fillId="0" borderId="0" xfId="0" applyNumberFormat="1"/>
    <xf numFmtId="0" fontId="3" fillId="0" borderId="0" xfId="2"/>
    <xf numFmtId="168" fontId="0" fillId="0" borderId="0" xfId="1" applyNumberFormat="1" applyFont="1"/>
    <xf numFmtId="0" fontId="0" fillId="0" borderId="0" xfId="0" applyAlignment="1">
      <alignment horizontal="center"/>
    </xf>
    <xf numFmtId="0" fontId="0" fillId="6" borderId="1" xfId="0" applyFill="1" applyBorder="1"/>
    <xf numFmtId="0" fontId="0" fillId="6" borderId="2" xfId="0" applyFill="1" applyBorder="1"/>
    <xf numFmtId="0" fontId="0" fillId="6" borderId="3" xfId="0" applyFill="1" applyBorder="1"/>
    <xf numFmtId="0" fontId="4" fillId="6" borderId="4" xfId="0" applyFont="1" applyFill="1" applyBorder="1"/>
    <xf numFmtId="0" fontId="4" fillId="6" borderId="5" xfId="0" applyFont="1" applyFill="1" applyBorder="1"/>
    <xf numFmtId="0" fontId="4" fillId="6" borderId="6" xfId="0" applyFont="1" applyFill="1" applyBorder="1"/>
    <xf numFmtId="0" fontId="0" fillId="8" borderId="1" xfId="0" applyFill="1" applyBorder="1"/>
    <xf numFmtId="0" fontId="0" fillId="8" borderId="2" xfId="0" applyFill="1" applyBorder="1"/>
    <xf numFmtId="0" fontId="0" fillId="8" borderId="3" xfId="0" applyFill="1" applyBorder="1"/>
    <xf numFmtId="0" fontId="4" fillId="8" borderId="4" xfId="0" applyFont="1" applyFill="1" applyBorder="1"/>
    <xf numFmtId="0" fontId="4" fillId="8" borderId="5" xfId="0" applyFont="1" applyFill="1" applyBorder="1"/>
    <xf numFmtId="0" fontId="4" fillId="8" borderId="6" xfId="0" applyFont="1" applyFill="1" applyBorder="1"/>
    <xf numFmtId="0" fontId="0" fillId="5" borderId="1" xfId="0" applyFill="1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0" fillId="5" borderId="5" xfId="0" applyFill="1" applyBorder="1"/>
    <xf numFmtId="0" fontId="0" fillId="5" borderId="6" xfId="0" applyFill="1" applyBorder="1"/>
    <xf numFmtId="9" fontId="0" fillId="0" borderId="0" xfId="1" applyFont="1"/>
    <xf numFmtId="0" fontId="5" fillId="0" borderId="0" xfId="0" applyFon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1" fontId="0" fillId="3" borderId="0" xfId="0" applyNumberFormat="1" applyFill="1"/>
    <xf numFmtId="0" fontId="0" fillId="0" borderId="0" xfId="0" applyFont="1"/>
    <xf numFmtId="11" fontId="0" fillId="9" borderId="0" xfId="0" applyNumberFormat="1" applyFill="1"/>
    <xf numFmtId="0" fontId="0" fillId="10" borderId="0" xfId="0" applyFill="1"/>
    <xf numFmtId="11" fontId="0" fillId="10" borderId="0" xfId="0" applyNumberFormat="1" applyFill="1"/>
    <xf numFmtId="11" fontId="0" fillId="6" borderId="0" xfId="0" applyNumberFormat="1" applyFill="1"/>
    <xf numFmtId="11" fontId="4" fillId="0" borderId="0" xfId="0" applyNumberFormat="1" applyFont="1"/>
    <xf numFmtId="164" fontId="0" fillId="9" borderId="0" xfId="0" applyNumberFormat="1" applyFill="1"/>
    <xf numFmtId="11" fontId="0" fillId="0" borderId="0" xfId="0" applyNumberFormat="1" applyFill="1"/>
    <xf numFmtId="1" fontId="0" fillId="0" borderId="0" xfId="0" applyNumberFormat="1"/>
    <xf numFmtId="0" fontId="0" fillId="9" borderId="0" xfId="0" applyFill="1"/>
    <xf numFmtId="2" fontId="0" fillId="0" borderId="0" xfId="0" applyNumberFormat="1" applyAlignment="1">
      <alignment horizontal="center"/>
    </xf>
    <xf numFmtId="0" fontId="6" fillId="0" borderId="0" xfId="0" applyFont="1"/>
    <xf numFmtId="2" fontId="0" fillId="7" borderId="0" xfId="0" applyNumberFormat="1" applyFill="1"/>
    <xf numFmtId="172" fontId="0" fillId="11" borderId="0" xfId="0" applyNumberFormat="1" applyFill="1"/>
    <xf numFmtId="172" fontId="0" fillId="9" borderId="0" xfId="0" applyNumberFormat="1" applyFill="1"/>
    <xf numFmtId="0" fontId="7" fillId="0" borderId="0" xfId="0" applyFont="1"/>
    <xf numFmtId="0" fontId="0" fillId="12" borderId="0" xfId="0" applyFill="1"/>
    <xf numFmtId="3" fontId="0" fillId="0" borderId="0" xfId="0" applyNumberFormat="1"/>
    <xf numFmtId="1" fontId="0" fillId="0" borderId="0" xfId="0" applyNumberFormat="1" applyFill="1"/>
    <xf numFmtId="2" fontId="0" fillId="9" borderId="0" xfId="0" applyNumberFormat="1" applyFill="1"/>
    <xf numFmtId="11" fontId="0" fillId="0" borderId="0" xfId="1" applyNumberFormat="1" applyFont="1"/>
    <xf numFmtId="0" fontId="8" fillId="0" borderId="0" xfId="0" applyFont="1"/>
    <xf numFmtId="3" fontId="8" fillId="0" borderId="0" xfId="0" applyNumberFormat="1" applyFont="1"/>
    <xf numFmtId="2" fontId="0" fillId="0" borderId="0" xfId="1" applyNumberFormat="1" applyFont="1"/>
    <xf numFmtId="0" fontId="9" fillId="0" borderId="0" xfId="0" applyFont="1"/>
    <xf numFmtId="0" fontId="4" fillId="0" borderId="0" xfId="0" applyFont="1"/>
    <xf numFmtId="0" fontId="0" fillId="14" borderId="0" xfId="0" applyFill="1"/>
    <xf numFmtId="0" fontId="4" fillId="14" borderId="0" xfId="0" applyFont="1" applyFill="1"/>
    <xf numFmtId="0" fontId="0" fillId="13" borderId="0" xfId="0" applyFill="1"/>
    <xf numFmtId="0" fontId="0" fillId="15" borderId="0" xfId="0" applyFill="1"/>
    <xf numFmtId="0" fontId="4" fillId="15" borderId="0" xfId="0" applyFont="1" applyFill="1"/>
    <xf numFmtId="11" fontId="0" fillId="0" borderId="0" xfId="0" applyNumberFormat="1" applyAlignment="1"/>
    <xf numFmtId="173" fontId="0" fillId="0" borderId="0" xfId="0" applyNumberFormat="1"/>
    <xf numFmtId="0" fontId="10" fillId="0" borderId="0" xfId="0" applyFont="1"/>
    <xf numFmtId="44" fontId="0" fillId="0" borderId="0" xfId="3" applyFont="1"/>
    <xf numFmtId="0" fontId="0" fillId="0" borderId="0" xfId="0" applyAlignment="1">
      <alignment horizontal="center"/>
    </xf>
    <xf numFmtId="174" fontId="0" fillId="0" borderId="0" xfId="1" applyNumberFormat="1" applyFont="1"/>
    <xf numFmtId="0" fontId="0" fillId="0" borderId="0" xfId="0" applyAlignment="1">
      <alignment horizontal="center"/>
    </xf>
    <xf numFmtId="0" fontId="12" fillId="0" borderId="0" xfId="0" applyFont="1"/>
    <xf numFmtId="171" fontId="7" fillId="0" borderId="0" xfId="0" applyNumberFormat="1" applyFont="1"/>
    <xf numFmtId="2" fontId="7" fillId="0" borderId="0" xfId="0" applyNumberFormat="1" applyFont="1"/>
    <xf numFmtId="164" fontId="7" fillId="0" borderId="0" xfId="0" applyNumberFormat="1" applyFont="1"/>
    <xf numFmtId="11" fontId="7" fillId="0" borderId="0" xfId="0" applyNumberFormat="1" applyFont="1"/>
    <xf numFmtId="0" fontId="11" fillId="0" borderId="0" xfId="0" applyFont="1"/>
    <xf numFmtId="0" fontId="0" fillId="9" borderId="0" xfId="0" applyFont="1" applyFill="1"/>
    <xf numFmtId="0" fontId="0" fillId="8" borderId="0" xfId="0" applyFill="1" applyBorder="1"/>
    <xf numFmtId="0" fontId="0" fillId="8" borderId="4" xfId="0" applyFill="1" applyBorder="1"/>
    <xf numFmtId="0" fontId="0" fillId="8" borderId="5" xfId="0" applyFill="1" applyBorder="1"/>
    <xf numFmtId="11" fontId="0" fillId="8" borderId="0" xfId="0" applyNumberFormat="1" applyFill="1"/>
    <xf numFmtId="2" fontId="0" fillId="8" borderId="0" xfId="0" applyNumberFormat="1" applyFill="1"/>
    <xf numFmtId="164" fontId="0" fillId="8" borderId="0" xfId="0" applyNumberFormat="1" applyFill="1"/>
    <xf numFmtId="9" fontId="0" fillId="8" borderId="8" xfId="1" applyFont="1" applyFill="1" applyBorder="1"/>
    <xf numFmtId="3" fontId="0" fillId="0" borderId="0" xfId="0" applyNumberFormat="1" applyFont="1"/>
    <xf numFmtId="10" fontId="0" fillId="8" borderId="8" xfId="1" applyNumberFormat="1" applyFont="1" applyFill="1" applyBorder="1"/>
    <xf numFmtId="10" fontId="0" fillId="0" borderId="0" xfId="0" applyNumberFormat="1"/>
    <xf numFmtId="0" fontId="13" fillId="0" borderId="0" xfId="0" applyFont="1"/>
    <xf numFmtId="2" fontId="0" fillId="8" borderId="7" xfId="1" applyNumberFormat="1" applyFont="1" applyFill="1" applyBorder="1" applyAlignment="1">
      <alignment horizontal="center"/>
    </xf>
    <xf numFmtId="0" fontId="0" fillId="8" borderId="0" xfId="0" applyFont="1" applyFill="1"/>
    <xf numFmtId="9" fontId="0" fillId="8" borderId="0" xfId="1" applyFont="1" applyFill="1"/>
    <xf numFmtId="0" fontId="0" fillId="0" borderId="0" xfId="0" applyBorder="1"/>
    <xf numFmtId="2" fontId="0" fillId="10" borderId="0" xfId="0" applyNumberFormat="1" applyFill="1"/>
    <xf numFmtId="0" fontId="14" fillId="0" borderId="0" xfId="0" applyFont="1"/>
    <xf numFmtId="0" fontId="15" fillId="0" borderId="0" xfId="0" applyFont="1"/>
    <xf numFmtId="2" fontId="0" fillId="0" borderId="0" xfId="1" applyNumberFormat="1" applyFont="1" applyFill="1"/>
    <xf numFmtId="1" fontId="0" fillId="2" borderId="0" xfId="0" applyNumberFormat="1" applyFill="1" applyAlignment="1"/>
    <xf numFmtId="0" fontId="0" fillId="16" borderId="0" xfId="0" applyFill="1"/>
    <xf numFmtId="2" fontId="0" fillId="16" borderId="0" xfId="0" applyNumberFormat="1" applyFill="1"/>
    <xf numFmtId="164" fontId="0" fillId="16" borderId="0" xfId="0" applyNumberFormat="1" applyFill="1"/>
    <xf numFmtId="11" fontId="6" fillId="0" borderId="0" xfId="0" applyNumberFormat="1" applyFont="1"/>
    <xf numFmtId="0" fontId="0" fillId="0" borderId="1" xfId="0" applyBorder="1"/>
    <xf numFmtId="0" fontId="0" fillId="0" borderId="3" xfId="0" applyBorder="1"/>
    <xf numFmtId="0" fontId="0" fillId="0" borderId="9" xfId="0" applyBorder="1"/>
    <xf numFmtId="0" fontId="0" fillId="0" borderId="10" xfId="0" applyBorder="1"/>
    <xf numFmtId="1" fontId="0" fillId="0" borderId="9" xfId="0" applyNumberFormat="1" applyBorder="1"/>
    <xf numFmtId="0" fontId="0" fillId="17" borderId="0" xfId="0" applyFill="1"/>
    <xf numFmtId="0" fontId="0" fillId="7" borderId="1" xfId="0" applyFill="1" applyBorder="1"/>
    <xf numFmtId="2" fontId="0" fillId="7" borderId="2" xfId="0" applyNumberFormat="1" applyFill="1" applyBorder="1"/>
    <xf numFmtId="0" fontId="0" fillId="7" borderId="2" xfId="0" applyFill="1" applyBorder="1"/>
    <xf numFmtId="164" fontId="0" fillId="7" borderId="2" xfId="0" applyNumberFormat="1" applyFill="1" applyBorder="1"/>
    <xf numFmtId="0" fontId="0" fillId="7" borderId="3" xfId="0" applyFill="1" applyBorder="1"/>
    <xf numFmtId="0" fontId="0" fillId="7" borderId="9" xfId="0" applyFill="1" applyBorder="1"/>
    <xf numFmtId="2" fontId="0" fillId="7" borderId="0" xfId="0" applyNumberFormat="1" applyFill="1" applyBorder="1"/>
    <xf numFmtId="164" fontId="0" fillId="7" borderId="0" xfId="0" applyNumberFormat="1" applyFill="1" applyBorder="1"/>
    <xf numFmtId="1" fontId="0" fillId="7" borderId="0" xfId="0" applyNumberFormat="1" applyFill="1" applyBorder="1"/>
    <xf numFmtId="0" fontId="0" fillId="7" borderId="10" xfId="0" applyFill="1" applyBorder="1"/>
    <xf numFmtId="0" fontId="0" fillId="7" borderId="0" xfId="0" applyFill="1" applyBorder="1"/>
    <xf numFmtId="164" fontId="0" fillId="7" borderId="10" xfId="0" applyNumberFormat="1" applyFill="1" applyBorder="1"/>
    <xf numFmtId="0" fontId="0" fillId="7" borderId="4" xfId="0" applyFill="1" applyBorder="1"/>
    <xf numFmtId="0" fontId="0" fillId="7" borderId="5" xfId="0" applyFill="1" applyBorder="1"/>
    <xf numFmtId="0" fontId="0" fillId="7" borderId="6" xfId="0" applyFill="1" applyBorder="1"/>
    <xf numFmtId="0" fontId="0" fillId="0" borderId="0" xfId="0" applyAlignment="1">
      <alignment horizontal="center"/>
    </xf>
    <xf numFmtId="2" fontId="0" fillId="8" borderId="12" xfId="1" applyNumberFormat="1" applyFont="1" applyFill="1" applyBorder="1"/>
    <xf numFmtId="2" fontId="0" fillId="8" borderId="13" xfId="1" applyNumberFormat="1" applyFont="1" applyFill="1" applyBorder="1"/>
    <xf numFmtId="2" fontId="0" fillId="8" borderId="14" xfId="1" applyNumberFormat="1" applyFont="1" applyFill="1" applyBorder="1"/>
    <xf numFmtId="10" fontId="0" fillId="8" borderId="15" xfId="1" applyNumberFormat="1" applyFont="1" applyFill="1" applyBorder="1"/>
    <xf numFmtId="9" fontId="0" fillId="8" borderId="16" xfId="1" applyFont="1" applyFill="1" applyBorder="1"/>
    <xf numFmtId="9" fontId="0" fillId="8" borderId="17" xfId="1" applyFont="1" applyFill="1" applyBorder="1"/>
    <xf numFmtId="10" fontId="0" fillId="8" borderId="17" xfId="1" applyNumberFormat="1" applyFont="1" applyFill="1" applyBorder="1"/>
    <xf numFmtId="9" fontId="0" fillId="8" borderId="18" xfId="1" applyFont="1" applyFill="1" applyBorder="1"/>
    <xf numFmtId="9" fontId="0" fillId="8" borderId="19" xfId="1" applyFont="1" applyFill="1" applyBorder="1"/>
    <xf numFmtId="9" fontId="0" fillId="8" borderId="20" xfId="1" applyFont="1" applyFill="1" applyBorder="1"/>
    <xf numFmtId="9" fontId="0" fillId="8" borderId="21" xfId="1" applyFont="1" applyFill="1" applyBorder="1"/>
    <xf numFmtId="9" fontId="0" fillId="8" borderId="22" xfId="1" applyFont="1" applyFill="1" applyBorder="1"/>
    <xf numFmtId="10" fontId="0" fillId="8" borderId="22" xfId="1" applyNumberFormat="1" applyFont="1" applyFill="1" applyBorder="1"/>
    <xf numFmtId="9" fontId="0" fillId="8" borderId="23" xfId="1" applyFont="1" applyFill="1" applyBorder="1"/>
    <xf numFmtId="1" fontId="0" fillId="8" borderId="11" xfId="0" applyNumberFormat="1" applyFill="1" applyBorder="1" applyAlignment="1"/>
    <xf numFmtId="1" fontId="0" fillId="8" borderId="12" xfId="0" applyNumberFormat="1" applyFill="1" applyBorder="1"/>
    <xf numFmtId="0" fontId="0" fillId="8" borderId="13" xfId="0" applyFill="1" applyBorder="1"/>
    <xf numFmtId="0" fontId="0" fillId="8" borderId="14" xfId="0" applyFill="1" applyBorder="1"/>
    <xf numFmtId="0" fontId="0" fillId="8" borderId="0" xfId="0" applyFill="1"/>
    <xf numFmtId="0" fontId="0" fillId="0" borderId="0" xfId="0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4">
    <cellStyle name="Currency" xfId="3" builtinId="4"/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C3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Population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'Population Model'!$B$1</c:f>
              <c:strCache>
                <c:ptCount val="1"/>
                <c:pt idx="0">
                  <c:v>Population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'Population Model'!$A$2:$A$115</c:f>
              <c:numCache>
                <c:formatCode>General</c:formatCode>
                <c:ptCount val="114"/>
                <c:pt idx="1">
                  <c:v>0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  <c:pt idx="12">
                  <c:v>11</c:v>
                </c:pt>
                <c:pt idx="13">
                  <c:v>12</c:v>
                </c:pt>
                <c:pt idx="14">
                  <c:v>13</c:v>
                </c:pt>
                <c:pt idx="15">
                  <c:v>14</c:v>
                </c:pt>
                <c:pt idx="16">
                  <c:v>15</c:v>
                </c:pt>
                <c:pt idx="17">
                  <c:v>16</c:v>
                </c:pt>
                <c:pt idx="18">
                  <c:v>17</c:v>
                </c:pt>
                <c:pt idx="19">
                  <c:v>18</c:v>
                </c:pt>
                <c:pt idx="20">
                  <c:v>19</c:v>
                </c:pt>
                <c:pt idx="21">
                  <c:v>20</c:v>
                </c:pt>
                <c:pt idx="22">
                  <c:v>21</c:v>
                </c:pt>
                <c:pt idx="23">
                  <c:v>22</c:v>
                </c:pt>
                <c:pt idx="24">
                  <c:v>23</c:v>
                </c:pt>
                <c:pt idx="25">
                  <c:v>24</c:v>
                </c:pt>
                <c:pt idx="26">
                  <c:v>25</c:v>
                </c:pt>
                <c:pt idx="27">
                  <c:v>26</c:v>
                </c:pt>
                <c:pt idx="28">
                  <c:v>27</c:v>
                </c:pt>
                <c:pt idx="29">
                  <c:v>28</c:v>
                </c:pt>
                <c:pt idx="30">
                  <c:v>29</c:v>
                </c:pt>
                <c:pt idx="31">
                  <c:v>30</c:v>
                </c:pt>
                <c:pt idx="32">
                  <c:v>31</c:v>
                </c:pt>
                <c:pt idx="33">
                  <c:v>32</c:v>
                </c:pt>
                <c:pt idx="34">
                  <c:v>33</c:v>
                </c:pt>
                <c:pt idx="35">
                  <c:v>34</c:v>
                </c:pt>
                <c:pt idx="36">
                  <c:v>35</c:v>
                </c:pt>
                <c:pt idx="37">
                  <c:v>36</c:v>
                </c:pt>
                <c:pt idx="38">
                  <c:v>37</c:v>
                </c:pt>
                <c:pt idx="39">
                  <c:v>38</c:v>
                </c:pt>
                <c:pt idx="40">
                  <c:v>39</c:v>
                </c:pt>
                <c:pt idx="41">
                  <c:v>40</c:v>
                </c:pt>
                <c:pt idx="42">
                  <c:v>41</c:v>
                </c:pt>
                <c:pt idx="43">
                  <c:v>42</c:v>
                </c:pt>
                <c:pt idx="44">
                  <c:v>43</c:v>
                </c:pt>
                <c:pt idx="45">
                  <c:v>44</c:v>
                </c:pt>
                <c:pt idx="46">
                  <c:v>45</c:v>
                </c:pt>
                <c:pt idx="47">
                  <c:v>46</c:v>
                </c:pt>
                <c:pt idx="48">
                  <c:v>47</c:v>
                </c:pt>
                <c:pt idx="49">
                  <c:v>48</c:v>
                </c:pt>
                <c:pt idx="50">
                  <c:v>49</c:v>
                </c:pt>
                <c:pt idx="51">
                  <c:v>50</c:v>
                </c:pt>
                <c:pt idx="52">
                  <c:v>51</c:v>
                </c:pt>
                <c:pt idx="53">
                  <c:v>52</c:v>
                </c:pt>
                <c:pt idx="54">
                  <c:v>53</c:v>
                </c:pt>
                <c:pt idx="55">
                  <c:v>54</c:v>
                </c:pt>
                <c:pt idx="56">
                  <c:v>55</c:v>
                </c:pt>
                <c:pt idx="57">
                  <c:v>56</c:v>
                </c:pt>
                <c:pt idx="58">
                  <c:v>57</c:v>
                </c:pt>
                <c:pt idx="59">
                  <c:v>58</c:v>
                </c:pt>
                <c:pt idx="60">
                  <c:v>59</c:v>
                </c:pt>
                <c:pt idx="61">
                  <c:v>60</c:v>
                </c:pt>
                <c:pt idx="62">
                  <c:v>61</c:v>
                </c:pt>
                <c:pt idx="63">
                  <c:v>62</c:v>
                </c:pt>
                <c:pt idx="64">
                  <c:v>63</c:v>
                </c:pt>
                <c:pt idx="65">
                  <c:v>64</c:v>
                </c:pt>
                <c:pt idx="66">
                  <c:v>65</c:v>
                </c:pt>
                <c:pt idx="67">
                  <c:v>66</c:v>
                </c:pt>
                <c:pt idx="68">
                  <c:v>67</c:v>
                </c:pt>
                <c:pt idx="69">
                  <c:v>68</c:v>
                </c:pt>
                <c:pt idx="70">
                  <c:v>69</c:v>
                </c:pt>
                <c:pt idx="71">
                  <c:v>70</c:v>
                </c:pt>
                <c:pt idx="72">
                  <c:v>71</c:v>
                </c:pt>
                <c:pt idx="73">
                  <c:v>72</c:v>
                </c:pt>
                <c:pt idx="74">
                  <c:v>73</c:v>
                </c:pt>
                <c:pt idx="75">
                  <c:v>74</c:v>
                </c:pt>
                <c:pt idx="76">
                  <c:v>75</c:v>
                </c:pt>
                <c:pt idx="77">
                  <c:v>76</c:v>
                </c:pt>
                <c:pt idx="78">
                  <c:v>77</c:v>
                </c:pt>
                <c:pt idx="79">
                  <c:v>78</c:v>
                </c:pt>
                <c:pt idx="80">
                  <c:v>79</c:v>
                </c:pt>
                <c:pt idx="81">
                  <c:v>80</c:v>
                </c:pt>
                <c:pt idx="82">
                  <c:v>81</c:v>
                </c:pt>
                <c:pt idx="83">
                  <c:v>82</c:v>
                </c:pt>
                <c:pt idx="84">
                  <c:v>83</c:v>
                </c:pt>
                <c:pt idx="85">
                  <c:v>84</c:v>
                </c:pt>
                <c:pt idx="86">
                  <c:v>85</c:v>
                </c:pt>
                <c:pt idx="87">
                  <c:v>86</c:v>
                </c:pt>
                <c:pt idx="88">
                  <c:v>87</c:v>
                </c:pt>
                <c:pt idx="89">
                  <c:v>88</c:v>
                </c:pt>
                <c:pt idx="90">
                  <c:v>89</c:v>
                </c:pt>
                <c:pt idx="91">
                  <c:v>90</c:v>
                </c:pt>
                <c:pt idx="92">
                  <c:v>91</c:v>
                </c:pt>
                <c:pt idx="93">
                  <c:v>92</c:v>
                </c:pt>
                <c:pt idx="94">
                  <c:v>93</c:v>
                </c:pt>
                <c:pt idx="95">
                  <c:v>94</c:v>
                </c:pt>
                <c:pt idx="96">
                  <c:v>95</c:v>
                </c:pt>
                <c:pt idx="97">
                  <c:v>96</c:v>
                </c:pt>
                <c:pt idx="98">
                  <c:v>97</c:v>
                </c:pt>
                <c:pt idx="99">
                  <c:v>98</c:v>
                </c:pt>
                <c:pt idx="100">
                  <c:v>99</c:v>
                </c:pt>
                <c:pt idx="101">
                  <c:v>100</c:v>
                </c:pt>
                <c:pt idx="102">
                  <c:v>101</c:v>
                </c:pt>
                <c:pt idx="103">
                  <c:v>102</c:v>
                </c:pt>
                <c:pt idx="104">
                  <c:v>103</c:v>
                </c:pt>
                <c:pt idx="105">
                  <c:v>104</c:v>
                </c:pt>
                <c:pt idx="106">
                  <c:v>105</c:v>
                </c:pt>
                <c:pt idx="107">
                  <c:v>106</c:v>
                </c:pt>
                <c:pt idx="108">
                  <c:v>107</c:v>
                </c:pt>
                <c:pt idx="109">
                  <c:v>108</c:v>
                </c:pt>
                <c:pt idx="110">
                  <c:v>109</c:v>
                </c:pt>
                <c:pt idx="111">
                  <c:v>110</c:v>
                </c:pt>
                <c:pt idx="112">
                  <c:v>111</c:v>
                </c:pt>
                <c:pt idx="113">
                  <c:v>112</c:v>
                </c:pt>
              </c:numCache>
            </c:numRef>
          </c:xVal>
          <c:yVal>
            <c:numRef>
              <c:f>'Population Model'!$B$2:$B$115</c:f>
              <c:numCache>
                <c:formatCode>0.00</c:formatCode>
                <c:ptCount val="114"/>
                <c:pt idx="0">
                  <c:v>194</c:v>
                </c:pt>
                <c:pt idx="1">
                  <c:v>194</c:v>
                </c:pt>
                <c:pt idx="2">
                  <c:v>196</c:v>
                </c:pt>
                <c:pt idx="3">
                  <c:v>199</c:v>
                </c:pt>
                <c:pt idx="4">
                  <c:v>202</c:v>
                </c:pt>
                <c:pt idx="5">
                  <c:v>204</c:v>
                </c:pt>
                <c:pt idx="6">
                  <c:v>207</c:v>
                </c:pt>
                <c:pt idx="7">
                  <c:v>210</c:v>
                </c:pt>
                <c:pt idx="8">
                  <c:v>212</c:v>
                </c:pt>
                <c:pt idx="9">
                  <c:v>215</c:v>
                </c:pt>
                <c:pt idx="10">
                  <c:v>218</c:v>
                </c:pt>
                <c:pt idx="11">
                  <c:v>220</c:v>
                </c:pt>
                <c:pt idx="12">
                  <c:v>223</c:v>
                </c:pt>
                <c:pt idx="13">
                  <c:v>225</c:v>
                </c:pt>
                <c:pt idx="14">
                  <c:v>228</c:v>
                </c:pt>
                <c:pt idx="15">
                  <c:v>230</c:v>
                </c:pt>
                <c:pt idx="16">
                  <c:v>233</c:v>
                </c:pt>
                <c:pt idx="17">
                  <c:v>235</c:v>
                </c:pt>
                <c:pt idx="18">
                  <c:v>238</c:v>
                </c:pt>
                <c:pt idx="19">
                  <c:v>240</c:v>
                </c:pt>
                <c:pt idx="20">
                  <c:v>242</c:v>
                </c:pt>
                <c:pt idx="21">
                  <c:v>245</c:v>
                </c:pt>
                <c:pt idx="22">
                  <c:v>247</c:v>
                </c:pt>
                <c:pt idx="23">
                  <c:v>249</c:v>
                </c:pt>
                <c:pt idx="24">
                  <c:v>251</c:v>
                </c:pt>
                <c:pt idx="25">
                  <c:v>253</c:v>
                </c:pt>
                <c:pt idx="26">
                  <c:v>255</c:v>
                </c:pt>
                <c:pt idx="27">
                  <c:v>257</c:v>
                </c:pt>
                <c:pt idx="28">
                  <c:v>259</c:v>
                </c:pt>
                <c:pt idx="29">
                  <c:v>261</c:v>
                </c:pt>
                <c:pt idx="30">
                  <c:v>263</c:v>
                </c:pt>
                <c:pt idx="31">
                  <c:v>264</c:v>
                </c:pt>
                <c:pt idx="32">
                  <c:v>266</c:v>
                </c:pt>
                <c:pt idx="33">
                  <c:v>267</c:v>
                </c:pt>
                <c:pt idx="34">
                  <c:v>268</c:v>
                </c:pt>
                <c:pt idx="35">
                  <c:v>270</c:v>
                </c:pt>
                <c:pt idx="36">
                  <c:v>271</c:v>
                </c:pt>
                <c:pt idx="37">
                  <c:v>272</c:v>
                </c:pt>
                <c:pt idx="38">
                  <c:v>273</c:v>
                </c:pt>
                <c:pt idx="39">
                  <c:v>274</c:v>
                </c:pt>
                <c:pt idx="40">
                  <c:v>275</c:v>
                </c:pt>
                <c:pt idx="41">
                  <c:v>275</c:v>
                </c:pt>
                <c:pt idx="42">
                  <c:v>276</c:v>
                </c:pt>
                <c:pt idx="43">
                  <c:v>277</c:v>
                </c:pt>
                <c:pt idx="44">
                  <c:v>277</c:v>
                </c:pt>
                <c:pt idx="45">
                  <c:v>278</c:v>
                </c:pt>
                <c:pt idx="46">
                  <c:v>278</c:v>
                </c:pt>
                <c:pt idx="47">
                  <c:v>279</c:v>
                </c:pt>
                <c:pt idx="48">
                  <c:v>279</c:v>
                </c:pt>
                <c:pt idx="49">
                  <c:v>280</c:v>
                </c:pt>
                <c:pt idx="50">
                  <c:v>280</c:v>
                </c:pt>
                <c:pt idx="51">
                  <c:v>280</c:v>
                </c:pt>
                <c:pt idx="52">
                  <c:v>280</c:v>
                </c:pt>
                <c:pt idx="53">
                  <c:v>281</c:v>
                </c:pt>
                <c:pt idx="54">
                  <c:v>281</c:v>
                </c:pt>
                <c:pt idx="55">
                  <c:v>281</c:v>
                </c:pt>
                <c:pt idx="56">
                  <c:v>281</c:v>
                </c:pt>
                <c:pt idx="57">
                  <c:v>282</c:v>
                </c:pt>
                <c:pt idx="58">
                  <c:v>282</c:v>
                </c:pt>
                <c:pt idx="59">
                  <c:v>282</c:v>
                </c:pt>
                <c:pt idx="60">
                  <c:v>282</c:v>
                </c:pt>
                <c:pt idx="61">
                  <c:v>282</c:v>
                </c:pt>
                <c:pt idx="62">
                  <c:v>282</c:v>
                </c:pt>
                <c:pt idx="63">
                  <c:v>283</c:v>
                </c:pt>
                <c:pt idx="64">
                  <c:v>283</c:v>
                </c:pt>
                <c:pt idx="65">
                  <c:v>283</c:v>
                </c:pt>
                <c:pt idx="66">
                  <c:v>283</c:v>
                </c:pt>
                <c:pt idx="67">
                  <c:v>283</c:v>
                </c:pt>
                <c:pt idx="68">
                  <c:v>283</c:v>
                </c:pt>
                <c:pt idx="69">
                  <c:v>284</c:v>
                </c:pt>
                <c:pt idx="70">
                  <c:v>284</c:v>
                </c:pt>
                <c:pt idx="71">
                  <c:v>284</c:v>
                </c:pt>
                <c:pt idx="72">
                  <c:v>284</c:v>
                </c:pt>
                <c:pt idx="73">
                  <c:v>284</c:v>
                </c:pt>
                <c:pt idx="74">
                  <c:v>285</c:v>
                </c:pt>
                <c:pt idx="75">
                  <c:v>285</c:v>
                </c:pt>
                <c:pt idx="76">
                  <c:v>285</c:v>
                </c:pt>
                <c:pt idx="77">
                  <c:v>285</c:v>
                </c:pt>
                <c:pt idx="78">
                  <c:v>286</c:v>
                </c:pt>
                <c:pt idx="79">
                  <c:v>286</c:v>
                </c:pt>
                <c:pt idx="80">
                  <c:v>286</c:v>
                </c:pt>
                <c:pt idx="81">
                  <c:v>286</c:v>
                </c:pt>
                <c:pt idx="82">
                  <c:v>287</c:v>
                </c:pt>
                <c:pt idx="83">
                  <c:v>287</c:v>
                </c:pt>
                <c:pt idx="84">
                  <c:v>287</c:v>
                </c:pt>
                <c:pt idx="85">
                  <c:v>287</c:v>
                </c:pt>
                <c:pt idx="86">
                  <c:v>288</c:v>
                </c:pt>
                <c:pt idx="87">
                  <c:v>288</c:v>
                </c:pt>
                <c:pt idx="88">
                  <c:v>288</c:v>
                </c:pt>
                <c:pt idx="89">
                  <c:v>288</c:v>
                </c:pt>
                <c:pt idx="90">
                  <c:v>289</c:v>
                </c:pt>
                <c:pt idx="91">
                  <c:v>289</c:v>
                </c:pt>
                <c:pt idx="92">
                  <c:v>289</c:v>
                </c:pt>
                <c:pt idx="93">
                  <c:v>289</c:v>
                </c:pt>
                <c:pt idx="94">
                  <c:v>290</c:v>
                </c:pt>
                <c:pt idx="95">
                  <c:v>290</c:v>
                </c:pt>
                <c:pt idx="96">
                  <c:v>290</c:v>
                </c:pt>
                <c:pt idx="97">
                  <c:v>290</c:v>
                </c:pt>
                <c:pt idx="98">
                  <c:v>290</c:v>
                </c:pt>
                <c:pt idx="99">
                  <c:v>291</c:v>
                </c:pt>
                <c:pt idx="100">
                  <c:v>291</c:v>
                </c:pt>
                <c:pt idx="101">
                  <c:v>291</c:v>
                </c:pt>
                <c:pt idx="102">
                  <c:v>291</c:v>
                </c:pt>
                <c:pt idx="103">
                  <c:v>292</c:v>
                </c:pt>
                <c:pt idx="104">
                  <c:v>292</c:v>
                </c:pt>
                <c:pt idx="105">
                  <c:v>292</c:v>
                </c:pt>
                <c:pt idx="106">
                  <c:v>292</c:v>
                </c:pt>
                <c:pt idx="107">
                  <c:v>292</c:v>
                </c:pt>
                <c:pt idx="108">
                  <c:v>293</c:v>
                </c:pt>
                <c:pt idx="109">
                  <c:v>293</c:v>
                </c:pt>
                <c:pt idx="110">
                  <c:v>293</c:v>
                </c:pt>
                <c:pt idx="111">
                  <c:v>293</c:v>
                </c:pt>
                <c:pt idx="112">
                  <c:v>293</c:v>
                </c:pt>
                <c:pt idx="113">
                  <c:v>293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273-CF45-AA45-B4158FAEAE02}"/>
            </c:ext>
          </c:extLst>
        </c:ser>
        <c:ser>
          <c:idx val="1"/>
          <c:order val="1"/>
          <c:tx>
            <c:strRef>
              <c:f>'Population Model'!$C$1</c:f>
              <c:strCache>
                <c:ptCount val="1"/>
                <c:pt idx="0">
                  <c:v>Workforce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'Population Model'!$A$2:$A$115</c:f>
              <c:numCache>
                <c:formatCode>General</c:formatCode>
                <c:ptCount val="114"/>
                <c:pt idx="1">
                  <c:v>0</c:v>
                </c:pt>
                <c:pt idx="2">
                  <c:v>1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5</c:v>
                </c:pt>
                <c:pt idx="7">
                  <c:v>6</c:v>
                </c:pt>
                <c:pt idx="8">
                  <c:v>7</c:v>
                </c:pt>
                <c:pt idx="9">
                  <c:v>8</c:v>
                </c:pt>
                <c:pt idx="10">
                  <c:v>9</c:v>
                </c:pt>
                <c:pt idx="11">
                  <c:v>10</c:v>
                </c:pt>
                <c:pt idx="12">
                  <c:v>11</c:v>
                </c:pt>
                <c:pt idx="13">
                  <c:v>12</c:v>
                </c:pt>
                <c:pt idx="14">
                  <c:v>13</c:v>
                </c:pt>
                <c:pt idx="15">
                  <c:v>14</c:v>
                </c:pt>
                <c:pt idx="16">
                  <c:v>15</c:v>
                </c:pt>
                <c:pt idx="17">
                  <c:v>16</c:v>
                </c:pt>
                <c:pt idx="18">
                  <c:v>17</c:v>
                </c:pt>
                <c:pt idx="19">
                  <c:v>18</c:v>
                </c:pt>
                <c:pt idx="20">
                  <c:v>19</c:v>
                </c:pt>
                <c:pt idx="21">
                  <c:v>20</c:v>
                </c:pt>
                <c:pt idx="22">
                  <c:v>21</c:v>
                </c:pt>
                <c:pt idx="23">
                  <c:v>22</c:v>
                </c:pt>
                <c:pt idx="24">
                  <c:v>23</c:v>
                </c:pt>
                <c:pt idx="25">
                  <c:v>24</c:v>
                </c:pt>
                <c:pt idx="26">
                  <c:v>25</c:v>
                </c:pt>
                <c:pt idx="27">
                  <c:v>26</c:v>
                </c:pt>
                <c:pt idx="28">
                  <c:v>27</c:v>
                </c:pt>
                <c:pt idx="29">
                  <c:v>28</c:v>
                </c:pt>
                <c:pt idx="30">
                  <c:v>29</c:v>
                </c:pt>
                <c:pt idx="31">
                  <c:v>30</c:v>
                </c:pt>
                <c:pt idx="32">
                  <c:v>31</c:v>
                </c:pt>
                <c:pt idx="33">
                  <c:v>32</c:v>
                </c:pt>
                <c:pt idx="34">
                  <c:v>33</c:v>
                </c:pt>
                <c:pt idx="35">
                  <c:v>34</c:v>
                </c:pt>
                <c:pt idx="36">
                  <c:v>35</c:v>
                </c:pt>
                <c:pt idx="37">
                  <c:v>36</c:v>
                </c:pt>
                <c:pt idx="38">
                  <c:v>37</c:v>
                </c:pt>
                <c:pt idx="39">
                  <c:v>38</c:v>
                </c:pt>
                <c:pt idx="40">
                  <c:v>39</c:v>
                </c:pt>
                <c:pt idx="41">
                  <c:v>40</c:v>
                </c:pt>
                <c:pt idx="42">
                  <c:v>41</c:v>
                </c:pt>
                <c:pt idx="43">
                  <c:v>42</c:v>
                </c:pt>
                <c:pt idx="44">
                  <c:v>43</c:v>
                </c:pt>
                <c:pt idx="45">
                  <c:v>44</c:v>
                </c:pt>
                <c:pt idx="46">
                  <c:v>45</c:v>
                </c:pt>
                <c:pt idx="47">
                  <c:v>46</c:v>
                </c:pt>
                <c:pt idx="48">
                  <c:v>47</c:v>
                </c:pt>
                <c:pt idx="49">
                  <c:v>48</c:v>
                </c:pt>
                <c:pt idx="50">
                  <c:v>49</c:v>
                </c:pt>
                <c:pt idx="51">
                  <c:v>50</c:v>
                </c:pt>
                <c:pt idx="52">
                  <c:v>51</c:v>
                </c:pt>
                <c:pt idx="53">
                  <c:v>52</c:v>
                </c:pt>
                <c:pt idx="54">
                  <c:v>53</c:v>
                </c:pt>
                <c:pt idx="55">
                  <c:v>54</c:v>
                </c:pt>
                <c:pt idx="56">
                  <c:v>55</c:v>
                </c:pt>
                <c:pt idx="57">
                  <c:v>56</c:v>
                </c:pt>
                <c:pt idx="58">
                  <c:v>57</c:v>
                </c:pt>
                <c:pt idx="59">
                  <c:v>58</c:v>
                </c:pt>
                <c:pt idx="60">
                  <c:v>59</c:v>
                </c:pt>
                <c:pt idx="61">
                  <c:v>60</c:v>
                </c:pt>
                <c:pt idx="62">
                  <c:v>61</c:v>
                </c:pt>
                <c:pt idx="63">
                  <c:v>62</c:v>
                </c:pt>
                <c:pt idx="64">
                  <c:v>63</c:v>
                </c:pt>
                <c:pt idx="65">
                  <c:v>64</c:v>
                </c:pt>
                <c:pt idx="66">
                  <c:v>65</c:v>
                </c:pt>
                <c:pt idx="67">
                  <c:v>66</c:v>
                </c:pt>
                <c:pt idx="68">
                  <c:v>67</c:v>
                </c:pt>
                <c:pt idx="69">
                  <c:v>68</c:v>
                </c:pt>
                <c:pt idx="70">
                  <c:v>69</c:v>
                </c:pt>
                <c:pt idx="71">
                  <c:v>70</c:v>
                </c:pt>
                <c:pt idx="72">
                  <c:v>71</c:v>
                </c:pt>
                <c:pt idx="73">
                  <c:v>72</c:v>
                </c:pt>
                <c:pt idx="74">
                  <c:v>73</c:v>
                </c:pt>
                <c:pt idx="75">
                  <c:v>74</c:v>
                </c:pt>
                <c:pt idx="76">
                  <c:v>75</c:v>
                </c:pt>
                <c:pt idx="77">
                  <c:v>76</c:v>
                </c:pt>
                <c:pt idx="78">
                  <c:v>77</c:v>
                </c:pt>
                <c:pt idx="79">
                  <c:v>78</c:v>
                </c:pt>
                <c:pt idx="80">
                  <c:v>79</c:v>
                </c:pt>
                <c:pt idx="81">
                  <c:v>80</c:v>
                </c:pt>
                <c:pt idx="82">
                  <c:v>81</c:v>
                </c:pt>
                <c:pt idx="83">
                  <c:v>82</c:v>
                </c:pt>
                <c:pt idx="84">
                  <c:v>83</c:v>
                </c:pt>
                <c:pt idx="85">
                  <c:v>84</c:v>
                </c:pt>
                <c:pt idx="86">
                  <c:v>85</c:v>
                </c:pt>
                <c:pt idx="87">
                  <c:v>86</c:v>
                </c:pt>
                <c:pt idx="88">
                  <c:v>87</c:v>
                </c:pt>
                <c:pt idx="89">
                  <c:v>88</c:v>
                </c:pt>
                <c:pt idx="90">
                  <c:v>89</c:v>
                </c:pt>
                <c:pt idx="91">
                  <c:v>90</c:v>
                </c:pt>
                <c:pt idx="92">
                  <c:v>91</c:v>
                </c:pt>
                <c:pt idx="93">
                  <c:v>92</c:v>
                </c:pt>
                <c:pt idx="94">
                  <c:v>93</c:v>
                </c:pt>
                <c:pt idx="95">
                  <c:v>94</c:v>
                </c:pt>
                <c:pt idx="96">
                  <c:v>95</c:v>
                </c:pt>
                <c:pt idx="97">
                  <c:v>96</c:v>
                </c:pt>
                <c:pt idx="98">
                  <c:v>97</c:v>
                </c:pt>
                <c:pt idx="99">
                  <c:v>98</c:v>
                </c:pt>
                <c:pt idx="100">
                  <c:v>99</c:v>
                </c:pt>
                <c:pt idx="101">
                  <c:v>100</c:v>
                </c:pt>
                <c:pt idx="102">
                  <c:v>101</c:v>
                </c:pt>
                <c:pt idx="103">
                  <c:v>102</c:v>
                </c:pt>
                <c:pt idx="104">
                  <c:v>103</c:v>
                </c:pt>
                <c:pt idx="105">
                  <c:v>104</c:v>
                </c:pt>
                <c:pt idx="106">
                  <c:v>105</c:v>
                </c:pt>
                <c:pt idx="107">
                  <c:v>106</c:v>
                </c:pt>
                <c:pt idx="108">
                  <c:v>107</c:v>
                </c:pt>
                <c:pt idx="109">
                  <c:v>108</c:v>
                </c:pt>
                <c:pt idx="110">
                  <c:v>109</c:v>
                </c:pt>
                <c:pt idx="111">
                  <c:v>110</c:v>
                </c:pt>
                <c:pt idx="112">
                  <c:v>111</c:v>
                </c:pt>
                <c:pt idx="113">
                  <c:v>112</c:v>
                </c:pt>
              </c:numCache>
            </c:numRef>
          </c:xVal>
          <c:yVal>
            <c:numRef>
              <c:f>'Population Model'!$C$2:$C$115</c:f>
              <c:numCache>
                <c:formatCode>0</c:formatCode>
                <c:ptCount val="114"/>
                <c:pt idx="1">
                  <c:v>194</c:v>
                </c:pt>
                <c:pt idx="2">
                  <c:v>193</c:v>
                </c:pt>
                <c:pt idx="3">
                  <c:v>194</c:v>
                </c:pt>
                <c:pt idx="4">
                  <c:v>194</c:v>
                </c:pt>
                <c:pt idx="5">
                  <c:v>192</c:v>
                </c:pt>
                <c:pt idx="6">
                  <c:v>189</c:v>
                </c:pt>
                <c:pt idx="7">
                  <c:v>190</c:v>
                </c:pt>
                <c:pt idx="8">
                  <c:v>188</c:v>
                </c:pt>
                <c:pt idx="9">
                  <c:v>188</c:v>
                </c:pt>
                <c:pt idx="10">
                  <c:v>188</c:v>
                </c:pt>
                <c:pt idx="11">
                  <c:v>186</c:v>
                </c:pt>
                <c:pt idx="12">
                  <c:v>185</c:v>
                </c:pt>
                <c:pt idx="13">
                  <c:v>183</c:v>
                </c:pt>
                <c:pt idx="14">
                  <c:v>182</c:v>
                </c:pt>
                <c:pt idx="15">
                  <c:v>180</c:v>
                </c:pt>
                <c:pt idx="16">
                  <c:v>179</c:v>
                </c:pt>
                <c:pt idx="17">
                  <c:v>177</c:v>
                </c:pt>
                <c:pt idx="18">
                  <c:v>175</c:v>
                </c:pt>
                <c:pt idx="19">
                  <c:v>173</c:v>
                </c:pt>
                <c:pt idx="20">
                  <c:v>171</c:v>
                </c:pt>
                <c:pt idx="21">
                  <c:v>168</c:v>
                </c:pt>
                <c:pt idx="22">
                  <c:v>166</c:v>
                </c:pt>
                <c:pt idx="23">
                  <c:v>164</c:v>
                </c:pt>
                <c:pt idx="24">
                  <c:v>162</c:v>
                </c:pt>
                <c:pt idx="25">
                  <c:v>160</c:v>
                </c:pt>
                <c:pt idx="26">
                  <c:v>157</c:v>
                </c:pt>
                <c:pt idx="27">
                  <c:v>155</c:v>
                </c:pt>
                <c:pt idx="28">
                  <c:v>154</c:v>
                </c:pt>
                <c:pt idx="29">
                  <c:v>152</c:v>
                </c:pt>
                <c:pt idx="30">
                  <c:v>150</c:v>
                </c:pt>
                <c:pt idx="31">
                  <c:v>149</c:v>
                </c:pt>
                <c:pt idx="32">
                  <c:v>147</c:v>
                </c:pt>
                <c:pt idx="33">
                  <c:v>146</c:v>
                </c:pt>
                <c:pt idx="34">
                  <c:v>144</c:v>
                </c:pt>
                <c:pt idx="35">
                  <c:v>144</c:v>
                </c:pt>
                <c:pt idx="36">
                  <c:v>143</c:v>
                </c:pt>
                <c:pt idx="37">
                  <c:v>141</c:v>
                </c:pt>
                <c:pt idx="38">
                  <c:v>141</c:v>
                </c:pt>
                <c:pt idx="39">
                  <c:v>140</c:v>
                </c:pt>
                <c:pt idx="40">
                  <c:v>140</c:v>
                </c:pt>
                <c:pt idx="41">
                  <c:v>139</c:v>
                </c:pt>
                <c:pt idx="42">
                  <c:v>138</c:v>
                </c:pt>
                <c:pt idx="43">
                  <c:v>138</c:v>
                </c:pt>
                <c:pt idx="44">
                  <c:v>138</c:v>
                </c:pt>
                <c:pt idx="45">
                  <c:v>138</c:v>
                </c:pt>
                <c:pt idx="46">
                  <c:v>138</c:v>
                </c:pt>
                <c:pt idx="47">
                  <c:v>139</c:v>
                </c:pt>
                <c:pt idx="48">
                  <c:v>139</c:v>
                </c:pt>
                <c:pt idx="49">
                  <c:v>139</c:v>
                </c:pt>
                <c:pt idx="50">
                  <c:v>139</c:v>
                </c:pt>
                <c:pt idx="51">
                  <c:v>138</c:v>
                </c:pt>
                <c:pt idx="52">
                  <c:v>139</c:v>
                </c:pt>
                <c:pt idx="53">
                  <c:v>140</c:v>
                </c:pt>
                <c:pt idx="54">
                  <c:v>140</c:v>
                </c:pt>
                <c:pt idx="55">
                  <c:v>140</c:v>
                </c:pt>
                <c:pt idx="56">
                  <c:v>140</c:v>
                </c:pt>
                <c:pt idx="57">
                  <c:v>142</c:v>
                </c:pt>
                <c:pt idx="58">
                  <c:v>142</c:v>
                </c:pt>
                <c:pt idx="59">
                  <c:v>142</c:v>
                </c:pt>
                <c:pt idx="60">
                  <c:v>143</c:v>
                </c:pt>
                <c:pt idx="61">
                  <c:v>143</c:v>
                </c:pt>
                <c:pt idx="62">
                  <c:v>143</c:v>
                </c:pt>
                <c:pt idx="63">
                  <c:v>144</c:v>
                </c:pt>
                <c:pt idx="64">
                  <c:v>145</c:v>
                </c:pt>
                <c:pt idx="65">
                  <c:v>145</c:v>
                </c:pt>
                <c:pt idx="66">
                  <c:v>145</c:v>
                </c:pt>
                <c:pt idx="67">
                  <c:v>145</c:v>
                </c:pt>
                <c:pt idx="68">
                  <c:v>146</c:v>
                </c:pt>
                <c:pt idx="69">
                  <c:v>147</c:v>
                </c:pt>
                <c:pt idx="70">
                  <c:v>147</c:v>
                </c:pt>
                <c:pt idx="71">
                  <c:v>147</c:v>
                </c:pt>
                <c:pt idx="72">
                  <c:v>147</c:v>
                </c:pt>
                <c:pt idx="73">
                  <c:v>147</c:v>
                </c:pt>
                <c:pt idx="74">
                  <c:v>148</c:v>
                </c:pt>
                <c:pt idx="75">
                  <c:v>148</c:v>
                </c:pt>
                <c:pt idx="76">
                  <c:v>149</c:v>
                </c:pt>
                <c:pt idx="77">
                  <c:v>149</c:v>
                </c:pt>
                <c:pt idx="78">
                  <c:v>150</c:v>
                </c:pt>
                <c:pt idx="79">
                  <c:v>150</c:v>
                </c:pt>
                <c:pt idx="80">
                  <c:v>150</c:v>
                </c:pt>
                <c:pt idx="81">
                  <c:v>149</c:v>
                </c:pt>
                <c:pt idx="82">
                  <c:v>150</c:v>
                </c:pt>
                <c:pt idx="83">
                  <c:v>150</c:v>
                </c:pt>
                <c:pt idx="84">
                  <c:v>150</c:v>
                </c:pt>
                <c:pt idx="85">
                  <c:v>150</c:v>
                </c:pt>
                <c:pt idx="86">
                  <c:v>151</c:v>
                </c:pt>
                <c:pt idx="87">
                  <c:v>151</c:v>
                </c:pt>
                <c:pt idx="88">
                  <c:v>151</c:v>
                </c:pt>
                <c:pt idx="89">
                  <c:v>151</c:v>
                </c:pt>
                <c:pt idx="90">
                  <c:v>151</c:v>
                </c:pt>
                <c:pt idx="91">
                  <c:v>151</c:v>
                </c:pt>
                <c:pt idx="92">
                  <c:v>151</c:v>
                </c:pt>
                <c:pt idx="93">
                  <c:v>151</c:v>
                </c:pt>
                <c:pt idx="94">
                  <c:v>152</c:v>
                </c:pt>
                <c:pt idx="95">
                  <c:v>152</c:v>
                </c:pt>
                <c:pt idx="96">
                  <c:v>152</c:v>
                </c:pt>
                <c:pt idx="97">
                  <c:v>151</c:v>
                </c:pt>
                <c:pt idx="98">
                  <c:v>151</c:v>
                </c:pt>
                <c:pt idx="99">
                  <c:v>152</c:v>
                </c:pt>
                <c:pt idx="100">
                  <c:v>152</c:v>
                </c:pt>
                <c:pt idx="101">
                  <c:v>152</c:v>
                </c:pt>
                <c:pt idx="102">
                  <c:v>151</c:v>
                </c:pt>
                <c:pt idx="103">
                  <c:v>152</c:v>
                </c:pt>
                <c:pt idx="104">
                  <c:v>152</c:v>
                </c:pt>
                <c:pt idx="105">
                  <c:v>152</c:v>
                </c:pt>
                <c:pt idx="106">
                  <c:v>152</c:v>
                </c:pt>
                <c:pt idx="107">
                  <c:v>152</c:v>
                </c:pt>
                <c:pt idx="108">
                  <c:v>153</c:v>
                </c:pt>
                <c:pt idx="109">
                  <c:v>152</c:v>
                </c:pt>
                <c:pt idx="110">
                  <c:v>152</c:v>
                </c:pt>
                <c:pt idx="111">
                  <c:v>152</c:v>
                </c:pt>
                <c:pt idx="112">
                  <c:v>152</c:v>
                </c:pt>
                <c:pt idx="113">
                  <c:v>152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273-CF45-AA45-B4158FAEAE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67299135"/>
        <c:axId val="267287823"/>
      </c:scatterChart>
      <c:valAx>
        <c:axId val="2672991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7287823"/>
        <c:crosses val="autoZero"/>
        <c:crossBetween val="midCat"/>
      </c:valAx>
      <c:valAx>
        <c:axId val="267287823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67299135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Dietary Content by Life Expectancy</a:t>
            </a:r>
            <a:r>
              <a:rPr lang="en-US" baseline="0"/>
              <a:t> (Highest Left)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Diet!$G$8</c:f>
              <c:strCache>
                <c:ptCount val="1"/>
                <c:pt idx="0">
                  <c:v>Other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Diet!$G$9:$G$21</c:f>
              <c:numCache>
                <c:formatCode>General</c:formatCode>
                <c:ptCount val="13"/>
                <c:pt idx="0">
                  <c:v>49</c:v>
                </c:pt>
                <c:pt idx="1">
                  <c:v>120</c:v>
                </c:pt>
                <c:pt idx="2">
                  <c:v>68</c:v>
                </c:pt>
                <c:pt idx="3">
                  <c:v>45</c:v>
                </c:pt>
                <c:pt idx="4">
                  <c:v>48</c:v>
                </c:pt>
                <c:pt idx="5">
                  <c:v>93</c:v>
                </c:pt>
                <c:pt idx="6">
                  <c:v>47</c:v>
                </c:pt>
                <c:pt idx="7">
                  <c:v>30</c:v>
                </c:pt>
                <c:pt idx="8">
                  <c:v>25</c:v>
                </c:pt>
                <c:pt idx="9">
                  <c:v>110</c:v>
                </c:pt>
                <c:pt idx="10">
                  <c:v>36</c:v>
                </c:pt>
                <c:pt idx="11">
                  <c:v>27</c:v>
                </c:pt>
                <c:pt idx="1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0B-9B42-BCEA-08E680647757}"/>
            </c:ext>
          </c:extLst>
        </c:ser>
        <c:ser>
          <c:idx val="1"/>
          <c:order val="1"/>
          <c:tx>
            <c:strRef>
              <c:f>Diet!$H$8</c:f>
              <c:strCache>
                <c:ptCount val="1"/>
                <c:pt idx="0">
                  <c:v>Sugar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Diet!$H$9:$H$21</c:f>
              <c:numCache>
                <c:formatCode>General</c:formatCode>
                <c:ptCount val="13"/>
                <c:pt idx="0">
                  <c:v>254</c:v>
                </c:pt>
                <c:pt idx="1">
                  <c:v>434</c:v>
                </c:pt>
                <c:pt idx="2">
                  <c:v>384</c:v>
                </c:pt>
                <c:pt idx="3">
                  <c:v>434</c:v>
                </c:pt>
                <c:pt idx="4">
                  <c:v>395</c:v>
                </c:pt>
                <c:pt idx="5">
                  <c:v>394</c:v>
                </c:pt>
                <c:pt idx="6">
                  <c:v>348</c:v>
                </c:pt>
                <c:pt idx="7">
                  <c:v>600</c:v>
                </c:pt>
                <c:pt idx="8">
                  <c:v>71</c:v>
                </c:pt>
                <c:pt idx="9">
                  <c:v>308</c:v>
                </c:pt>
                <c:pt idx="10">
                  <c:v>439</c:v>
                </c:pt>
                <c:pt idx="11">
                  <c:v>236</c:v>
                </c:pt>
                <c:pt idx="12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0B-9B42-BCEA-08E680647757}"/>
            </c:ext>
          </c:extLst>
        </c:ser>
        <c:ser>
          <c:idx val="2"/>
          <c:order val="2"/>
          <c:tx>
            <c:strRef>
              <c:f>Diet!$I$8</c:f>
              <c:strCache>
                <c:ptCount val="1"/>
                <c:pt idx="0">
                  <c:v>Oils &amp; Fats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Diet!$I$9:$I$21</c:f>
              <c:numCache>
                <c:formatCode>General</c:formatCode>
                <c:ptCount val="13"/>
                <c:pt idx="0">
                  <c:v>506</c:v>
                </c:pt>
                <c:pt idx="1">
                  <c:v>457</c:v>
                </c:pt>
                <c:pt idx="2">
                  <c:v>774</c:v>
                </c:pt>
                <c:pt idx="3">
                  <c:v>919</c:v>
                </c:pt>
                <c:pt idx="4">
                  <c:v>551</c:v>
                </c:pt>
                <c:pt idx="5">
                  <c:v>609</c:v>
                </c:pt>
                <c:pt idx="6">
                  <c:v>628</c:v>
                </c:pt>
                <c:pt idx="7">
                  <c:v>890</c:v>
                </c:pt>
                <c:pt idx="8">
                  <c:v>334</c:v>
                </c:pt>
                <c:pt idx="9">
                  <c:v>581</c:v>
                </c:pt>
                <c:pt idx="10">
                  <c:v>482</c:v>
                </c:pt>
                <c:pt idx="11">
                  <c:v>330</c:v>
                </c:pt>
                <c:pt idx="12">
                  <c:v>327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50B-9B42-BCEA-08E680647757}"/>
            </c:ext>
          </c:extLst>
        </c:ser>
        <c:ser>
          <c:idx val="3"/>
          <c:order val="3"/>
          <c:tx>
            <c:strRef>
              <c:f>Diet!$J$8</c:f>
              <c:strCache>
                <c:ptCount val="1"/>
                <c:pt idx="0">
                  <c:v>Meat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Diet!$J$9:$J$21</c:f>
              <c:numCache>
                <c:formatCode>General</c:formatCode>
                <c:ptCount val="13"/>
                <c:pt idx="0">
                  <c:v>318</c:v>
                </c:pt>
                <c:pt idx="1">
                  <c:v>710</c:v>
                </c:pt>
                <c:pt idx="2">
                  <c:v>517</c:v>
                </c:pt>
                <c:pt idx="3">
                  <c:v>390</c:v>
                </c:pt>
                <c:pt idx="4">
                  <c:v>439</c:v>
                </c:pt>
                <c:pt idx="5">
                  <c:v>476</c:v>
                </c:pt>
                <c:pt idx="6">
                  <c:v>388</c:v>
                </c:pt>
                <c:pt idx="7">
                  <c:v>459</c:v>
                </c:pt>
                <c:pt idx="8">
                  <c:v>533</c:v>
                </c:pt>
                <c:pt idx="9">
                  <c:v>281</c:v>
                </c:pt>
                <c:pt idx="10">
                  <c:v>372</c:v>
                </c:pt>
                <c:pt idx="11">
                  <c:v>24</c:v>
                </c:pt>
                <c:pt idx="12">
                  <c:v>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50B-9B42-BCEA-08E680647757}"/>
            </c:ext>
          </c:extLst>
        </c:ser>
        <c:ser>
          <c:idx val="4"/>
          <c:order val="4"/>
          <c:tx>
            <c:strRef>
              <c:f>Diet!$K$8</c:f>
              <c:strCache>
                <c:ptCount val="1"/>
                <c:pt idx="0">
                  <c:v>Dairy &amp; Eggs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Diet!$K$9:$K$21</c:f>
              <c:numCache>
                <c:formatCode>General</c:formatCode>
                <c:ptCount val="13"/>
                <c:pt idx="0">
                  <c:v>189</c:v>
                </c:pt>
                <c:pt idx="1">
                  <c:v>573</c:v>
                </c:pt>
                <c:pt idx="2">
                  <c:v>371</c:v>
                </c:pt>
                <c:pt idx="3">
                  <c:v>242</c:v>
                </c:pt>
                <c:pt idx="4">
                  <c:v>393</c:v>
                </c:pt>
                <c:pt idx="5">
                  <c:v>384</c:v>
                </c:pt>
                <c:pt idx="6">
                  <c:v>85</c:v>
                </c:pt>
                <c:pt idx="7">
                  <c:v>424</c:v>
                </c:pt>
                <c:pt idx="8">
                  <c:v>134</c:v>
                </c:pt>
                <c:pt idx="9">
                  <c:v>161</c:v>
                </c:pt>
                <c:pt idx="10">
                  <c:v>328</c:v>
                </c:pt>
                <c:pt idx="11">
                  <c:v>139</c:v>
                </c:pt>
                <c:pt idx="12">
                  <c:v>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50B-9B42-BCEA-08E680647757}"/>
            </c:ext>
          </c:extLst>
        </c:ser>
        <c:ser>
          <c:idx val="5"/>
          <c:order val="5"/>
          <c:tx>
            <c:strRef>
              <c:f>Diet!$L$8</c:f>
              <c:strCache>
                <c:ptCount val="1"/>
                <c:pt idx="0">
                  <c:v>Fruits &amp; Vegetables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Diet!$L$9:$L$21</c:f>
              <c:numCache>
                <c:formatCode>General</c:formatCode>
                <c:ptCount val="13"/>
                <c:pt idx="0">
                  <c:v>124</c:v>
                </c:pt>
                <c:pt idx="1">
                  <c:v>196</c:v>
                </c:pt>
                <c:pt idx="2">
                  <c:v>183</c:v>
                </c:pt>
                <c:pt idx="3">
                  <c:v>214</c:v>
                </c:pt>
                <c:pt idx="4">
                  <c:v>211</c:v>
                </c:pt>
                <c:pt idx="5">
                  <c:v>212</c:v>
                </c:pt>
                <c:pt idx="6">
                  <c:v>245</c:v>
                </c:pt>
                <c:pt idx="7">
                  <c:v>188</c:v>
                </c:pt>
                <c:pt idx="8">
                  <c:v>335</c:v>
                </c:pt>
                <c:pt idx="9">
                  <c:v>290</c:v>
                </c:pt>
                <c:pt idx="10">
                  <c:v>162</c:v>
                </c:pt>
                <c:pt idx="11">
                  <c:v>131</c:v>
                </c:pt>
                <c:pt idx="12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50B-9B42-BCEA-08E680647757}"/>
            </c:ext>
          </c:extLst>
        </c:ser>
        <c:ser>
          <c:idx val="6"/>
          <c:order val="6"/>
          <c:tx>
            <c:strRef>
              <c:f>Diet!$M$8</c:f>
              <c:strCache>
                <c:ptCount val="1"/>
                <c:pt idx="0">
                  <c:v>Starchy Roots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Diet!$M$9:$M$21</c:f>
              <c:numCache>
                <c:formatCode>General</c:formatCode>
                <c:ptCount val="13"/>
                <c:pt idx="0">
                  <c:v>60</c:v>
                </c:pt>
                <c:pt idx="1">
                  <c:v>54</c:v>
                </c:pt>
                <c:pt idx="2">
                  <c:v>90</c:v>
                </c:pt>
                <c:pt idx="3">
                  <c:v>120</c:v>
                </c:pt>
                <c:pt idx="4">
                  <c:v>154</c:v>
                </c:pt>
                <c:pt idx="5">
                  <c:v>181</c:v>
                </c:pt>
                <c:pt idx="6">
                  <c:v>40</c:v>
                </c:pt>
                <c:pt idx="7">
                  <c:v>92</c:v>
                </c:pt>
                <c:pt idx="8">
                  <c:v>152</c:v>
                </c:pt>
                <c:pt idx="9">
                  <c:v>39</c:v>
                </c:pt>
                <c:pt idx="10">
                  <c:v>207</c:v>
                </c:pt>
                <c:pt idx="11">
                  <c:v>60</c:v>
                </c:pt>
                <c:pt idx="12">
                  <c:v>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50B-9B42-BCEA-08E680647757}"/>
            </c:ext>
          </c:extLst>
        </c:ser>
        <c:ser>
          <c:idx val="7"/>
          <c:order val="7"/>
          <c:tx>
            <c:strRef>
              <c:f>Diet!$N$8</c:f>
              <c:strCache>
                <c:ptCount val="1"/>
                <c:pt idx="0">
                  <c:v>Pulses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Diet!$N$9:$N$21</c:f>
              <c:numCache>
                <c:formatCode>General</c:formatCode>
                <c:ptCount val="13"/>
                <c:pt idx="0">
                  <c:v>13</c:v>
                </c:pt>
                <c:pt idx="1">
                  <c:v>7</c:v>
                </c:pt>
                <c:pt idx="2">
                  <c:v>12</c:v>
                </c:pt>
                <c:pt idx="3">
                  <c:v>115</c:v>
                </c:pt>
                <c:pt idx="4">
                  <c:v>31</c:v>
                </c:pt>
                <c:pt idx="5">
                  <c:v>32</c:v>
                </c:pt>
                <c:pt idx="6">
                  <c:v>12</c:v>
                </c:pt>
                <c:pt idx="7">
                  <c:v>39</c:v>
                </c:pt>
                <c:pt idx="8">
                  <c:v>12</c:v>
                </c:pt>
                <c:pt idx="9">
                  <c:v>58</c:v>
                </c:pt>
                <c:pt idx="10">
                  <c:v>17</c:v>
                </c:pt>
                <c:pt idx="11">
                  <c:v>137</c:v>
                </c:pt>
                <c:pt idx="12">
                  <c:v>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50B-9B42-BCEA-08E680647757}"/>
            </c:ext>
          </c:extLst>
        </c:ser>
        <c:ser>
          <c:idx val="8"/>
          <c:order val="8"/>
          <c:tx>
            <c:strRef>
              <c:f>Diet!$O$8</c:f>
              <c:strCache>
                <c:ptCount val="1"/>
                <c:pt idx="0">
                  <c:v>Cereals &amp; Grains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Diet!$O$9:$O$21</c:f>
              <c:numCache>
                <c:formatCode>General</c:formatCode>
                <c:ptCount val="13"/>
                <c:pt idx="0">
                  <c:v>1082</c:v>
                </c:pt>
                <c:pt idx="1">
                  <c:v>698</c:v>
                </c:pt>
                <c:pt idx="2">
                  <c:v>741</c:v>
                </c:pt>
                <c:pt idx="3">
                  <c:v>909</c:v>
                </c:pt>
                <c:pt idx="4">
                  <c:v>1073</c:v>
                </c:pt>
                <c:pt idx="5">
                  <c:v>890</c:v>
                </c:pt>
                <c:pt idx="6">
                  <c:v>1406</c:v>
                </c:pt>
                <c:pt idx="7">
                  <c:v>801</c:v>
                </c:pt>
                <c:pt idx="8">
                  <c:v>1417</c:v>
                </c:pt>
                <c:pt idx="9">
                  <c:v>1427</c:v>
                </c:pt>
                <c:pt idx="10">
                  <c:v>1153</c:v>
                </c:pt>
                <c:pt idx="11">
                  <c:v>1361</c:v>
                </c:pt>
                <c:pt idx="12">
                  <c:v>1315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50B-9B42-BCEA-08E680647757}"/>
            </c:ext>
          </c:extLst>
        </c:ser>
        <c:ser>
          <c:idx val="9"/>
          <c:order val="9"/>
          <c:tx>
            <c:strRef>
              <c:f>Diet!$P$8</c:f>
              <c:strCache>
                <c:ptCount val="1"/>
                <c:pt idx="0">
                  <c:v>Alcoholic Beverages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Diet!$P$9:$P$21</c:f>
              <c:numCache>
                <c:formatCode>General</c:formatCode>
                <c:ptCount val="13"/>
                <c:pt idx="0">
                  <c:v>131</c:v>
                </c:pt>
                <c:pt idx="1">
                  <c:v>131</c:v>
                </c:pt>
                <c:pt idx="2">
                  <c:v>136</c:v>
                </c:pt>
                <c:pt idx="3">
                  <c:v>106</c:v>
                </c:pt>
                <c:pt idx="4">
                  <c:v>305</c:v>
                </c:pt>
                <c:pt idx="5">
                  <c:v>153</c:v>
                </c:pt>
                <c:pt idx="6">
                  <c:v>135</c:v>
                </c:pt>
                <c:pt idx="7">
                  <c:v>159</c:v>
                </c:pt>
                <c:pt idx="8">
                  <c:v>95</c:v>
                </c:pt>
                <c:pt idx="9">
                  <c:v>0</c:v>
                </c:pt>
                <c:pt idx="10">
                  <c:v>165</c:v>
                </c:pt>
                <c:pt idx="11">
                  <c:v>14</c:v>
                </c:pt>
                <c:pt idx="1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50B-9B42-BCEA-08E6806477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5506703"/>
        <c:axId val="1275594799"/>
      </c:lineChart>
      <c:catAx>
        <c:axId val="12755067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94799"/>
        <c:crosses val="autoZero"/>
        <c:auto val="1"/>
        <c:lblAlgn val="ctr"/>
        <c:lblOffset val="100"/>
        <c:noMultiLvlLbl val="0"/>
      </c:catAx>
      <c:valAx>
        <c:axId val="1275594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067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88900</xdr:colOff>
      <xdr:row>17</xdr:row>
      <xdr:rowOff>0</xdr:rowOff>
    </xdr:from>
    <xdr:to>
      <xdr:col>19</xdr:col>
      <xdr:colOff>482600</xdr:colOff>
      <xdr:row>30</xdr:row>
      <xdr:rowOff>63500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6D7519E1-BFC7-534B-8935-BB9157E40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80818</xdr:colOff>
      <xdr:row>28</xdr:row>
      <xdr:rowOff>46183</xdr:rowOff>
    </xdr:from>
    <xdr:to>
      <xdr:col>15</xdr:col>
      <xdr:colOff>808182</xdr:colOff>
      <xdr:row>58</xdr:row>
      <xdr:rowOff>138545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70A0991-E2AA-074F-8531-0F9070446E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4e.europa.eu/understandingfusion/merits.aspx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35416-020F-0944-9A66-25BCA98D2542}">
  <dimension ref="A1:I105"/>
  <sheetViews>
    <sheetView tabSelected="1" topLeftCell="A52" workbookViewId="0">
      <selection activeCell="F62" sqref="F62"/>
    </sheetView>
  </sheetViews>
  <sheetFormatPr baseColWidth="10" defaultRowHeight="16"/>
  <cols>
    <col min="1" max="1" width="19" bestFit="1" customWidth="1"/>
    <col min="2" max="2" width="20.6640625" customWidth="1"/>
    <col min="3" max="3" width="14.1640625" bestFit="1" customWidth="1"/>
    <col min="4" max="4" width="12.1640625" bestFit="1" customWidth="1"/>
    <col min="5" max="5" width="11.6640625" bestFit="1" customWidth="1"/>
    <col min="6" max="6" width="12.1640625" bestFit="1" customWidth="1"/>
  </cols>
  <sheetData>
    <row r="1" spans="1:6" ht="18">
      <c r="A1" t="s">
        <v>9</v>
      </c>
      <c r="B1" s="60">
        <v>45.7</v>
      </c>
      <c r="C1" t="s">
        <v>2</v>
      </c>
      <c r="D1">
        <v>45.7</v>
      </c>
      <c r="E1" s="62">
        <v>4.5</v>
      </c>
      <c r="F1" s="45">
        <v>200</v>
      </c>
    </row>
    <row r="2" spans="1:6">
      <c r="A2" t="s">
        <v>9</v>
      </c>
      <c r="B2">
        <f>B1*Conversion!$B$5</f>
        <v>4.3235399E+17</v>
      </c>
      <c r="C2" t="s">
        <v>3</v>
      </c>
      <c r="E2">
        <f>E1*Conversion!$B$5</f>
        <v>4.257315E+16</v>
      </c>
      <c r="F2">
        <f>F1*Conversion!$B$5</f>
        <v>1.89214E+18</v>
      </c>
    </row>
    <row r="4" spans="1:6">
      <c r="A4" t="s">
        <v>1</v>
      </c>
      <c r="B4">
        <f>Conversion!B11</f>
        <v>9.8000000000000007</v>
      </c>
      <c r="C4" t="s">
        <v>4</v>
      </c>
      <c r="E4">
        <v>9.8000000000000007</v>
      </c>
      <c r="F4">
        <v>9.8000000000000007</v>
      </c>
    </row>
    <row r="5" spans="1:6">
      <c r="A5" t="s">
        <v>6</v>
      </c>
      <c r="B5">
        <f>B2/2</f>
        <v>2.16176995E+17</v>
      </c>
      <c r="E5">
        <f>E2/2</f>
        <v>2.1286575E+16</v>
      </c>
      <c r="F5">
        <f>F2/2</f>
        <v>9.4607E+17</v>
      </c>
    </row>
    <row r="6" spans="1:6">
      <c r="A6" t="s">
        <v>14</v>
      </c>
      <c r="B6" s="3">
        <f>1+B4*(B2*0.5)/(Conversion!$B$6*Conversion!$B$6)</f>
        <v>24.571875869216779</v>
      </c>
      <c r="E6" s="3">
        <f>1+E4*(E2*0.5)/(Conversion!$B$6*Conversion!$B$6)</f>
        <v>3.3210818689600763</v>
      </c>
      <c r="F6" s="3">
        <f>1+F4*(F2*0.5)/(Conversion!$B$6*Conversion!$B$6)</f>
        <v>104.1591941760034</v>
      </c>
    </row>
    <row r="8" spans="1:6">
      <c r="A8" t="s">
        <v>15</v>
      </c>
      <c r="B8" s="3">
        <f>4*(Conversion!$B$6/B4)*ACOSH(B6)</f>
        <v>476527502.13524342</v>
      </c>
      <c r="C8" t="s">
        <v>5</v>
      </c>
      <c r="E8" s="3">
        <f>4*(Conversion!$B$6/E4)*ACOSH(E6)</f>
        <v>228816230.44315866</v>
      </c>
      <c r="F8" s="3">
        <f>4*(Conversion!$B$6/F4)*ACOSH(F6)</f>
        <v>653308284.71623802</v>
      </c>
    </row>
    <row r="9" spans="1:6">
      <c r="B9" s="5">
        <f>B8/Conversion!$C$3</f>
        <v>15.100555406467754</v>
      </c>
      <c r="C9" t="s">
        <v>7</v>
      </c>
      <c r="E9" s="5">
        <f>E8/Conversion!$B$3</f>
        <v>7.2507488035578955</v>
      </c>
      <c r="F9" s="5">
        <f>F8/Conversion!$B$3</f>
        <v>20.70209029572078</v>
      </c>
    </row>
    <row r="10" spans="1:6">
      <c r="A10" t="s">
        <v>16</v>
      </c>
      <c r="B10" s="3">
        <f>4*(Conversion!$B$6/B4)*SINH(ACOSH(B6))</f>
        <v>3004228661.0764394</v>
      </c>
      <c r="C10" t="s">
        <v>5</v>
      </c>
      <c r="E10" s="3">
        <f>4*(Conversion!$B$6/E4)*SINH(ACOSH(E6))</f>
        <v>387521761.41083115</v>
      </c>
      <c r="F10" s="3">
        <f>4*(Conversion!$B$6/F4)*SINH(ACOSH(F6))</f>
        <v>12744776206.173864</v>
      </c>
    </row>
    <row r="11" spans="1:6">
      <c r="B11" s="5">
        <f>B10/Conversion!$C$3</f>
        <v>95.200216455519509</v>
      </c>
      <c r="C11" t="s">
        <v>7</v>
      </c>
      <c r="E11" s="5">
        <f>E10/Conversion!$B$3</f>
        <v>12.279823605433593</v>
      </c>
      <c r="F11" s="5">
        <f>F10/Conversion!$B$3</f>
        <v>403.85758759138417</v>
      </c>
    </row>
    <row r="13" spans="1:6">
      <c r="A13" t="s">
        <v>852</v>
      </c>
      <c r="B13">
        <v>20</v>
      </c>
    </row>
    <row r="14" spans="1:6">
      <c r="A14" t="s">
        <v>853</v>
      </c>
      <c r="B14">
        <v>0</v>
      </c>
    </row>
    <row r="15" spans="1:6">
      <c r="A15" t="s">
        <v>854</v>
      </c>
      <c r="B15" s="5">
        <f>B9+B13+IF(B14,B9,0)</f>
        <v>35.100555406467755</v>
      </c>
      <c r="C15" t="s">
        <v>855</v>
      </c>
      <c r="D15" s="5">
        <f>B11+B13+IF(B14,B11,0)</f>
        <v>115.20021645551951</v>
      </c>
    </row>
    <row r="16" spans="1:6">
      <c r="A16" t="s">
        <v>104</v>
      </c>
      <c r="B16" s="95">
        <v>300</v>
      </c>
      <c r="E16" s="5"/>
    </row>
    <row r="17" spans="1:6">
      <c r="A17" t="s">
        <v>360</v>
      </c>
      <c r="B17" s="60">
        <v>6</v>
      </c>
      <c r="E17" s="69"/>
    </row>
    <row r="18" spans="1:6">
      <c r="A18" t="s">
        <v>851</v>
      </c>
      <c r="B18" s="60" t="s">
        <v>846</v>
      </c>
      <c r="C18" t="str">
        <f>LOOKUP(B18,Population!L13:L16,Population!M13:M16)</f>
        <v>Based on Polynsesian colonization. Primarily unmarried people in their 20s</v>
      </c>
      <c r="E18" s="69"/>
    </row>
    <row r="19" spans="1:6">
      <c r="A19" t="s">
        <v>746</v>
      </c>
      <c r="B19" s="54">
        <f>B40/B17*Geometry!C15*0.91</f>
        <v>1243839.6262622611</v>
      </c>
      <c r="C19" s="71"/>
      <c r="D19" s="44"/>
    </row>
    <row r="20" spans="1:6">
      <c r="A20" s="112" t="s">
        <v>765</v>
      </c>
      <c r="B20" s="111">
        <f>CEILING(POWER(B19*3/(4*PI()),1/3),2.5)*4</f>
        <v>270</v>
      </c>
      <c r="D20" s="44"/>
    </row>
    <row r="21" spans="1:6">
      <c r="A21" s="113"/>
      <c r="B21" s="114"/>
      <c r="C21" s="74"/>
    </row>
    <row r="22" spans="1:6" ht="17" thickBot="1">
      <c r="A22" t="s">
        <v>372</v>
      </c>
      <c r="B22" s="70">
        <v>275</v>
      </c>
      <c r="C22">
        <f>B22*2</f>
        <v>550</v>
      </c>
      <c r="E22" s="15"/>
    </row>
    <row r="23" spans="1:6">
      <c r="A23" s="126" t="s">
        <v>154</v>
      </c>
      <c r="B23" s="127" t="s">
        <v>808</v>
      </c>
      <c r="C23" s="128" t="s">
        <v>840</v>
      </c>
      <c r="D23" s="128" t="s">
        <v>860</v>
      </c>
      <c r="E23" s="129" t="s">
        <v>36</v>
      </c>
      <c r="F23" s="130" t="s">
        <v>38</v>
      </c>
    </row>
    <row r="24" spans="1:6">
      <c r="A24" s="131" t="s">
        <v>13</v>
      </c>
      <c r="B24" s="132">
        <v>0</v>
      </c>
      <c r="C24" s="133">
        <f>B9+1</f>
        <v>16.100555406467755</v>
      </c>
      <c r="D24" s="133">
        <f>B15</f>
        <v>35.100555406467755</v>
      </c>
      <c r="E24" s="134">
        <v>34</v>
      </c>
      <c r="F24" s="135">
        <v>100</v>
      </c>
    </row>
    <row r="25" spans="1:6">
      <c r="A25" s="131" t="s">
        <v>839</v>
      </c>
      <c r="B25" s="136">
        <f>LOOKUP(B24,'Population Model'!$A$3:$A$100,'Population Model'!$B$3:$B$100)</f>
        <v>194</v>
      </c>
      <c r="C25" s="136">
        <f>LOOKUP(C24,'Population Model'!$A$3:$A$100,'Population Model'!$B$3:$B$100)</f>
        <v>235</v>
      </c>
      <c r="D25" s="136">
        <f>LOOKUP(D24,'Population Model'!$A$3:$A$100,'Population Model'!$B$3:$B$100)</f>
        <v>271</v>
      </c>
      <c r="E25" s="133">
        <f>Population!B3</f>
        <v>291</v>
      </c>
      <c r="F25" s="137">
        <f>LOOKUP(F24,'Population Model'!$A$3:$A$100,'Population Model'!$B$3:$B$100)</f>
        <v>290</v>
      </c>
    </row>
    <row r="26" spans="1:6" ht="17" thickBot="1">
      <c r="A26" s="138" t="s">
        <v>838</v>
      </c>
      <c r="B26" s="139">
        <f>LOOKUP(B24,'Population Model'!$A$3:$A$100,'Population Model'!$C$3:$C$100)</f>
        <v>194</v>
      </c>
      <c r="C26" s="139">
        <f>LOOKUP(C24,'Population Model'!$A$3:$A$100,'Population Model'!$C$3:$C$100)</f>
        <v>177</v>
      </c>
      <c r="D26" s="139">
        <f>LOOKUP(D24,'Population Model'!$A$3:$A$100,'Population Model'!$C$3:$C$100)</f>
        <v>143</v>
      </c>
      <c r="E26" s="139">
        <f>LOOKUP(E24,'Population Model'!$A$3:$A$100,'Population Model'!$C$3:$C$100)</f>
        <v>144</v>
      </c>
      <c r="F26" s="140">
        <f>LOOKUP(F24,'Population Model'!$A$3:$A$100,'Population Model'!$C$3:$C$100)</f>
        <v>151</v>
      </c>
    </row>
    <row r="28" spans="1:6">
      <c r="A28" t="s">
        <v>732</v>
      </c>
      <c r="B28" s="17">
        <f>Population!C26</f>
        <v>220.4</v>
      </c>
      <c r="C28">
        <v>500</v>
      </c>
    </row>
    <row r="29" spans="1:6">
      <c r="A29" t="s">
        <v>733</v>
      </c>
      <c r="B29" s="17">
        <f>Population!C27</f>
        <v>61</v>
      </c>
      <c r="C29">
        <v>1000</v>
      </c>
    </row>
    <row r="30" spans="1:6">
      <c r="B30" s="17"/>
      <c r="D30" s="44"/>
    </row>
    <row r="31" spans="1:6">
      <c r="A31" t="s">
        <v>723</v>
      </c>
      <c r="B31" s="17" t="s">
        <v>724</v>
      </c>
      <c r="C31" t="s">
        <v>725</v>
      </c>
      <c r="D31" t="s">
        <v>734</v>
      </c>
      <c r="E31" t="s">
        <v>30</v>
      </c>
      <c r="F31" t="s">
        <v>735</v>
      </c>
    </row>
    <row r="32" spans="1:6">
      <c r="A32" t="s">
        <v>149</v>
      </c>
      <c r="B32" s="17">
        <f>Cattle!D11</f>
        <v>25000</v>
      </c>
    </row>
    <row r="33" spans="1:8">
      <c r="A33" t="s">
        <v>150</v>
      </c>
      <c r="B33" s="17">
        <f>Agriculture!C45*0.75</f>
        <v>1362833.7453224312</v>
      </c>
      <c r="G33" t="s">
        <v>795</v>
      </c>
    </row>
    <row r="34" spans="1:8">
      <c r="A34" t="s">
        <v>624</v>
      </c>
      <c r="B34" s="17">
        <f>B32+B33</f>
        <v>1387833.7453224312</v>
      </c>
      <c r="C34">
        <f>Geometry!C21*$B$17</f>
        <v>1122321.409124339</v>
      </c>
      <c r="D34" s="44">
        <f>C34/B34</f>
        <v>0.80868577587698987</v>
      </c>
      <c r="E34" s="4">
        <f>C34*Conversion!$F$18</f>
        <v>277.33684340871537</v>
      </c>
      <c r="F34" s="48">
        <f>E34/$B$16</f>
        <v>0.92445614469571791</v>
      </c>
    </row>
    <row r="35" spans="1:8">
      <c r="A35" t="s">
        <v>151</v>
      </c>
      <c r="B35" s="17">
        <f>B28*C28+B29*C29</f>
        <v>171200</v>
      </c>
      <c r="C35">
        <f>Geometry!C20*$B$17</f>
        <v>135426.99071278539</v>
      </c>
      <c r="D35" s="44">
        <f t="shared" ref="D35:D37" si="0">C35/B35</f>
        <v>0.79104550649991467</v>
      </c>
      <c r="E35" s="4">
        <f>C35*Conversion!$F$18</f>
        <v>33.4653636750364</v>
      </c>
      <c r="F35" s="48">
        <f>E35/$B$16</f>
        <v>0.11155121225012134</v>
      </c>
    </row>
    <row r="36" spans="1:8">
      <c r="A36" t="s">
        <v>722</v>
      </c>
      <c r="B36" s="17">
        <f>B16*40*Conversion!E15/1000</f>
        <v>48562.277040000001</v>
      </c>
      <c r="C36">
        <f>Geometry!C19*$B$17</f>
        <v>37176.036666254819</v>
      </c>
      <c r="D36" s="44">
        <f t="shared" si="0"/>
        <v>0.76553322727502027</v>
      </c>
      <c r="E36" s="4">
        <f>C36*Conversion!$F$18</f>
        <v>9.1865704205982279</v>
      </c>
      <c r="F36" s="48">
        <f>E36/$B$16</f>
        <v>3.0621901401994094E-2</v>
      </c>
    </row>
    <row r="37" spans="1:8">
      <c r="A37" t="s">
        <v>620</v>
      </c>
      <c r="B37" s="17">
        <f>(B63+B65+Agriculture!E40)/1000/2</f>
        <v>32632.056225165798</v>
      </c>
      <c r="C37">
        <f>Geometry!C22*$B$17</f>
        <v>29471.280683325851</v>
      </c>
      <c r="D37" s="44">
        <f t="shared" si="0"/>
        <v>0.90313894043237275</v>
      </c>
      <c r="E37" s="4">
        <f>C37*Conversion!$F$18</f>
        <v>7.2826481696566505</v>
      </c>
      <c r="F37" s="48">
        <f>E37/$B$16</f>
        <v>2.4275493898855503E-2</v>
      </c>
    </row>
    <row r="38" spans="1:8">
      <c r="A38" t="s">
        <v>738</v>
      </c>
      <c r="B38" s="17">
        <f>E25*250</f>
        <v>72750</v>
      </c>
      <c r="C38">
        <f>Geometry!C23*$B$17</f>
        <v>59216.115546963032</v>
      </c>
      <c r="D38" s="44">
        <f t="shared" ref="D38" si="1">C38/B38</f>
        <v>0.81396722401323751</v>
      </c>
      <c r="E38" s="4">
        <f>C38*Conversion!$F$18</f>
        <v>14.632894312810034</v>
      </c>
      <c r="F38" s="48">
        <f>E38/$B$16</f>
        <v>4.8776314376033449E-2</v>
      </c>
    </row>
    <row r="39" spans="1:8">
      <c r="B39" s="17"/>
    </row>
    <row r="40" spans="1:8">
      <c r="A40" t="s">
        <v>153</v>
      </c>
      <c r="B40" s="50">
        <f>SUM(B34:B37)</f>
        <v>1640228.078587597</v>
      </c>
      <c r="C40" s="71">
        <f>B55</f>
        <v>1632842.7817032952</v>
      </c>
      <c r="D40" s="44">
        <f>C40/B40</f>
        <v>0.99549739637998313</v>
      </c>
      <c r="E40" t="s">
        <v>231</v>
      </c>
      <c r="F40">
        <f>B44/B16</f>
        <v>1.344947462293292</v>
      </c>
    </row>
    <row r="41" spans="1:8">
      <c r="A41" t="s">
        <v>18</v>
      </c>
      <c r="B41" s="99">
        <f>B55</f>
        <v>1632842.7817032952</v>
      </c>
      <c r="C41" t="s">
        <v>20</v>
      </c>
      <c r="E41">
        <f>19000*6000</f>
        <v>114000000</v>
      </c>
      <c r="F41" s="22">
        <f>E41/B41</f>
        <v>69.816887012894924</v>
      </c>
    </row>
    <row r="42" spans="1:8">
      <c r="B42" s="100">
        <f>B41/1000000</f>
        <v>1.6328427817032951</v>
      </c>
      <c r="C42" t="s">
        <v>28</v>
      </c>
    </row>
    <row r="43" spans="1:8">
      <c r="B43" s="101">
        <f>B41/5400</f>
        <v>302.37829290801761</v>
      </c>
      <c r="C43" t="s">
        <v>29</v>
      </c>
      <c r="H43">
        <f>750/0.26</f>
        <v>2884.6153846153843</v>
      </c>
    </row>
    <row r="44" spans="1:8">
      <c r="B44" s="101">
        <f>B41/4046.85642</f>
        <v>403.48423868798761</v>
      </c>
      <c r="C44" t="s">
        <v>30</v>
      </c>
      <c r="G44">
        <v>109.72799999999999</v>
      </c>
      <c r="H44">
        <f>G44/H43</f>
        <v>3.8039040000000003E-2</v>
      </c>
    </row>
    <row r="45" spans="1:8">
      <c r="B45" s="17">
        <f>B41/2590000</f>
        <v>0.63044122845687078</v>
      </c>
      <c r="C45" t="s">
        <v>31</v>
      </c>
    </row>
    <row r="46" spans="1:8">
      <c r="A46" t="s">
        <v>282</v>
      </c>
      <c r="B46" s="101">
        <f>B16/(180)</f>
        <v>1.6666666666666667</v>
      </c>
      <c r="C46" t="s">
        <v>31</v>
      </c>
      <c r="E46" s="4">
        <f>B34/B16</f>
        <v>4626.1124844081041</v>
      </c>
    </row>
    <row r="47" spans="1:8">
      <c r="E47" s="7"/>
    </row>
    <row r="48" spans="1:8">
      <c r="A48" t="s">
        <v>371</v>
      </c>
      <c r="B48" s="70">
        <f>Geometry!E40</f>
        <v>68.75</v>
      </c>
      <c r="C48">
        <f>B22/B48</f>
        <v>4</v>
      </c>
      <c r="D48">
        <f>B48*2</f>
        <v>137.5</v>
      </c>
      <c r="E48" s="69"/>
    </row>
    <row r="49" spans="1:9">
      <c r="A49" t="s">
        <v>365</v>
      </c>
      <c r="B49" s="52">
        <f>Geometry!C18</f>
        <v>272140.46361721586</v>
      </c>
      <c r="C49" s="4">
        <f>B49*Conversion!F18</f>
        <v>67.248629964450203</v>
      </c>
      <c r="E49" s="15"/>
      <c r="G49" s="4"/>
      <c r="I49" s="4"/>
    </row>
    <row r="50" spans="1:9">
      <c r="A50" t="s">
        <v>369</v>
      </c>
      <c r="B50" s="57">
        <f>Geometry!E38</f>
        <v>27</v>
      </c>
      <c r="E50" s="15"/>
      <c r="G50" s="4"/>
      <c r="I50" s="4"/>
    </row>
    <row r="51" spans="1:9">
      <c r="A51" t="s">
        <v>364</v>
      </c>
      <c r="B51" s="52">
        <f>Geometry!E45</f>
        <v>59395.736106932025</v>
      </c>
      <c r="E51" s="15"/>
      <c r="G51" s="4"/>
    </row>
    <row r="52" spans="1:9">
      <c r="A52" t="s">
        <v>366</v>
      </c>
      <c r="B52" s="52">
        <f>Geometry!E46</f>
        <v>1361152.2857838587</v>
      </c>
      <c r="E52" s="7"/>
      <c r="I52" s="59"/>
    </row>
    <row r="53" spans="1:9">
      <c r="A53" t="s">
        <v>367</v>
      </c>
      <c r="B53" s="52">
        <f>Geometry!E48</f>
        <v>593957361.0693202</v>
      </c>
      <c r="E53" s="7"/>
      <c r="G53" s="59"/>
    </row>
    <row r="54" spans="1:9">
      <c r="A54" t="s">
        <v>389</v>
      </c>
      <c r="B54" s="52">
        <f>B52*B69</f>
        <v>244389705.78537515</v>
      </c>
      <c r="E54" s="7"/>
      <c r="G54" s="59"/>
    </row>
    <row r="55" spans="1:9">
      <c r="A55" t="s">
        <v>370</v>
      </c>
      <c r="B55" s="52">
        <f>B49*B17</f>
        <v>1632842.7817032952</v>
      </c>
      <c r="E55" s="7"/>
      <c r="G55" s="59"/>
    </row>
    <row r="57" spans="1:9">
      <c r="A57" t="s">
        <v>303</v>
      </c>
      <c r="B57" s="50">
        <f>Agriculture!C47</f>
        <v>1990520.6714286054</v>
      </c>
    </row>
    <row r="58" spans="1:9">
      <c r="A58" t="s">
        <v>24</v>
      </c>
      <c r="B58" s="50">
        <f>Agriculture!C47*Conversion!B10</f>
        <v>3383885141.4286294</v>
      </c>
      <c r="C58" t="s">
        <v>51</v>
      </c>
    </row>
    <row r="59" spans="1:9">
      <c r="B59" s="3"/>
    </row>
    <row r="60" spans="1:9">
      <c r="A60" t="s">
        <v>26</v>
      </c>
      <c r="B60" s="50">
        <f>D61+B67+B65+B64*B16+D63+D62</f>
        <v>18356012742.847313</v>
      </c>
      <c r="C60" t="s">
        <v>51</v>
      </c>
      <c r="D60" s="4">
        <f>B60/(1046000*1016.4)</f>
        <v>17.265613294595134</v>
      </c>
      <c r="E60" t="s">
        <v>70</v>
      </c>
      <c r="F60" s="3"/>
    </row>
    <row r="61" spans="1:9">
      <c r="A61" t="s">
        <v>71</v>
      </c>
      <c r="B61" s="65">
        <v>9000000000</v>
      </c>
      <c r="C61" t="s">
        <v>51</v>
      </c>
      <c r="D61" s="64">
        <f>SUM(B76:B83)</f>
        <v>8808366729.152956</v>
      </c>
      <c r="E61" t="s">
        <v>51</v>
      </c>
      <c r="F61">
        <f>D61/(1046000*1016.4)</f>
        <v>8.2851246527813416</v>
      </c>
    </row>
    <row r="62" spans="1:9">
      <c r="A62" t="s">
        <v>69</v>
      </c>
      <c r="B62" s="65">
        <v>9000000000</v>
      </c>
      <c r="D62" s="64">
        <f>B92+B94</f>
        <v>8488623488.2008209</v>
      </c>
      <c r="E62" s="3" t="s">
        <v>51</v>
      </c>
      <c r="F62" s="3" t="s">
        <v>197</v>
      </c>
    </row>
    <row r="63" spans="1:9">
      <c r="A63" t="s">
        <v>669</v>
      </c>
      <c r="B63" s="65">
        <v>60000000</v>
      </c>
      <c r="D63" s="50">
        <f>B82*0.25+(B76+B77+B65)*B66</f>
        <v>54522525.493535034</v>
      </c>
      <c r="E63" s="3" t="s">
        <v>51</v>
      </c>
    </row>
    <row r="64" spans="1:9">
      <c r="A64" t="s">
        <v>345</v>
      </c>
      <c r="B64" s="65">
        <v>5000</v>
      </c>
      <c r="E64" s="3"/>
    </row>
    <row r="65" spans="1:6">
      <c r="A65" t="s">
        <v>258</v>
      </c>
      <c r="B65" s="52">
        <f>B16*10000</f>
        <v>3000000</v>
      </c>
      <c r="E65" s="3"/>
    </row>
    <row r="66" spans="1:6">
      <c r="A66" t="s">
        <v>619</v>
      </c>
      <c r="B66" s="52">
        <v>10</v>
      </c>
      <c r="E66" s="3"/>
    </row>
    <row r="67" spans="1:6">
      <c r="A67" t="s">
        <v>136</v>
      </c>
      <c r="B67" s="52">
        <v>1000000000</v>
      </c>
      <c r="E67" t="s">
        <v>817</v>
      </c>
    </row>
    <row r="68" spans="1:6">
      <c r="B68" s="60">
        <f>3220/(390*55*30)</f>
        <v>5.0038850038850039E-3</v>
      </c>
      <c r="C68" t="s">
        <v>382</v>
      </c>
    </row>
    <row r="69" spans="1:6">
      <c r="A69" t="s">
        <v>227</v>
      </c>
      <c r="B69" s="60">
        <f>B68*1016.04691/0.0283168466</f>
        <v>179.54618916474604</v>
      </c>
    </row>
    <row r="70" spans="1:6">
      <c r="A70" t="s">
        <v>330</v>
      </c>
      <c r="B70" s="60">
        <v>310</v>
      </c>
      <c r="E70" t="s">
        <v>344</v>
      </c>
      <c r="F70" s="68" t="s">
        <v>342</v>
      </c>
    </row>
    <row r="71" spans="1:6">
      <c r="A71" t="s">
        <v>347</v>
      </c>
      <c r="B71" s="60">
        <v>10000</v>
      </c>
      <c r="C71" t="s">
        <v>337</v>
      </c>
      <c r="F71" t="s">
        <v>348</v>
      </c>
    </row>
    <row r="72" spans="1:6">
      <c r="B72" s="60"/>
      <c r="E72" t="s">
        <v>352</v>
      </c>
      <c r="F72" t="s">
        <v>351</v>
      </c>
    </row>
    <row r="73" spans="1:6">
      <c r="B73" s="50">
        <f>SUM(B61:B67)</f>
        <v>19063005010</v>
      </c>
      <c r="C73" t="s">
        <v>51</v>
      </c>
      <c r="E73" s="3"/>
    </row>
    <row r="74" spans="1:6">
      <c r="A74" t="s">
        <v>56</v>
      </c>
      <c r="B74" s="50">
        <f>(B73)*B4/1000</f>
        <v>186817449.09799999</v>
      </c>
      <c r="C74" t="s">
        <v>189</v>
      </c>
      <c r="E74" t="s">
        <v>63</v>
      </c>
    </row>
    <row r="75" spans="1:6">
      <c r="A75" t="s">
        <v>158</v>
      </c>
      <c r="B75" s="54">
        <v>1000</v>
      </c>
    </row>
    <row r="76" spans="1:6">
      <c r="A76" t="s">
        <v>25</v>
      </c>
      <c r="B76" s="50">
        <f>B74/B75*3</f>
        <v>560452.34729399998</v>
      </c>
      <c r="C76" t="s">
        <v>51</v>
      </c>
      <c r="E76" t="s">
        <v>62</v>
      </c>
      <c r="F76" t="s">
        <v>59</v>
      </c>
    </row>
    <row r="77" spans="1:6">
      <c r="A77" t="s">
        <v>159</v>
      </c>
      <c r="B77" s="50">
        <f>'Power Consumption'!C41</f>
        <v>579217.44674521161</v>
      </c>
      <c r="C77" t="s">
        <v>51</v>
      </c>
      <c r="D77" s="3">
        <f>B77/B76</f>
        <v>1.0334820605923307</v>
      </c>
      <c r="E77" s="82">
        <f>B77/12</f>
        <v>48268.120562100965</v>
      </c>
    </row>
    <row r="78" spans="1:6">
      <c r="A78" t="s">
        <v>340</v>
      </c>
      <c r="B78" s="50">
        <f>B58</f>
        <v>3383885141.4286294</v>
      </c>
    </row>
    <row r="79" spans="1:6">
      <c r="A79" t="s">
        <v>349</v>
      </c>
      <c r="B79" s="50">
        <f>B52*B17*Conversion!B9*0.9</f>
        <v>9004022.3704602253</v>
      </c>
      <c r="C79" t="s">
        <v>51</v>
      </c>
      <c r="E79" t="s">
        <v>350</v>
      </c>
    </row>
    <row r="80" spans="1:6">
      <c r="A80" t="s">
        <v>346</v>
      </c>
      <c r="B80" s="50">
        <f>B53*B17</f>
        <v>3563744166.4159212</v>
      </c>
    </row>
    <row r="81" spans="1:7">
      <c r="A81" t="s">
        <v>390</v>
      </c>
      <c r="B81" s="50">
        <f>B54*B17</f>
        <v>1466338234.7122509</v>
      </c>
      <c r="C81" s="3"/>
      <c r="D81" s="3"/>
      <c r="E81" s="3"/>
    </row>
    <row r="82" spans="1:7">
      <c r="A82" t="s">
        <v>259</v>
      </c>
      <c r="B82" s="50">
        <f>(B61+B62+SUM(B76:B81))*Conversion!B24*3/Conversion!B23</f>
        <v>52503310.212571688</v>
      </c>
      <c r="C82" s="48">
        <f>B82/D61</f>
        <v>5.9606181062832062E-3</v>
      </c>
      <c r="D82" s="48"/>
    </row>
    <row r="83" spans="1:7">
      <c r="A83" t="s">
        <v>602</v>
      </c>
      <c r="B83" s="50">
        <f>Geometry!E62</f>
        <v>331752184.21908212</v>
      </c>
      <c r="C83" s="48"/>
      <c r="D83" s="48"/>
    </row>
    <row r="84" spans="1:7">
      <c r="A84" t="s">
        <v>64</v>
      </c>
      <c r="B84" s="49">
        <f>D61</f>
        <v>8808366729.152956</v>
      </c>
      <c r="C84" s="11">
        <f>B76/D61</f>
        <v>6.362727217511016E-5</v>
      </c>
      <c r="D84" s="11"/>
    </row>
    <row r="85" spans="1:7">
      <c r="B85" s="63">
        <f>D61/Conversion!B31</f>
        <v>8.2851246527813416</v>
      </c>
      <c r="C85" t="s">
        <v>70</v>
      </c>
    </row>
    <row r="86" spans="1:7">
      <c r="A86" t="s">
        <v>166</v>
      </c>
      <c r="B86" s="50">
        <f>'Power Consumption'!C38</f>
        <v>5.0520903105145081E-11</v>
      </c>
      <c r="C86" t="s">
        <v>168</v>
      </c>
      <c r="E86" t="s">
        <v>167</v>
      </c>
      <c r="F86" t="s">
        <v>55</v>
      </c>
    </row>
    <row r="88" spans="1:7">
      <c r="A88" t="s">
        <v>163</v>
      </c>
      <c r="B88" s="50">
        <f>'Power Consumption'!C42*'Power Consumption'!C7</f>
        <v>2392247188.2629466</v>
      </c>
    </row>
    <row r="89" spans="1:7">
      <c r="A89" t="s">
        <v>162</v>
      </c>
      <c r="B89" s="50">
        <f>B74*B86*(B8/3600)</f>
        <v>1249.3209210139837</v>
      </c>
    </row>
    <row r="90" spans="1:7">
      <c r="A90" t="s">
        <v>196</v>
      </c>
      <c r="B90" s="50">
        <f>B88+B89</f>
        <v>2392248437.5838675</v>
      </c>
    </row>
    <row r="91" spans="1:7">
      <c r="A91" t="s">
        <v>57</v>
      </c>
      <c r="B91" s="3">
        <f>B90*(100/(100+3000))</f>
        <v>77169304.438189268</v>
      </c>
      <c r="C91" t="s">
        <v>51</v>
      </c>
      <c r="E91" t="s">
        <v>190</v>
      </c>
      <c r="F91" s="23" t="s">
        <v>55</v>
      </c>
    </row>
    <row r="92" spans="1:7">
      <c r="A92" t="s">
        <v>58</v>
      </c>
      <c r="B92" s="3">
        <f>B90*(3000/(100+3000))</f>
        <v>2315079133.1456785</v>
      </c>
      <c r="C92" t="s">
        <v>51</v>
      </c>
      <c r="E92" t="s">
        <v>191</v>
      </c>
      <c r="F92" t="s">
        <v>55</v>
      </c>
    </row>
    <row r="93" spans="1:7">
      <c r="A93" t="s">
        <v>194</v>
      </c>
      <c r="B93" s="3">
        <f>B91/Conversion!B7*4</f>
        <v>5.1258256020052654E-16</v>
      </c>
      <c r="C93" t="s">
        <v>195</v>
      </c>
    </row>
    <row r="94" spans="1:7">
      <c r="B94" s="3">
        <f>B93*(4+16)*Conversion!B7</f>
        <v>6173544355.0551424</v>
      </c>
      <c r="C94" t="s">
        <v>51</v>
      </c>
      <c r="E94" s="87">
        <f>B94/B80</f>
        <v>1.7323197364259491</v>
      </c>
    </row>
    <row r="96" spans="1:7">
      <c r="E96" s="4"/>
      <c r="G96" s="47"/>
    </row>
    <row r="98" spans="1:6">
      <c r="A98" t="s">
        <v>198</v>
      </c>
      <c r="B98" s="3">
        <f>B94/B99</f>
        <v>6.1612219112326784E+16</v>
      </c>
      <c r="C98" t="s">
        <v>51</v>
      </c>
      <c r="E98" t="s">
        <v>61</v>
      </c>
      <c r="F98" t="s">
        <v>60</v>
      </c>
    </row>
    <row r="99" spans="1:6">
      <c r="B99" s="3">
        <f>(33.4*3)/1000/1000000</f>
        <v>1.0019999999999998E-7</v>
      </c>
      <c r="E99" t="s">
        <v>199</v>
      </c>
      <c r="F99" t="s">
        <v>193</v>
      </c>
    </row>
    <row r="100" spans="1:6">
      <c r="B100" s="4">
        <f>B98/220000000000000</f>
        <v>280.05554141966718</v>
      </c>
      <c r="E100" t="s">
        <v>200</v>
      </c>
    </row>
    <row r="101" spans="1:6">
      <c r="B101" s="4"/>
    </row>
    <row r="102" spans="1:6">
      <c r="A102" t="s">
        <v>201</v>
      </c>
      <c r="B102" s="3">
        <f>B94/B103</f>
        <v>1.8483665733698032E+17</v>
      </c>
    </row>
    <row r="103" spans="1:6">
      <c r="B103" s="3">
        <f>(33.4)/1000/1000000</f>
        <v>3.3400000000000001E-8</v>
      </c>
    </row>
    <row r="104" spans="1:6">
      <c r="B104" s="56">
        <f>200000000*1000000000000</f>
        <v>2E+20</v>
      </c>
      <c r="E104" t="s">
        <v>203</v>
      </c>
    </row>
    <row r="105" spans="1:6">
      <c r="B105" s="3">
        <f>B102/B104</f>
        <v>9.2418328668490159E-4</v>
      </c>
      <c r="E105" t="s">
        <v>202</v>
      </c>
    </row>
  </sheetData>
  <hyperlinks>
    <hyperlink ref="F91" r:id="rId1" xr:uid="{440F8B25-ECA3-FF40-B914-AC6B05C395EC}"/>
  </hyperlinks>
  <pageMargins left="0.7" right="0.7" top="0.75" bottom="0.75" header="0.3" footer="0.3"/>
  <pageSetup orientation="portrait" horizontalDpi="0" verticalDpi="0"/>
  <extLst>
    <ext xmlns:x14="http://schemas.microsoft.com/office/spreadsheetml/2009/9/main" uri="{CCE6A557-97BC-4b89-ADB6-D9C93CAAB3DF}">
      <x14:dataValidations xmlns:xm="http://schemas.microsoft.com/office/excel/2006/main" disablePrompts="1" count="1">
        <x14:dataValidation type="list" allowBlank="1" showInputMessage="1" showErrorMessage="1" xr:uid="{EED8CC38-60B7-F145-B437-6B6CCD293042}">
          <x14:formula1>
            <xm:f>Population!$L$3:$L$10</xm:f>
          </x14:formula1>
          <xm:sqref>B18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2E0A3-DE4C-BD4F-9029-36C92E1BA4D3}">
  <dimension ref="A1:T13"/>
  <sheetViews>
    <sheetView workbookViewId="0">
      <selection activeCell="C6" sqref="C6"/>
    </sheetView>
  </sheetViews>
  <sheetFormatPr baseColWidth="10" defaultRowHeight="16"/>
  <cols>
    <col min="1" max="1" width="31.1640625" customWidth="1"/>
    <col min="2" max="2" width="10.6640625" bestFit="1" customWidth="1"/>
    <col min="3" max="3" width="9.6640625" bestFit="1" customWidth="1"/>
    <col min="4" max="8" width="27.6640625" customWidth="1"/>
    <col min="10" max="10" width="11.6640625" bestFit="1" customWidth="1"/>
    <col min="11" max="11" width="11.6640625" customWidth="1"/>
    <col min="12" max="12" width="12.6640625" bestFit="1" customWidth="1"/>
    <col min="13" max="13" width="13" customWidth="1"/>
  </cols>
  <sheetData>
    <row r="1" spans="1:20">
      <c r="B1" t="s">
        <v>720</v>
      </c>
      <c r="C1" t="s">
        <v>638</v>
      </c>
    </row>
    <row r="2" spans="1:20">
      <c r="B2" t="s">
        <v>823</v>
      </c>
      <c r="D2" t="s">
        <v>824</v>
      </c>
    </row>
    <row r="3" spans="1:20">
      <c r="A3" t="s">
        <v>714</v>
      </c>
      <c r="B3">
        <f>SUM(H:H)</f>
        <v>172762.61904761902</v>
      </c>
      <c r="C3">
        <f>CEILING(B3/2000,1)</f>
        <v>87</v>
      </c>
    </row>
    <row r="4" spans="1:20">
      <c r="A4" t="s">
        <v>715</v>
      </c>
      <c r="B4">
        <f>SUM(F:F)</f>
        <v>4998.4186701116651</v>
      </c>
      <c r="C4">
        <f>CEILING(B4/2000,1)</f>
        <v>3</v>
      </c>
    </row>
    <row r="5" spans="1:20">
      <c r="A5" t="s">
        <v>820</v>
      </c>
      <c r="B5">
        <v>10</v>
      </c>
      <c r="C5">
        <f>CEILING(B5*Population!B7/2000,1)</f>
        <v>2</v>
      </c>
    </row>
    <row r="7" spans="1:20">
      <c r="A7" t="s">
        <v>671</v>
      </c>
      <c r="B7" t="s">
        <v>712</v>
      </c>
      <c r="C7" t="s">
        <v>713</v>
      </c>
      <c r="D7" t="s">
        <v>154</v>
      </c>
      <c r="E7" t="s">
        <v>716</v>
      </c>
      <c r="F7" t="s">
        <v>717</v>
      </c>
      <c r="G7" t="s">
        <v>718</v>
      </c>
      <c r="H7" t="s">
        <v>719</v>
      </c>
      <c r="I7" t="s">
        <v>674</v>
      </c>
      <c r="J7" t="s">
        <v>629</v>
      </c>
      <c r="K7" t="s">
        <v>675</v>
      </c>
      <c r="L7" t="s">
        <v>676</v>
      </c>
      <c r="M7">
        <v>24</v>
      </c>
      <c r="N7">
        <f>24*7</f>
        <v>168</v>
      </c>
      <c r="O7">
        <v>320</v>
      </c>
      <c r="P7">
        <v>960</v>
      </c>
      <c r="Q7">
        <v>3840</v>
      </c>
      <c r="R7">
        <v>5760</v>
      </c>
      <c r="S7">
        <v>11520</v>
      </c>
      <c r="T7">
        <v>15360</v>
      </c>
    </row>
    <row r="8" spans="1:20">
      <c r="A8" t="s">
        <v>673</v>
      </c>
      <c r="B8" s="59">
        <f>SUM(G:G)*SUM(D10:D13)/1000</f>
        <v>648.82071428571408</v>
      </c>
      <c r="C8">
        <v>1</v>
      </c>
      <c r="D8">
        <f>CEILING(B8*C8,1)</f>
        <v>649</v>
      </c>
      <c r="E8">
        <v>1</v>
      </c>
      <c r="F8" s="5">
        <f>E8*B8</f>
        <v>648.82071428571408</v>
      </c>
      <c r="G8" s="5">
        <f>SUM(J8:L8)*3840/I8</f>
        <v>133.88690476190476</v>
      </c>
      <c r="H8" s="5">
        <f>G8*D8</f>
        <v>86892.601190476184</v>
      </c>
      <c r="I8">
        <f>I10*3</f>
        <v>46080</v>
      </c>
      <c r="J8">
        <v>1000</v>
      </c>
      <c r="K8">
        <f>J8*0.25</f>
        <v>250</v>
      </c>
      <c r="L8" s="5">
        <f>M8*(I8/$M$7)+N8*(I8/$N$7)+O8*(I8/$O$7)+P8*(I8/$P$7)+Q8*(I8/$Q$7)+R8*(I8/$R$7)+S8*(I8/$S$7)+T8*(I8/$T$7)</f>
        <v>356.64285714285711</v>
      </c>
      <c r="M8" s="4">
        <f>1/60</f>
        <v>1.6666666666666666E-2</v>
      </c>
      <c r="N8" s="4">
        <f>2/60</f>
        <v>3.3333333333333333E-2</v>
      </c>
      <c r="O8" s="4">
        <f>5/60</f>
        <v>8.3333333333333329E-2</v>
      </c>
      <c r="P8">
        <v>1</v>
      </c>
      <c r="Q8">
        <v>1</v>
      </c>
      <c r="R8">
        <v>2</v>
      </c>
      <c r="S8">
        <v>10</v>
      </c>
      <c r="T8">
        <f>K8*0.25</f>
        <v>62.5</v>
      </c>
    </row>
    <row r="10" spans="1:20">
      <c r="A10" t="s">
        <v>672</v>
      </c>
      <c r="B10" s="59">
        <f>Vehicle!E25+Vehicle!B40/240</f>
        <v>7125.2836607816544</v>
      </c>
      <c r="C10">
        <v>0.1</v>
      </c>
      <c r="D10" s="4">
        <f>CEILING(B10*C10,1)</f>
        <v>713</v>
      </c>
      <c r="E10" s="4">
        <v>0.5</v>
      </c>
      <c r="F10" s="5">
        <f t="shared" ref="F10:F13" si="0">E10*B10</f>
        <v>3562.6418303908272</v>
      </c>
      <c r="G10" s="5">
        <f>SUM(J10:L10)*3840/I10</f>
        <v>41.595238095238095</v>
      </c>
      <c r="H10" s="5">
        <f>G10*D10</f>
        <v>29657.404761904763</v>
      </c>
      <c r="I10">
        <f>15360</f>
        <v>15360</v>
      </c>
      <c r="J10">
        <v>100</v>
      </c>
      <c r="K10">
        <f>J10*0.1</f>
        <v>10</v>
      </c>
      <c r="L10" s="5">
        <f>M10*(I10/$M$7)+N10*(I10/$N$7)+O10*(I10/$O$7)+P10*(I10/$P$7)+Q10*(I10/$Q$7)+R10*(I10/$R$7)+S10*(I10/$S$7)+T10*(I10/$T$7)</f>
        <v>56.38095238095238</v>
      </c>
      <c r="M10" s="4">
        <f>1/60</f>
        <v>1.6666666666666666E-2</v>
      </c>
      <c r="N10" s="4">
        <f>2/60</f>
        <v>3.3333333333333333E-2</v>
      </c>
      <c r="O10" s="4">
        <f>5/60</f>
        <v>8.3333333333333329E-2</v>
      </c>
      <c r="P10">
        <v>1</v>
      </c>
      <c r="Q10">
        <v>1</v>
      </c>
      <c r="R10">
        <v>2</v>
      </c>
      <c r="S10">
        <v>10</v>
      </c>
    </row>
    <row r="11" spans="1:20">
      <c r="A11" t="s">
        <v>711</v>
      </c>
      <c r="B11" s="59">
        <f>(Agriculture!E37+Agriculture!E38)/1000</f>
        <v>323.44463576165668</v>
      </c>
      <c r="C11">
        <v>0.1</v>
      </c>
      <c r="D11" s="4">
        <f t="shared" ref="D11:D13" si="1">CEILING(B11*C11,1)</f>
        <v>33</v>
      </c>
      <c r="E11" s="4">
        <v>1</v>
      </c>
      <c r="F11" s="5">
        <f t="shared" si="0"/>
        <v>323.44463576165668</v>
      </c>
      <c r="G11" s="5">
        <f>SUM(J11:L11)*3840/I11</f>
        <v>133.88690476190476</v>
      </c>
      <c r="H11" s="5">
        <f t="shared" ref="H11:H12" si="2">G11*D11</f>
        <v>4418.2678571428569</v>
      </c>
      <c r="I11">
        <f>I8</f>
        <v>46080</v>
      </c>
      <c r="J11">
        <v>1000</v>
      </c>
      <c r="K11">
        <f>J11*0.25</f>
        <v>250</v>
      </c>
      <c r="L11" s="5">
        <f>M11*(I11/$M$7)+N11*(I11/$N$7)+O11*(I11/$O$7)+P11*(I11/$P$7)+Q11*(I11/$Q$7)+R11*(I11/$R$7)+S11*(I11/$S$7)+T11*(I11/$T$7)</f>
        <v>356.64285714285711</v>
      </c>
      <c r="M11" s="4">
        <f>1/60</f>
        <v>1.6666666666666666E-2</v>
      </c>
      <c r="N11" s="4">
        <f>2/60</f>
        <v>3.3333333333333333E-2</v>
      </c>
      <c r="O11" s="4">
        <f>5/60</f>
        <v>8.3333333333333329E-2</v>
      </c>
      <c r="P11">
        <v>1</v>
      </c>
      <c r="Q11">
        <v>1</v>
      </c>
      <c r="R11">
        <v>2</v>
      </c>
      <c r="S11">
        <v>10</v>
      </c>
      <c r="T11">
        <f>K11*0.25</f>
        <v>62.5</v>
      </c>
    </row>
    <row r="12" spans="1:20">
      <c r="A12" t="s">
        <v>677</v>
      </c>
      <c r="B12" s="59">
        <f>SUM(Crops!AD:AD)/100</f>
        <v>172.5114896734668</v>
      </c>
      <c r="C12">
        <v>0.25</v>
      </c>
      <c r="D12" s="4">
        <f t="shared" si="1"/>
        <v>44</v>
      </c>
      <c r="E12" s="4">
        <v>1</v>
      </c>
      <c r="F12" s="5">
        <f t="shared" si="0"/>
        <v>172.5114896734668</v>
      </c>
      <c r="G12" s="5">
        <f>SUM(J12:L12)*3840/I12</f>
        <v>41.595238095238095</v>
      </c>
      <c r="H12" s="5">
        <f t="shared" si="2"/>
        <v>1830.1904761904761</v>
      </c>
      <c r="I12">
        <f>15360</f>
        <v>15360</v>
      </c>
      <c r="J12">
        <v>100</v>
      </c>
      <c r="K12">
        <f>J12*0.1</f>
        <v>10</v>
      </c>
      <c r="L12" s="5">
        <f>M12*(I12/$M$7)+N12*(I12/$N$7)+O12*(I12/$O$7)+P12*(I12/$P$7)+Q12*(I12/$Q$7)+R12*(I12/$R$7)+S12*(I12/$S$7)+T12*(I12/$T$7)</f>
        <v>56.38095238095238</v>
      </c>
      <c r="M12" s="4">
        <f>1/60</f>
        <v>1.6666666666666666E-2</v>
      </c>
      <c r="N12" s="4">
        <f>2/60</f>
        <v>3.3333333333333333E-2</v>
      </c>
      <c r="O12" s="4">
        <f>5/60</f>
        <v>8.3333333333333329E-2</v>
      </c>
      <c r="P12">
        <v>1</v>
      </c>
      <c r="Q12">
        <v>1</v>
      </c>
      <c r="R12">
        <v>2</v>
      </c>
      <c r="S12">
        <v>10</v>
      </c>
    </row>
    <row r="13" spans="1:20">
      <c r="A13" t="s">
        <v>821</v>
      </c>
      <c r="B13">
        <f>(Vehicle!E25*B5)</f>
        <v>2910</v>
      </c>
      <c r="C13">
        <v>0.05</v>
      </c>
      <c r="D13" s="4">
        <f t="shared" si="1"/>
        <v>146</v>
      </c>
      <c r="E13" s="4">
        <v>0.1</v>
      </c>
      <c r="F13" s="5">
        <f t="shared" si="0"/>
        <v>291</v>
      </c>
      <c r="G13" s="5">
        <f>SUM(J13:L13)*3840/I13</f>
        <v>342.22023809523802</v>
      </c>
      <c r="H13" s="5">
        <f t="shared" ref="H13" si="3">G13*D13</f>
        <v>49964.154761904749</v>
      </c>
      <c r="I13">
        <f>I10</f>
        <v>15360</v>
      </c>
      <c r="J13">
        <v>1000</v>
      </c>
      <c r="K13">
        <f>J13*0.25</f>
        <v>250</v>
      </c>
      <c r="L13" s="5">
        <f>M13*(I13/$M$7)+N13*(I13/$N$7)+O13*(I13/$O$7)+P13*(I13/$P$7)+Q13*(I13/$Q$7)+R13*(I13/$R$7)+S13*(I13/$S$7)+T13*(I13/$T$7)</f>
        <v>118.88095238095238</v>
      </c>
      <c r="M13" s="4">
        <f>1/60</f>
        <v>1.6666666666666666E-2</v>
      </c>
      <c r="N13" s="4">
        <f>2/60</f>
        <v>3.3333333333333333E-2</v>
      </c>
      <c r="O13" s="4">
        <f>5/60</f>
        <v>8.3333333333333329E-2</v>
      </c>
      <c r="P13">
        <v>1</v>
      </c>
      <c r="Q13">
        <v>1</v>
      </c>
      <c r="R13">
        <v>2</v>
      </c>
      <c r="S13">
        <v>10</v>
      </c>
      <c r="T13">
        <f>K13*0.25</f>
        <v>62.5</v>
      </c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E40A2-0352-B744-BB5D-40DBFBFA564D}">
  <dimension ref="A1:H44"/>
  <sheetViews>
    <sheetView topLeftCell="A22" workbookViewId="0">
      <selection activeCell="D44" sqref="D44"/>
    </sheetView>
  </sheetViews>
  <sheetFormatPr baseColWidth="10" defaultRowHeight="16"/>
  <cols>
    <col min="1" max="1" width="23.83203125" bestFit="1" customWidth="1"/>
    <col min="2" max="3" width="12.1640625" bestFit="1" customWidth="1"/>
    <col min="4" max="4" width="14.6640625" customWidth="1"/>
  </cols>
  <sheetData>
    <row r="1" spans="1:8">
      <c r="A1" s="94" t="s">
        <v>707</v>
      </c>
      <c r="B1" t="s">
        <v>752</v>
      </c>
      <c r="C1" t="s">
        <v>753</v>
      </c>
      <c r="D1" t="s">
        <v>791</v>
      </c>
    </row>
    <row r="2" spans="1:8" ht="17">
      <c r="A2" s="94" t="s">
        <v>751</v>
      </c>
      <c r="B2">
        <v>365.25</v>
      </c>
      <c r="C2" s="106">
        <v>365.24250000000001</v>
      </c>
      <c r="D2">
        <v>360</v>
      </c>
    </row>
    <row r="3" spans="1:8">
      <c r="A3" t="s">
        <v>10</v>
      </c>
      <c r="B3">
        <f>B2*3600*24</f>
        <v>31557600</v>
      </c>
      <c r="C3" s="53">
        <f>C2*3600*24</f>
        <v>31556952</v>
      </c>
      <c r="D3">
        <f>D2*3600*24</f>
        <v>31104000</v>
      </c>
      <c r="E3" t="s">
        <v>137</v>
      </c>
    </row>
    <row r="4" spans="1:8">
      <c r="A4" t="s">
        <v>175</v>
      </c>
      <c r="B4">
        <f>B3/3600</f>
        <v>8766</v>
      </c>
      <c r="C4" s="53">
        <f>C3/3600</f>
        <v>8765.82</v>
      </c>
      <c r="D4">
        <f>D3/3600</f>
        <v>8640</v>
      </c>
    </row>
    <row r="5" spans="1:8">
      <c r="A5" t="s">
        <v>0</v>
      </c>
      <c r="B5">
        <v>9460700000000000</v>
      </c>
    </row>
    <row r="6" spans="1:8">
      <c r="A6" t="s">
        <v>17</v>
      </c>
      <c r="B6" s="3">
        <v>299792458</v>
      </c>
    </row>
    <row r="7" spans="1:8">
      <c r="A7" t="s">
        <v>192</v>
      </c>
      <c r="B7" s="3">
        <v>6.0220000000000003E+23</v>
      </c>
      <c r="E7">
        <v>2130</v>
      </c>
    </row>
    <row r="8" spans="1:8">
      <c r="A8" t="s">
        <v>354</v>
      </c>
      <c r="B8" s="3">
        <f>3*SQRT(3)</f>
        <v>5.196152422706632</v>
      </c>
      <c r="C8">
        <f>1.4422*3</f>
        <v>4.3266</v>
      </c>
    </row>
    <row r="9" spans="1:8">
      <c r="A9" t="s">
        <v>610</v>
      </c>
      <c r="B9">
        <v>1.2250000000000001</v>
      </c>
      <c r="C9" t="s">
        <v>227</v>
      </c>
    </row>
    <row r="10" spans="1:8">
      <c r="A10" t="s">
        <v>329</v>
      </c>
      <c r="B10">
        <v>1700</v>
      </c>
      <c r="C10" t="s">
        <v>227</v>
      </c>
    </row>
    <row r="11" spans="1:8">
      <c r="A11" t="s">
        <v>11</v>
      </c>
      <c r="B11">
        <v>9.8000000000000007</v>
      </c>
      <c r="C11" t="s">
        <v>4</v>
      </c>
    </row>
    <row r="13" spans="1:8">
      <c r="A13" s="94" t="s">
        <v>238</v>
      </c>
    </row>
    <row r="14" spans="1:8">
      <c r="A14" t="s">
        <v>78</v>
      </c>
      <c r="C14" t="s">
        <v>80</v>
      </c>
      <c r="D14" t="s">
        <v>147</v>
      </c>
      <c r="E14" t="s">
        <v>20</v>
      </c>
      <c r="F14" t="s">
        <v>704</v>
      </c>
      <c r="G14" t="s">
        <v>705</v>
      </c>
      <c r="H14" t="s">
        <v>706</v>
      </c>
    </row>
    <row r="15" spans="1:8">
      <c r="A15" t="s">
        <v>704</v>
      </c>
      <c r="C15">
        <v>4.0468600000000002E-3</v>
      </c>
      <c r="D15" s="48">
        <f>1/F17</f>
        <v>0.40468564300507887</v>
      </c>
      <c r="E15">
        <v>4046.8564200000001</v>
      </c>
      <c r="F15">
        <v>1</v>
      </c>
      <c r="G15">
        <v>1.5625000000000001E-3</v>
      </c>
    </row>
    <row r="16" spans="1:8" ht="17">
      <c r="A16" t="s">
        <v>80</v>
      </c>
      <c r="C16">
        <v>1</v>
      </c>
      <c r="D16">
        <v>100</v>
      </c>
      <c r="E16">
        <f>E17*D16</f>
        <v>1000000</v>
      </c>
      <c r="F16">
        <v>247.10538099999999</v>
      </c>
      <c r="G16" s="90">
        <v>0.38610216000000003</v>
      </c>
    </row>
    <row r="17" spans="1:7" ht="17">
      <c r="A17" t="s">
        <v>147</v>
      </c>
      <c r="C17">
        <f>1/D16</f>
        <v>0.01</v>
      </c>
      <c r="D17">
        <v>1</v>
      </c>
      <c r="E17" s="66">
        <v>10000</v>
      </c>
      <c r="F17" s="91">
        <v>2.4710538099999999</v>
      </c>
      <c r="G17">
        <v>3.8610200000000002E-3</v>
      </c>
    </row>
    <row r="18" spans="1:7" ht="17">
      <c r="A18" t="s">
        <v>20</v>
      </c>
      <c r="C18">
        <v>9.9999999999999995E-7</v>
      </c>
      <c r="D18">
        <f>1/E17</f>
        <v>1E-4</v>
      </c>
      <c r="E18" s="66">
        <v>1</v>
      </c>
      <c r="F18" s="93">
        <v>2.4710999999999998E-4</v>
      </c>
      <c r="G18" s="3">
        <v>3.861E-7</v>
      </c>
    </row>
    <row r="21" spans="1:7">
      <c r="A21" s="94" t="s">
        <v>514</v>
      </c>
    </row>
    <row r="22" spans="1:7" ht="17">
      <c r="A22" t="s">
        <v>444</v>
      </c>
      <c r="D22" s="92">
        <v>2241.7023100000001</v>
      </c>
    </row>
    <row r="23" spans="1:7" ht="20">
      <c r="A23" t="s">
        <v>21</v>
      </c>
      <c r="B23" s="20">
        <f>13790*3</f>
        <v>41370</v>
      </c>
      <c r="C23" t="s">
        <v>23</v>
      </c>
    </row>
    <row r="24" spans="1:7">
      <c r="A24" t="s">
        <v>22</v>
      </c>
      <c r="B24">
        <f>27.4</f>
        <v>27.4</v>
      </c>
    </row>
    <row r="25" spans="1:7">
      <c r="A25" t="s">
        <v>260</v>
      </c>
      <c r="B25" t="s">
        <v>265</v>
      </c>
    </row>
    <row r="26" spans="1:7">
      <c r="A26" t="s">
        <v>261</v>
      </c>
      <c r="B26">
        <v>640</v>
      </c>
      <c r="C26" t="s">
        <v>262</v>
      </c>
    </row>
    <row r="27" spans="1:7">
      <c r="A27" t="s">
        <v>263</v>
      </c>
      <c r="B27">
        <v>240</v>
      </c>
      <c r="C27" t="s">
        <v>262</v>
      </c>
    </row>
    <row r="28" spans="1:7">
      <c r="A28" t="s">
        <v>224</v>
      </c>
      <c r="B28">
        <v>8.4499999999999993</v>
      </c>
      <c r="C28" t="s">
        <v>264</v>
      </c>
      <c r="E28" t="s">
        <v>54</v>
      </c>
    </row>
    <row r="29" spans="1:7">
      <c r="A29" t="s">
        <v>27</v>
      </c>
      <c r="B29" s="3">
        <v>6668000000000000</v>
      </c>
      <c r="C29" t="s">
        <v>51</v>
      </c>
      <c r="D29" s="4">
        <f>B29/(Vehicle!B82+Vehicle!B76)</f>
        <v>125660143.16224314</v>
      </c>
    </row>
    <row r="30" spans="1:7">
      <c r="A30" t="s">
        <v>52</v>
      </c>
      <c r="B30" s="3">
        <v>9.1E+20</v>
      </c>
      <c r="C30" s="22"/>
      <c r="D30" s="4">
        <f>B30/(Vehicle!B58+Vehicle!B92)</f>
        <v>159678137316.97302</v>
      </c>
    </row>
    <row r="31" spans="1:7">
      <c r="A31" t="s">
        <v>183</v>
      </c>
      <c r="B31" s="3">
        <f>1046000*1016.4</f>
        <v>1063154400</v>
      </c>
      <c r="C31" t="s">
        <v>51</v>
      </c>
      <c r="D31" t="s">
        <v>184</v>
      </c>
    </row>
    <row r="32" spans="1:7">
      <c r="A32" t="s">
        <v>747</v>
      </c>
      <c r="B32">
        <v>0.74569987000000004</v>
      </c>
    </row>
    <row r="33" spans="1:7">
      <c r="A33" t="s">
        <v>748</v>
      </c>
      <c r="B33">
        <f>1/B32</f>
        <v>1.3410220924404881</v>
      </c>
    </row>
    <row r="34" spans="1:7">
      <c r="A34" t="s">
        <v>749</v>
      </c>
      <c r="B34" s="3">
        <v>312</v>
      </c>
      <c r="C34" t="s">
        <v>237</v>
      </c>
      <c r="D34" t="s">
        <v>236</v>
      </c>
    </row>
    <row r="36" spans="1:7">
      <c r="A36" t="s">
        <v>173</v>
      </c>
      <c r="B36" s="53">
        <f>1000/B3</f>
        <v>3.1688087814028949E-5</v>
      </c>
      <c r="C36" s="53">
        <f>1/B36</f>
        <v>31557.600000000002</v>
      </c>
    </row>
    <row r="37" spans="1:7">
      <c r="A37" t="s">
        <v>787</v>
      </c>
      <c r="B37" s="53">
        <f>1000/(3600*24)</f>
        <v>1.1574074074074073E-2</v>
      </c>
      <c r="C37">
        <f>1/B37</f>
        <v>86.4</v>
      </c>
    </row>
    <row r="39" spans="1:7">
      <c r="A39" t="s">
        <v>232</v>
      </c>
      <c r="B39" s="53">
        <f>41868/1000</f>
        <v>41.868000000000002</v>
      </c>
      <c r="D39" t="s">
        <v>233</v>
      </c>
    </row>
    <row r="40" spans="1:7">
      <c r="A40" t="s">
        <v>613</v>
      </c>
      <c r="B40">
        <v>333</v>
      </c>
      <c r="C40" t="s">
        <v>3</v>
      </c>
    </row>
    <row r="41" spans="1:7">
      <c r="A41" t="s">
        <v>615</v>
      </c>
      <c r="B41">
        <v>109.72799999999999</v>
      </c>
      <c r="C41" t="s">
        <v>3</v>
      </c>
    </row>
    <row r="43" spans="1:7">
      <c r="A43" t="s">
        <v>755</v>
      </c>
      <c r="B43" s="4">
        <v>3.24</v>
      </c>
      <c r="C43" t="s">
        <v>614</v>
      </c>
      <c r="D43">
        <f>Vehicle!C22</f>
        <v>550</v>
      </c>
      <c r="E43" t="s">
        <v>3</v>
      </c>
      <c r="F43">
        <f>B43/D43*Conversion!B40</f>
        <v>1.9616727272727275</v>
      </c>
      <c r="G43" t="s">
        <v>614</v>
      </c>
    </row>
    <row r="44" spans="1:7">
      <c r="A44" t="s">
        <v>756</v>
      </c>
      <c r="B44">
        <v>7.2</v>
      </c>
      <c r="C44" t="s">
        <v>614</v>
      </c>
      <c r="D44">
        <f>Vehicle!B48*2</f>
        <v>137.5</v>
      </c>
      <c r="E44" t="s">
        <v>3</v>
      </c>
      <c r="F44">
        <f>B44/D44*Conversion!B41</f>
        <v>5.7457570909090903</v>
      </c>
      <c r="G44" t="s">
        <v>614</v>
      </c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AE16D-229B-704F-BE6F-8C2D76F3DFDA}">
  <dimension ref="A1:D5"/>
  <sheetViews>
    <sheetView workbookViewId="0"/>
  </sheetViews>
  <sheetFormatPr baseColWidth="10" defaultRowHeight="16"/>
  <cols>
    <col min="1" max="1" width="17.33203125" bestFit="1" customWidth="1"/>
    <col min="4" max="4" width="18.6640625" bestFit="1" customWidth="1"/>
  </cols>
  <sheetData>
    <row r="1" spans="1:4">
      <c r="A1" t="s">
        <v>597</v>
      </c>
      <c r="B1" s="84">
        <f>1260/1.107</f>
        <v>1138.2113821138212</v>
      </c>
      <c r="C1" t="s">
        <v>598</v>
      </c>
      <c r="D1" s="85">
        <f>Vehicle!B91*B1</f>
        <v>87834980661.353638</v>
      </c>
    </row>
    <row r="2" spans="1:4">
      <c r="A2" t="s">
        <v>600</v>
      </c>
      <c r="B2">
        <f>314*10</f>
        <v>3140</v>
      </c>
      <c r="C2" t="s">
        <v>598</v>
      </c>
      <c r="D2" s="85">
        <f>Vehicle!B92*B2</f>
        <v>7269348478077.4307</v>
      </c>
    </row>
    <row r="3" spans="1:4">
      <c r="A3" t="s">
        <v>601</v>
      </c>
      <c r="B3">
        <f>164*2</f>
        <v>328</v>
      </c>
      <c r="C3" t="s">
        <v>598</v>
      </c>
      <c r="D3" s="85">
        <f>Vehicle!B92*Costs!B3</f>
        <v>759345955671.78259</v>
      </c>
    </row>
    <row r="5" spans="1:4">
      <c r="A5" t="s">
        <v>599</v>
      </c>
      <c r="B5">
        <f>0.04*2.2</f>
        <v>8.8000000000000009E-2</v>
      </c>
      <c r="C5" t="s">
        <v>598</v>
      </c>
      <c r="D5" s="85">
        <f>Vehicle!B82*Costs!B5</f>
        <v>4620291.2987063089</v>
      </c>
    </row>
  </sheetData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83514-39E3-3B40-8427-EAE05288B8F8}">
  <dimension ref="A1:K64"/>
  <sheetViews>
    <sheetView workbookViewId="0">
      <selection activeCell="E26" sqref="E26"/>
    </sheetView>
  </sheetViews>
  <sheetFormatPr baseColWidth="10" defaultRowHeight="16"/>
  <cols>
    <col min="5" max="5" width="14.83203125" customWidth="1"/>
    <col min="6" max="9" width="14.1640625" customWidth="1"/>
  </cols>
  <sheetData>
    <row r="1" spans="1:11">
      <c r="A1" t="s">
        <v>372</v>
      </c>
      <c r="E1" s="4">
        <f>Vehicle!B22</f>
        <v>275</v>
      </c>
    </row>
    <row r="2" spans="1:11">
      <c r="A2" t="s">
        <v>362</v>
      </c>
      <c r="E2">
        <f>Vehicle!B71</f>
        <v>10000</v>
      </c>
      <c r="F2" t="s">
        <v>337</v>
      </c>
    </row>
    <row r="3" spans="1:11">
      <c r="A3" t="s">
        <v>8</v>
      </c>
      <c r="E3" s="48">
        <v>9.8000000000000007</v>
      </c>
    </row>
    <row r="4" spans="1:11">
      <c r="A4" t="s">
        <v>374</v>
      </c>
      <c r="E4" s="48">
        <f>SQRT(E3*1.05/E1)</f>
        <v>0.19343779831817209</v>
      </c>
      <c r="F4">
        <f>E3/E1</f>
        <v>3.563636363636364E-2</v>
      </c>
    </row>
    <row r="5" spans="1:11">
      <c r="A5" t="s">
        <v>373</v>
      </c>
      <c r="E5" s="48">
        <f>E4*30/PI()</f>
        <v>1.8471949069890126</v>
      </c>
    </row>
    <row r="6" spans="1:11">
      <c r="A6" t="s">
        <v>385</v>
      </c>
      <c r="E6" s="48">
        <f>Vehicle!B69</f>
        <v>179.54618916474604</v>
      </c>
    </row>
    <row r="7" spans="1:11">
      <c r="A7" t="s">
        <v>388</v>
      </c>
      <c r="E7" s="48">
        <f>2*E1*PI()/6</f>
        <v>287.97932657906438</v>
      </c>
    </row>
    <row r="8" spans="1:11">
      <c r="A8" t="s">
        <v>386</v>
      </c>
      <c r="E8">
        <f>$F$4*($E$1-E41)/9.8</f>
        <v>0.5</v>
      </c>
    </row>
    <row r="10" spans="1:11">
      <c r="A10" t="s">
        <v>593</v>
      </c>
      <c r="C10" s="4">
        <f>Geometry!E41</f>
        <v>137.5</v>
      </c>
      <c r="D10" s="4">
        <f>Geometry!E40</f>
        <v>68.75</v>
      </c>
      <c r="E10">
        <f>D10*D10</f>
        <v>4726.5625</v>
      </c>
      <c r="F10">
        <f>D10*2</f>
        <v>137.5</v>
      </c>
    </row>
    <row r="11" spans="1:11">
      <c r="A11" t="s">
        <v>618</v>
      </c>
      <c r="C11" s="4">
        <v>0.9</v>
      </c>
      <c r="D11" s="4">
        <f>C10*C11</f>
        <v>123.75</v>
      </c>
    </row>
    <row r="12" spans="1:11">
      <c r="A12" t="s">
        <v>374</v>
      </c>
      <c r="C12" s="4">
        <f>Geometry!E4</f>
        <v>0.19343779831817209</v>
      </c>
      <c r="D12" s="4">
        <f>C12*C12</f>
        <v>3.7418181818181823E-2</v>
      </c>
    </row>
    <row r="13" spans="1:11">
      <c r="A13" t="s">
        <v>594</v>
      </c>
      <c r="C13" s="4">
        <f>Geometry!E1</f>
        <v>275</v>
      </c>
    </row>
    <row r="14" spans="1:11">
      <c r="A14" t="s">
        <v>742</v>
      </c>
      <c r="C14" s="4">
        <f>Vehicle!B17</f>
        <v>6</v>
      </c>
    </row>
    <row r="15" spans="1:11">
      <c r="A15" t="s">
        <v>595</v>
      </c>
      <c r="C15" s="4">
        <v>5</v>
      </c>
      <c r="D15">
        <f>C15*3.2808399</f>
        <v>16.404199500000001</v>
      </c>
      <c r="E15" t="s">
        <v>596</v>
      </c>
      <c r="F15" s="59"/>
    </row>
    <row r="16" spans="1:11">
      <c r="A16" t="s">
        <v>592</v>
      </c>
      <c r="C16" s="59">
        <v>5</v>
      </c>
      <c r="D16">
        <f>C16*3.2808399</f>
        <v>16.404199500000001</v>
      </c>
      <c r="G16" t="s">
        <v>762</v>
      </c>
      <c r="K16" s="59"/>
    </row>
    <row r="17" spans="1:11" ht="17" thickBot="1">
      <c r="A17" t="s">
        <v>617</v>
      </c>
      <c r="C17">
        <f>SUM(Gravity!I:I)</f>
        <v>27</v>
      </c>
      <c r="F17" s="108" t="s">
        <v>758</v>
      </c>
      <c r="G17" s="156" t="s">
        <v>737</v>
      </c>
      <c r="H17" s="156"/>
      <c r="I17" s="156"/>
      <c r="J17" s="156"/>
      <c r="K17" s="156"/>
    </row>
    <row r="18" spans="1:11" ht="17" thickBot="1">
      <c r="A18" t="s">
        <v>353</v>
      </c>
      <c r="C18" s="3">
        <f>SUM(Gravity!J:J)</f>
        <v>272140.46361721586</v>
      </c>
      <c r="D18" s="4">
        <f>C18*Conversion!F18</f>
        <v>67.248629964450203</v>
      </c>
      <c r="F18" s="108">
        <v>0</v>
      </c>
      <c r="G18" s="157">
        <v>1</v>
      </c>
      <c r="H18" s="158">
        <v>2</v>
      </c>
      <c r="I18" s="158">
        <v>3</v>
      </c>
      <c r="J18" s="158">
        <v>4</v>
      </c>
      <c r="K18" s="159">
        <v>5</v>
      </c>
    </row>
    <row r="19" spans="1:11">
      <c r="A19" t="s">
        <v>622</v>
      </c>
      <c r="C19" s="5">
        <f>SUM(Gravity!M:M)</f>
        <v>6196.0061110424695</v>
      </c>
      <c r="D19">
        <f>Vehicle!B36/$C$14</f>
        <v>8093.7128400000001</v>
      </c>
      <c r="E19" s="44">
        <f>C19/D19</f>
        <v>0.76553322727502027</v>
      </c>
      <c r="F19" s="145">
        <f>D19/C18</f>
        <v>2.9740938677110359E-2</v>
      </c>
      <c r="G19" s="146">
        <v>0</v>
      </c>
      <c r="H19" s="147">
        <v>0.14000000000000001</v>
      </c>
      <c r="I19" s="147">
        <v>0</v>
      </c>
      <c r="J19" s="148">
        <v>0</v>
      </c>
      <c r="K19" s="149">
        <v>0</v>
      </c>
    </row>
    <row r="20" spans="1:11">
      <c r="A20" t="s">
        <v>623</v>
      </c>
      <c r="C20" s="5">
        <f>SUM(Gravity!L:L)</f>
        <v>22571.165118797566</v>
      </c>
      <c r="D20">
        <f>Vehicle!B35/$C$14</f>
        <v>28533.333333333332</v>
      </c>
      <c r="E20" s="44">
        <f>C20/D20</f>
        <v>0.79104550649991467</v>
      </c>
      <c r="F20" s="109">
        <f>D20/C18</f>
        <v>0.10484781628603167</v>
      </c>
      <c r="G20" s="150">
        <v>0</v>
      </c>
      <c r="H20" s="102">
        <v>0.51</v>
      </c>
      <c r="I20" s="102">
        <v>0</v>
      </c>
      <c r="J20" s="104">
        <v>0</v>
      </c>
      <c r="K20" s="151">
        <v>0</v>
      </c>
    </row>
    <row r="21" spans="1:11">
      <c r="A21" t="s">
        <v>624</v>
      </c>
      <c r="C21" s="5">
        <f>SUM(Gravity!K:K)</f>
        <v>187053.56818738984</v>
      </c>
      <c r="D21">
        <f>Vehicle!B34/$C$14</f>
        <v>231305.62422040521</v>
      </c>
      <c r="E21" s="44">
        <f>C21/D21</f>
        <v>0.80868577587698987</v>
      </c>
      <c r="F21" s="109">
        <f>D21/C18</f>
        <v>0.84994940166542954</v>
      </c>
      <c r="G21" s="150">
        <v>0.89</v>
      </c>
      <c r="H21" s="102">
        <v>0</v>
      </c>
      <c r="I21" s="102">
        <v>0</v>
      </c>
      <c r="J21" s="104">
        <v>0</v>
      </c>
      <c r="K21" s="151">
        <v>0.35</v>
      </c>
    </row>
    <row r="22" spans="1:11">
      <c r="A22" t="s">
        <v>726</v>
      </c>
      <c r="C22" s="5">
        <f>SUM(Gravity!N:N)</f>
        <v>4911.8801138876415</v>
      </c>
      <c r="D22">
        <f>Vehicle!B37/$C$14</f>
        <v>5438.6760375276326</v>
      </c>
      <c r="E22" s="44">
        <f>C22/D22</f>
        <v>0.90313894043237275</v>
      </c>
      <c r="F22" s="109">
        <f>D22/C18</f>
        <v>1.9984812126937146E-2</v>
      </c>
      <c r="G22" s="150">
        <v>0.02</v>
      </c>
      <c r="H22" s="102">
        <v>0</v>
      </c>
      <c r="I22" s="102">
        <v>0.04</v>
      </c>
      <c r="J22" s="104">
        <v>0.1</v>
      </c>
      <c r="K22" s="151">
        <v>0.05</v>
      </c>
    </row>
    <row r="23" spans="1:11">
      <c r="A23" t="s">
        <v>736</v>
      </c>
      <c r="C23" s="5">
        <f>SUM(Gravity!O:O)</f>
        <v>9869.3525911605047</v>
      </c>
      <c r="D23">
        <f>Vehicle!B38/$C$14</f>
        <v>12125</v>
      </c>
      <c r="E23" s="44">
        <f>C23/D23</f>
        <v>0.81396722401323751</v>
      </c>
      <c r="F23" s="109">
        <f>D23/C18</f>
        <v>4.4554197633228994E-2</v>
      </c>
      <c r="G23" s="150">
        <v>0</v>
      </c>
      <c r="H23" s="102">
        <v>0.223</v>
      </c>
      <c r="I23" s="102">
        <v>0</v>
      </c>
      <c r="J23" s="104">
        <v>0</v>
      </c>
      <c r="K23" s="151">
        <v>0.2</v>
      </c>
    </row>
    <row r="24" spans="1:11">
      <c r="A24" t="s">
        <v>763</v>
      </c>
      <c r="C24" s="5">
        <f>SUM(Gravity!P:P)</f>
        <v>17709.295232964261</v>
      </c>
      <c r="D24" s="5">
        <f>C24</f>
        <v>17709.295232964261</v>
      </c>
      <c r="E24" s="44">
        <f t="shared" ref="E24:E25" si="0">C24/D24</f>
        <v>1</v>
      </c>
      <c r="F24" s="109">
        <f>D24/$C$18</f>
        <v>6.5074098124098131E-2</v>
      </c>
      <c r="G24" s="150">
        <v>0.01</v>
      </c>
      <c r="H24" s="102">
        <v>5.0000000000000001E-4</v>
      </c>
      <c r="I24" s="102">
        <v>0.88</v>
      </c>
      <c r="J24" s="104">
        <v>0.1</v>
      </c>
      <c r="K24" s="151">
        <v>0.4</v>
      </c>
    </row>
    <row r="25" spans="1:11" ht="17" thickBot="1">
      <c r="A25" t="s">
        <v>861</v>
      </c>
      <c r="C25" s="5">
        <f>C18*0.1</f>
        <v>27214.046361721586</v>
      </c>
      <c r="D25" s="5">
        <f>C25</f>
        <v>27214.046361721586</v>
      </c>
      <c r="E25" s="44">
        <f t="shared" si="0"/>
        <v>1</v>
      </c>
      <c r="F25" s="109">
        <f>D25/$C$18</f>
        <v>0.1</v>
      </c>
      <c r="G25" s="152">
        <v>0.08</v>
      </c>
      <c r="H25" s="153">
        <v>0.08</v>
      </c>
      <c r="I25" s="153">
        <v>0.08</v>
      </c>
      <c r="J25" s="154">
        <v>0.08</v>
      </c>
      <c r="K25" s="155">
        <v>0.08</v>
      </c>
    </row>
    <row r="26" spans="1:11" ht="17" thickBot="1">
      <c r="A26" t="s">
        <v>378</v>
      </c>
      <c r="E26" s="44"/>
      <c r="F26" s="160"/>
      <c r="G26" s="142">
        <v>5</v>
      </c>
      <c r="H26" s="143">
        <v>5</v>
      </c>
      <c r="I26" s="143">
        <v>5</v>
      </c>
      <c r="J26" s="143">
        <v>5</v>
      </c>
      <c r="K26" s="144">
        <v>5</v>
      </c>
    </row>
    <row r="27" spans="1:11">
      <c r="A27" t="s">
        <v>743</v>
      </c>
      <c r="C27" s="105">
        <f>SUM(J19:J23)</f>
        <v>0.1</v>
      </c>
      <c r="E27" s="44"/>
      <c r="F27" s="109">
        <f>SUM(F19:F25)</f>
        <v>1.2141512645128361</v>
      </c>
      <c r="G27" s="107">
        <f>SUM(G19:G25)</f>
        <v>1</v>
      </c>
      <c r="H27" s="107">
        <f>SUM(H19:H25)</f>
        <v>0.9534999999999999</v>
      </c>
      <c r="I27" s="107">
        <f>SUM(I19:I25)</f>
        <v>1</v>
      </c>
      <c r="J27" s="107">
        <f t="shared" ref="J27:K27" si="1">SUM(J19:J25)</f>
        <v>0.28000000000000003</v>
      </c>
      <c r="K27" s="107">
        <f t="shared" si="1"/>
        <v>1.08</v>
      </c>
    </row>
    <row r="29" spans="1:11">
      <c r="A29" t="s">
        <v>759</v>
      </c>
      <c r="B29">
        <f>LOOKUP(C29,Gravity!D:D,Gravity!A:A)</f>
        <v>13</v>
      </c>
      <c r="C29" s="4">
        <f>C13-C10+D10</f>
        <v>206.25</v>
      </c>
      <c r="D29">
        <f>LOOKUP(B29,Gravity!A:A,Gravity!H:H)</f>
        <v>68.647651088729901</v>
      </c>
    </row>
    <row r="30" spans="1:11">
      <c r="C30" s="4"/>
    </row>
    <row r="31" spans="1:11">
      <c r="A31" t="s">
        <v>379</v>
      </c>
      <c r="E31" t="s">
        <v>611</v>
      </c>
    </row>
    <row r="32" spans="1:11">
      <c r="A32" t="s">
        <v>353</v>
      </c>
      <c r="E32" s="3">
        <f>Vehicle!B40</f>
        <v>1640228.078587597</v>
      </c>
    </row>
    <row r="33" spans="1:9">
      <c r="A33" t="s">
        <v>355</v>
      </c>
      <c r="E33">
        <f>Vehicle!B17</f>
        <v>6</v>
      </c>
    </row>
    <row r="34" spans="1:9">
      <c r="A34" t="s">
        <v>357</v>
      </c>
      <c r="E34" s="49">
        <f>E32/E33</f>
        <v>273371.34643126617</v>
      </c>
      <c r="F34" s="49"/>
    </row>
    <row r="35" spans="1:9">
      <c r="E35" s="24">
        <f>E36/$E$34</f>
        <v>9.8766752084562809E-5</v>
      </c>
      <c r="F35" s="24"/>
      <c r="G35" s="44"/>
      <c r="H35" s="44"/>
      <c r="I35" s="44"/>
    </row>
    <row r="36" spans="1:9">
      <c r="A36" t="s">
        <v>358</v>
      </c>
      <c r="E36" s="49">
        <f>SUM(Gravity!I:I)</f>
        <v>27</v>
      </c>
      <c r="F36" s="49"/>
      <c r="G36" s="71"/>
      <c r="H36" s="71"/>
      <c r="I36" s="71"/>
    </row>
    <row r="37" spans="1:9">
      <c r="A37" t="s">
        <v>356</v>
      </c>
      <c r="E37" s="59">
        <v>4</v>
      </c>
    </row>
    <row r="38" spans="1:9">
      <c r="A38" t="s">
        <v>328</v>
      </c>
      <c r="E38" s="59">
        <f>Geometry!C17</f>
        <v>27</v>
      </c>
      <c r="G38" s="4"/>
      <c r="H38" s="4"/>
      <c r="I38" s="4"/>
    </row>
    <row r="39" spans="1:9" ht="15" customHeight="1">
      <c r="A39" t="s">
        <v>381</v>
      </c>
      <c r="E39" s="4">
        <v>1</v>
      </c>
      <c r="F39" s="4"/>
    </row>
    <row r="40" spans="1:9">
      <c r="A40" t="s">
        <v>138</v>
      </c>
      <c r="E40" s="4">
        <f>E1/4</f>
        <v>68.75</v>
      </c>
      <c r="F40" s="4">
        <f>E40*2</f>
        <v>137.5</v>
      </c>
      <c r="H40" s="4"/>
    </row>
    <row r="41" spans="1:9">
      <c r="A41" t="s">
        <v>378</v>
      </c>
      <c r="E41" s="4">
        <f>E40*2</f>
        <v>137.5</v>
      </c>
      <c r="F41" s="4">
        <f>CEILING(E1*0.5,10)</f>
        <v>140</v>
      </c>
    </row>
    <row r="42" spans="1:9">
      <c r="A42" t="s">
        <v>383</v>
      </c>
      <c r="E42" s="4">
        <f>E41</f>
        <v>137.5</v>
      </c>
      <c r="F42" s="4"/>
    </row>
    <row r="43" spans="1:9">
      <c r="A43" t="s">
        <v>363</v>
      </c>
      <c r="E43" s="4"/>
      <c r="H43" s="4"/>
    </row>
    <row r="45" spans="1:9">
      <c r="A45" t="s">
        <v>359</v>
      </c>
      <c r="E45" s="49">
        <f>IF(E41&lt;E40,2*PI()*E40*E40+PI()*E41*E41/E43*LN((1+E43)/(1-E43)),4*PI()*E40*E40)</f>
        <v>59395.736106932025</v>
      </c>
      <c r="F45" s="49"/>
      <c r="G45" s="49"/>
      <c r="H45" s="49"/>
      <c r="I45" s="49"/>
    </row>
    <row r="46" spans="1:9">
      <c r="A46" t="s">
        <v>361</v>
      </c>
      <c r="E46" s="49">
        <f>4*PI()/3*E40*E40*E40</f>
        <v>1361152.2857838587</v>
      </c>
      <c r="F46" s="49"/>
      <c r="G46" s="49"/>
      <c r="H46" s="49"/>
      <c r="I46" s="49"/>
    </row>
    <row r="47" spans="1:9">
      <c r="A47" t="s">
        <v>387</v>
      </c>
      <c r="E47" s="4">
        <f>E45/E46</f>
        <v>4.363636363636364E-2</v>
      </c>
      <c r="F47" s="4"/>
      <c r="G47" s="4"/>
      <c r="H47" s="4"/>
      <c r="I47" s="4"/>
    </row>
    <row r="48" spans="1:9">
      <c r="A48" t="s">
        <v>368</v>
      </c>
      <c r="E48" s="3">
        <f>E45*E2</f>
        <v>593957361.0693202</v>
      </c>
      <c r="F48" s="3"/>
      <c r="G48" s="3"/>
      <c r="H48" s="3"/>
      <c r="I48" s="3"/>
    </row>
    <row r="49" spans="1:9">
      <c r="A49" t="s">
        <v>384</v>
      </c>
      <c r="E49" s="3">
        <f>E46*$E$6</f>
        <v>244389705.78537515</v>
      </c>
      <c r="F49" s="3"/>
      <c r="G49" s="3"/>
      <c r="H49" s="3"/>
      <c r="I49" s="3"/>
    </row>
    <row r="50" spans="1:9">
      <c r="E50" s="3"/>
      <c r="F50" s="3"/>
      <c r="G50" s="3"/>
      <c r="H50" s="3"/>
      <c r="I50" s="3"/>
    </row>
    <row r="51" spans="1:9">
      <c r="A51" t="s">
        <v>24</v>
      </c>
      <c r="E51" s="3">
        <f>E36*Conversion!B10</f>
        <v>45900</v>
      </c>
      <c r="F51" s="3"/>
      <c r="G51" s="3"/>
      <c r="H51" s="3"/>
      <c r="I51" s="3"/>
    </row>
    <row r="52" spans="1:9">
      <c r="A52" t="s">
        <v>349</v>
      </c>
      <c r="E52" s="3">
        <f>(E46-E51/Conversion!B10-E49/8000)*Conversion!B9</f>
        <v>1629956.3013868416</v>
      </c>
      <c r="F52" s="3"/>
      <c r="G52" s="3"/>
      <c r="H52" s="3"/>
      <c r="I52" s="3"/>
    </row>
    <row r="53" spans="1:9">
      <c r="E53" s="3"/>
      <c r="F53" s="4"/>
      <c r="G53" s="3"/>
      <c r="H53" s="3"/>
      <c r="I53" s="3"/>
    </row>
    <row r="54" spans="1:9">
      <c r="A54" t="s">
        <v>579</v>
      </c>
      <c r="E54" s="3">
        <f>(E52+E51+E49+E48)*Vehicle!B17</f>
        <v>5040137538.9364929</v>
      </c>
      <c r="F54" s="3"/>
      <c r="G54" s="3"/>
      <c r="H54" s="3"/>
      <c r="I54" s="3"/>
    </row>
    <row r="55" spans="1:9">
      <c r="A55" t="s">
        <v>604</v>
      </c>
      <c r="E55" s="3">
        <f>0.25*E54*(4*(E1-E40)*(E1-E40)+4*(E40*E40))+0.5*E1*E1*E62</f>
        <v>250769630329579.22</v>
      </c>
      <c r="F55" s="3"/>
      <c r="G55" s="3"/>
      <c r="H55" s="3"/>
      <c r="I55" s="3"/>
    </row>
    <row r="56" spans="1:9">
      <c r="A56" t="s">
        <v>605</v>
      </c>
      <c r="E56" s="3">
        <f>E55*E4</f>
        <v>48508325176015.719</v>
      </c>
      <c r="F56" s="3"/>
      <c r="G56" s="3"/>
      <c r="H56" s="3"/>
      <c r="I56" s="3"/>
    </row>
    <row r="57" spans="1:9">
      <c r="A57" t="s">
        <v>606</v>
      </c>
      <c r="E57" s="3">
        <f>E58-10</f>
        <v>127</v>
      </c>
      <c r="F57" s="3"/>
      <c r="G57" s="3"/>
      <c r="H57" s="3"/>
      <c r="I57" s="3"/>
    </row>
    <row r="58" spans="1:9">
      <c r="A58" t="s">
        <v>603</v>
      </c>
      <c r="E58" s="3">
        <f>FLOOR(E1-E41,1)</f>
        <v>137</v>
      </c>
      <c r="F58" s="3"/>
      <c r="G58" s="3"/>
      <c r="H58" s="3"/>
      <c r="I58" s="3"/>
    </row>
    <row r="59" spans="1:9">
      <c r="B59" t="s">
        <v>616</v>
      </c>
      <c r="E59" s="3">
        <f>(PI()*E58*E58-PI()*E57*E57)</f>
        <v>8293.804605477053</v>
      </c>
      <c r="H59" s="3"/>
      <c r="I59" s="3"/>
    </row>
    <row r="60" spans="1:9">
      <c r="A60" t="s">
        <v>608</v>
      </c>
      <c r="E60" s="4">
        <v>5</v>
      </c>
      <c r="H60" s="3"/>
      <c r="I60" s="3"/>
    </row>
    <row r="61" spans="1:9">
      <c r="A61" t="s">
        <v>612</v>
      </c>
      <c r="E61" s="3">
        <v>8000</v>
      </c>
      <c r="F61" s="3"/>
      <c r="G61" s="3"/>
      <c r="H61" s="3"/>
      <c r="I61" s="3"/>
    </row>
    <row r="62" spans="1:9">
      <c r="A62" t="s">
        <v>602</v>
      </c>
      <c r="E62" s="3">
        <f>E59*E60*E61</f>
        <v>331752184.21908212</v>
      </c>
      <c r="F62" s="44">
        <f>E62/E54</f>
        <v>6.5822049826260165E-2</v>
      </c>
      <c r="G62" s="3"/>
      <c r="H62" s="3"/>
      <c r="I62" s="3"/>
    </row>
    <row r="63" spans="1:9">
      <c r="A63" t="s">
        <v>607</v>
      </c>
      <c r="E63" s="3">
        <f>0.5*E62*(E58*E58+E57*E57)</f>
        <v>5788743862438.7637</v>
      </c>
      <c r="F63" s="3"/>
      <c r="G63" s="3"/>
      <c r="H63" s="3"/>
      <c r="I63" s="3"/>
    </row>
    <row r="64" spans="1:9">
      <c r="A64" t="s">
        <v>609</v>
      </c>
      <c r="E64" s="3">
        <f>E56/E63</f>
        <v>8.3797670666982054</v>
      </c>
      <c r="F64" s="4">
        <f>E64*30/PI()</f>
        <v>80.020881037421503</v>
      </c>
    </row>
  </sheetData>
  <pageMargins left="0.7" right="0.7" top="0.75" bottom="0.75" header="0.3" footer="0.3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7A36E-F675-1441-A197-69A5DDF8AA03}">
  <dimension ref="A1:P208"/>
  <sheetViews>
    <sheetView topLeftCell="A3" workbookViewId="0">
      <selection activeCell="H7" sqref="H7"/>
    </sheetView>
  </sheetViews>
  <sheetFormatPr baseColWidth="10" defaultRowHeight="16"/>
  <cols>
    <col min="7" max="7" width="13.6640625" bestFit="1" customWidth="1"/>
    <col min="8" max="8" width="13.6640625" customWidth="1"/>
    <col min="15" max="15" width="11.6640625" bestFit="1" customWidth="1"/>
  </cols>
  <sheetData>
    <row r="1" spans="1:16">
      <c r="A1" t="s">
        <v>764</v>
      </c>
      <c r="C1">
        <f>Geometry!C17</f>
        <v>27</v>
      </c>
    </row>
    <row r="2" spans="1:16">
      <c r="A2" t="s">
        <v>760</v>
      </c>
      <c r="C2">
        <f>Geometry!B29</f>
        <v>13</v>
      </c>
      <c r="E2" s="110"/>
      <c r="F2" s="110"/>
      <c r="G2" s="110"/>
      <c r="H2" s="110"/>
      <c r="I2" s="110"/>
      <c r="J2" s="110"/>
    </row>
    <row r="3" spans="1:16">
      <c r="A3" t="s">
        <v>761</v>
      </c>
      <c r="C3">
        <v>3</v>
      </c>
      <c r="D3">
        <f>C2-C3/2</f>
        <v>11.5</v>
      </c>
      <c r="E3">
        <f>C2+C3/2</f>
        <v>14.5</v>
      </c>
      <c r="F3" s="110"/>
      <c r="G3" s="110"/>
      <c r="H3" s="110"/>
      <c r="I3" s="110"/>
    </row>
    <row r="4" spans="1:16">
      <c r="A4" t="s">
        <v>763</v>
      </c>
      <c r="C4">
        <v>4</v>
      </c>
      <c r="F4" s="110"/>
      <c r="G4" s="110"/>
      <c r="H4" s="110"/>
      <c r="I4" s="110"/>
    </row>
    <row r="5" spans="1:16">
      <c r="A5" t="s">
        <v>328</v>
      </c>
      <c r="B5" t="s">
        <v>727</v>
      </c>
      <c r="C5" t="s">
        <v>621</v>
      </c>
      <c r="D5" t="s">
        <v>376</v>
      </c>
      <c r="E5" t="s">
        <v>380</v>
      </c>
      <c r="G5" t="s">
        <v>377</v>
      </c>
      <c r="H5" t="s">
        <v>375</v>
      </c>
      <c r="J5" t="s">
        <v>238</v>
      </c>
      <c r="K5" t="s">
        <v>624</v>
      </c>
      <c r="L5" t="s">
        <v>728</v>
      </c>
      <c r="M5" t="s">
        <v>729</v>
      </c>
      <c r="N5" t="s">
        <v>730</v>
      </c>
      <c r="O5" t="s">
        <v>736</v>
      </c>
      <c r="P5" t="s">
        <v>763</v>
      </c>
    </row>
    <row r="6" spans="1:16">
      <c r="D6" s="59">
        <f>Geometry!C13-Geometry!C10</f>
        <v>137.5</v>
      </c>
      <c r="E6" s="59">
        <f>Geometry!$D$10</f>
        <v>68.75</v>
      </c>
      <c r="F6" s="4">
        <f>Geometry!$D$12*D6</f>
        <v>5.1450000000000005</v>
      </c>
      <c r="G6" s="4">
        <f>IF(H6&gt;0,F6/9.8,0)</f>
        <v>0</v>
      </c>
      <c r="H6" s="4">
        <f>IF(ABS(E6*E6)&lt;=Geometry!$E$10,SQRT(Geometry!$E$10-E6*E6),0)</f>
        <v>0</v>
      </c>
      <c r="I6" s="4">
        <f>IF(H6&gt;0,1,0)</f>
        <v>0</v>
      </c>
      <c r="J6" s="5"/>
    </row>
    <row r="7" spans="1:16">
      <c r="A7" s="7">
        <v>1</v>
      </c>
      <c r="B7" s="7"/>
      <c r="C7" s="7">
        <f>IF(A7&gt;$C$1-$C$4,3,IF(A7&lt;2,3,IF(A7&lt;=$D$3,1,IF(A7&gt;$E$3,1,2))))</f>
        <v>3</v>
      </c>
      <c r="D7" s="69">
        <f>D6+Geometry!$C$15</f>
        <v>142.5</v>
      </c>
      <c r="E7" s="69">
        <f>E6-(D7-D6)</f>
        <v>63.75</v>
      </c>
      <c r="F7" s="12">
        <f>Geometry!$D$12*D7</f>
        <v>5.3320909090909101</v>
      </c>
      <c r="G7" s="12">
        <f t="shared" ref="G7:G70" si="0">IF(H7&gt;0,F7/9.8,0)</f>
        <v>0.54409090909090918</v>
      </c>
      <c r="H7" s="12">
        <f>IF(ABS(E7*E7)&lt;=Geometry!$E$10,SQRT(Geometry!$E$10-E7*E7),0)</f>
        <v>25.739075352467502</v>
      </c>
      <c r="I7" s="12">
        <f t="shared" ref="I7:I70" si="1">IF(H7&gt;0,1,0)</f>
        <v>1</v>
      </c>
      <c r="J7" s="15">
        <f t="shared" ref="J7:J38" si="2">PI()*H7*H7</f>
        <v>2081.3051330032381</v>
      </c>
      <c r="K7" s="59">
        <f>IF(C7=1,J7*Geometry!$G$21,0)+IF(C7=2,J7*Geometry!$H$21,0)+IF(C7=3,J7*Geometry!$I$21,0)+IF(C7=4,J7*Geometry!$J$21,0)+IF(C7=5,J7*Geometry!$K$21,0)</f>
        <v>0</v>
      </c>
      <c r="L7" s="59">
        <f>IF(C7=1,J7*Geometry!$G$20,0)+IF(C7=2,J7*Geometry!$H$20,0)+IF(C7=3,J7*Geometry!$I$20,0)+IF(C7=4,J7*Geometry!$J$20,0)+IF(C7=5,J7*Geometry!$K$20,0)</f>
        <v>0</v>
      </c>
      <c r="M7" s="59">
        <f>IF(C7=1,J7*Geometry!$G$19,0)+IF(C7=2,J7*Geometry!$H$19,0)+IF(C7=3,J7*Geometry!$I$19,0)+IF(C7=4,J7*Geometry!$J$19,0)+IF(C7=5,J7*Geometry!$K$19,0)</f>
        <v>0</v>
      </c>
      <c r="N7" s="59">
        <f>IF(C7=1,J7*Geometry!$G$22,0)+IF(C7=2,J7*Geometry!$H$22,0)+IF(C7=3,J7*Geometry!$I$22,0)+IF(C7=4,J7*Geometry!$J$22,0)+IF(C7=5,J7*Geometry!$K$22,0)</f>
        <v>83.252205320129519</v>
      </c>
      <c r="O7" s="59">
        <f>IF(C7=1,J7*Geometry!$G$23,0)+IF(C7=2,J7*Geometry!$H$23,0)+IF(C7=3,J7*Geometry!$I$23,0)+IF(C7=4,J7*Geometry!$J$23,0)+IF(C7=5,J7*Geometry!$K$23,0)</f>
        <v>0</v>
      </c>
      <c r="P7">
        <f>IF(C7=1,J7*Geometry!$G$24,0)+IF(C7=2,J7*Geometry!$H$24,0)+IF(C7=3,J7*Geometry!$I$24,0)+IF(C7=4,J7*Geometry!$J$24,0)+IF(C7=5,J7*Geometry!$K$24,0)</f>
        <v>1831.5485170428494</v>
      </c>
    </row>
    <row r="8" spans="1:16">
      <c r="A8" s="7">
        <f t="shared" ref="A8:A39" si="3">A7+1</f>
        <v>2</v>
      </c>
      <c r="B8" s="7"/>
      <c r="C8" s="7">
        <f t="shared" ref="C8:C71" si="4">IF(A8&gt;$C$1-$C$4,3,IF(A8&lt;2,3,IF(A8&lt;=$D$3,1,IF(A8&gt;$E$3,1,2))))</f>
        <v>1</v>
      </c>
      <c r="D8" s="69">
        <f>D7+Geometry!$C$15</f>
        <v>147.5</v>
      </c>
      <c r="E8" s="69">
        <f t="shared" ref="E8:E71" si="5">E7-(D8-D7)</f>
        <v>58.75</v>
      </c>
      <c r="F8" s="12">
        <f>Geometry!$D$12*D8</f>
        <v>5.5191818181818189</v>
      </c>
      <c r="G8" s="12">
        <f t="shared" si="0"/>
        <v>0.56318181818181823</v>
      </c>
      <c r="H8" s="12">
        <f>IF(ABS(E8*E8)&lt;=Geometry!$E$10,SQRT(Geometry!$E$10-E8*E8),0)</f>
        <v>35.707142142714247</v>
      </c>
      <c r="I8" s="12">
        <f t="shared" si="1"/>
        <v>1</v>
      </c>
      <c r="J8" s="15">
        <f t="shared" si="2"/>
        <v>4005.5306333269855</v>
      </c>
      <c r="K8" s="59">
        <f>IF(C8=1,J8*Geometry!$G$21,0)+IF(C8=2,J8*Geometry!$H$21,0)+IF(C8=3,J8*Geometry!$I$21,0)+IF(C8=4,J8*Geometry!$J$21,0)+IF(C8=5,J8*Geometry!$K$21,0)</f>
        <v>3564.922263661017</v>
      </c>
      <c r="L8" s="59">
        <f>IF(C8=1,J8*Geometry!$G$20,0)+IF(C8=2,J8*Geometry!$H$20,0)+IF(C8=3,J8*Geometry!$I$20,0)+IF(C8=4,J8*Geometry!$J$20,0)+IF(C8=5,J8*Geometry!$K$20,0)</f>
        <v>0</v>
      </c>
      <c r="M8" s="59">
        <f>IF(C8=1,J8*Geometry!$G$19,0)+IF(C8=2,J8*Geometry!$H$19,0)+IF(C8=3,J8*Geometry!$I$19,0)+IF(C8=4,J8*Geometry!$J$19,0)+IF(C8=5,J8*Geometry!$K$19,0)</f>
        <v>0</v>
      </c>
      <c r="N8" s="59">
        <f>IF(C8=1,J8*Geometry!$G$22,0)+IF(C8=2,J8*Geometry!$H$22,0)+IF(C8=3,J8*Geometry!$I$22,0)+IF(C8=4,J8*Geometry!$J$22,0)+IF(C8=5,J8*Geometry!$K$22,0)</f>
        <v>80.110612666539708</v>
      </c>
      <c r="O8" s="59">
        <f>IF(C8=1,J8*Geometry!$G$23,0)+IF(C8=2,J8*Geometry!$H$23,0)+IF(C8=3,J8*Geometry!$I$23,0)+IF(C8=4,J8*Geometry!$J$23,0)+IF(C8=5,J8*Geometry!$K$23,0)</f>
        <v>0</v>
      </c>
      <c r="P8">
        <f>IF(C8=1,J8*Geometry!$G$24,0)+IF(C8=2,J8*Geometry!$H$24,0)+IF(C8=3,J8*Geometry!$I$24,0)+IF(C8=4,J8*Geometry!$J$24,0)+IF(C8=5,J8*Geometry!$K$24,0)</f>
        <v>40.055306333269854</v>
      </c>
    </row>
    <row r="9" spans="1:16">
      <c r="A9" s="7">
        <f t="shared" si="3"/>
        <v>3</v>
      </c>
      <c r="B9" s="7"/>
      <c r="C9" s="7">
        <f t="shared" si="4"/>
        <v>1</v>
      </c>
      <c r="D9" s="69">
        <f>D8+Geometry!$C$15</f>
        <v>152.5</v>
      </c>
      <c r="E9" s="69">
        <f t="shared" si="5"/>
        <v>53.75</v>
      </c>
      <c r="F9" s="12">
        <f>Geometry!$D$12*D9</f>
        <v>5.7062727272727276</v>
      </c>
      <c r="G9" s="12">
        <f t="shared" si="0"/>
        <v>0.58227272727272728</v>
      </c>
      <c r="H9" s="12">
        <f>IF(ABS(E9*E9)&lt;=Geometry!$E$10,SQRT(Geometry!$E$10-E9*E9),0)</f>
        <v>42.866070498705618</v>
      </c>
      <c r="I9" s="12">
        <f t="shared" si="1"/>
        <v>1</v>
      </c>
      <c r="J9" s="15">
        <f t="shared" si="2"/>
        <v>5772.6765009712453</v>
      </c>
      <c r="K9" s="59">
        <f>IF(C9=1,J9*Geometry!$G$21,0)+IF(C9=2,J9*Geometry!$H$21,0)+IF(C9=3,J9*Geometry!$I$21,0)+IF(C9=4,J9*Geometry!$J$21,0)+IF(C9=5,J9*Geometry!$K$21,0)</f>
        <v>5137.6820858644087</v>
      </c>
      <c r="L9" s="59">
        <f>IF(C9=1,J9*Geometry!$G$20,0)+IF(C9=2,J9*Geometry!$H$20,0)+IF(C9=3,J9*Geometry!$I$20,0)+IF(C9=4,J9*Geometry!$J$20,0)+IF(C9=5,J9*Geometry!$K$20,0)</f>
        <v>0</v>
      </c>
      <c r="M9" s="59">
        <f>IF(C9=1,J9*Geometry!$G$19,0)+IF(C9=2,J9*Geometry!$H$19,0)+IF(C9=3,J9*Geometry!$I$19,0)+IF(C9=4,J9*Geometry!$J$19,0)+IF(C9=5,J9*Geometry!$K$19,0)</f>
        <v>0</v>
      </c>
      <c r="N9" s="59">
        <f>IF(C9=1,J9*Geometry!$G$22,0)+IF(C9=2,J9*Geometry!$H$22,0)+IF(C9=3,J9*Geometry!$I$22,0)+IF(C9=4,J9*Geometry!$J$22,0)+IF(C9=5,J9*Geometry!$K$22,0)</f>
        <v>115.4535300194249</v>
      </c>
      <c r="O9" s="59">
        <f>IF(C9=1,J9*Geometry!$G$23,0)+IF(C9=2,J9*Geometry!$H$23,0)+IF(C9=3,J9*Geometry!$I$23,0)+IF(C9=4,J9*Geometry!$J$23,0)+IF(C9=5,J9*Geometry!$K$23,0)</f>
        <v>0</v>
      </c>
      <c r="P9">
        <f>IF(C9=1,J9*Geometry!$G$24,0)+IF(C9=2,J9*Geometry!$H$24,0)+IF(C9=3,J9*Geometry!$I$24,0)+IF(C9=4,J9*Geometry!$J$24,0)+IF(C9=5,J9*Geometry!$K$24,0)</f>
        <v>57.726765009712452</v>
      </c>
    </row>
    <row r="10" spans="1:16">
      <c r="A10" s="7">
        <f t="shared" si="3"/>
        <v>4</v>
      </c>
      <c r="B10" s="7"/>
      <c r="C10" s="7">
        <f t="shared" si="4"/>
        <v>1</v>
      </c>
      <c r="D10" s="69">
        <f>D9+Geometry!$C$15</f>
        <v>157.5</v>
      </c>
      <c r="E10" s="69">
        <f t="shared" si="5"/>
        <v>48.75</v>
      </c>
      <c r="F10" s="12">
        <f>Geometry!$D$12*D10</f>
        <v>5.8933636363636372</v>
      </c>
      <c r="G10" s="12">
        <f t="shared" si="0"/>
        <v>0.60136363636363643</v>
      </c>
      <c r="H10" s="12">
        <f>IF(ABS(E10*E10)&lt;=Geometry!$E$10,SQRT(Geometry!$E$10-E10*E10),0)</f>
        <v>48.47679857416329</v>
      </c>
      <c r="I10" s="12">
        <f t="shared" si="1"/>
        <v>1</v>
      </c>
      <c r="J10" s="15">
        <f t="shared" si="2"/>
        <v>7382.7427359360136</v>
      </c>
      <c r="K10" s="59">
        <f>IF(C10=1,J10*Geometry!$G$21,0)+IF(C10=2,J10*Geometry!$H$21,0)+IF(C10=3,J10*Geometry!$I$21,0)+IF(C10=4,J10*Geometry!$J$21,0)+IF(C10=5,J10*Geometry!$K$21,0)</f>
        <v>6570.6410349830521</v>
      </c>
      <c r="L10" s="59">
        <f>IF(C10=1,J10*Geometry!$G$20,0)+IF(C10=2,J10*Geometry!$H$20,0)+IF(C10=3,J10*Geometry!$I$20,0)+IF(C10=4,J10*Geometry!$J$20,0)+IF(C10=5,J10*Geometry!$K$20,0)</f>
        <v>0</v>
      </c>
      <c r="M10" s="59">
        <f>IF(C10=1,J10*Geometry!$G$19,0)+IF(C10=2,J10*Geometry!$H$19,0)+IF(C10=3,J10*Geometry!$I$19,0)+IF(C10=4,J10*Geometry!$J$19,0)+IF(C10=5,J10*Geometry!$K$19,0)</f>
        <v>0</v>
      </c>
      <c r="N10" s="59">
        <f>IF(C10=1,J10*Geometry!$G$22,0)+IF(C10=2,J10*Geometry!$H$22,0)+IF(C10=3,J10*Geometry!$I$22,0)+IF(C10=4,J10*Geometry!$J$22,0)+IF(C10=5,J10*Geometry!$K$22,0)</f>
        <v>147.65485471872029</v>
      </c>
      <c r="O10" s="59">
        <f>IF(C10=1,J10*Geometry!$G$23,0)+IF(C10=2,J10*Geometry!$H$23,0)+IF(C10=3,J10*Geometry!$I$23,0)+IF(C10=4,J10*Geometry!$J$23,0)+IF(C10=5,J10*Geometry!$K$23,0)</f>
        <v>0</v>
      </c>
      <c r="P10">
        <f>IF(C10=1,J10*Geometry!$G$24,0)+IF(C10=2,J10*Geometry!$H$24,0)+IF(C10=3,J10*Geometry!$I$24,0)+IF(C10=4,J10*Geometry!$J$24,0)+IF(C10=5,J10*Geometry!$K$24,0)</f>
        <v>73.827427359360144</v>
      </c>
    </row>
    <row r="11" spans="1:16">
      <c r="A11" s="7">
        <f t="shared" si="3"/>
        <v>5</v>
      </c>
      <c r="B11" s="7"/>
      <c r="C11" s="7">
        <f t="shared" si="4"/>
        <v>1</v>
      </c>
      <c r="D11" s="69">
        <f>D10+Geometry!$C$15</f>
        <v>162.5</v>
      </c>
      <c r="E11" s="69">
        <f t="shared" si="5"/>
        <v>43.75</v>
      </c>
      <c r="F11" s="12">
        <f>Geometry!$D$12*D11</f>
        <v>6.080454545454546</v>
      </c>
      <c r="G11" s="12">
        <f t="shared" si="0"/>
        <v>0.62045454545454548</v>
      </c>
      <c r="H11" s="12">
        <f>IF(ABS(E11*E11)&lt;=Geometry!$E$10,SQRT(Geometry!$E$10-E11*E11),0)</f>
        <v>53.033008588991066</v>
      </c>
      <c r="I11" s="12">
        <f t="shared" si="1"/>
        <v>1</v>
      </c>
      <c r="J11" s="15">
        <f t="shared" si="2"/>
        <v>8835.7293382212938</v>
      </c>
      <c r="K11" s="59">
        <f>IF(C11=1,J11*Geometry!$G$21,0)+IF(C11=2,J11*Geometry!$H$21,0)+IF(C11=3,J11*Geometry!$I$21,0)+IF(C11=4,J11*Geometry!$J$21,0)+IF(C11=5,J11*Geometry!$K$21,0)</f>
        <v>7863.7991110169514</v>
      </c>
      <c r="L11" s="59">
        <f>IF(C11=1,J11*Geometry!$G$20,0)+IF(C11=2,J11*Geometry!$H$20,0)+IF(C11=3,J11*Geometry!$I$20,0)+IF(C11=4,J11*Geometry!$J$20,0)+IF(C11=5,J11*Geometry!$K$20,0)</f>
        <v>0</v>
      </c>
      <c r="M11" s="59">
        <f>IF(C11=1,J11*Geometry!$G$19,0)+IF(C11=2,J11*Geometry!$H$19,0)+IF(C11=3,J11*Geometry!$I$19,0)+IF(C11=4,J11*Geometry!$J$19,0)+IF(C11=5,J11*Geometry!$K$19,0)</f>
        <v>0</v>
      </c>
      <c r="N11" s="59">
        <f>IF(C11=1,J11*Geometry!$G$22,0)+IF(C11=2,J11*Geometry!$H$22,0)+IF(C11=3,J11*Geometry!$I$22,0)+IF(C11=4,J11*Geometry!$J$22,0)+IF(C11=5,J11*Geometry!$K$22,0)</f>
        <v>176.71458676442589</v>
      </c>
      <c r="O11" s="59">
        <f>IF(C11=1,J11*Geometry!$G$23,0)+IF(C11=2,J11*Geometry!$H$23,0)+IF(C11=3,J11*Geometry!$I$23,0)+IF(C11=4,J11*Geometry!$J$23,0)+IF(C11=5,J11*Geometry!$K$23,0)</f>
        <v>0</v>
      </c>
      <c r="P11">
        <f>IF(C11=1,J11*Geometry!$G$24,0)+IF(C11=2,J11*Geometry!$H$24,0)+IF(C11=3,J11*Geometry!$I$24,0)+IF(C11=4,J11*Geometry!$J$24,0)+IF(C11=5,J11*Geometry!$K$24,0)</f>
        <v>88.357293382212944</v>
      </c>
    </row>
    <row r="12" spans="1:16">
      <c r="A12" s="7">
        <f t="shared" si="3"/>
        <v>6</v>
      </c>
      <c r="B12" s="7"/>
      <c r="C12" s="7">
        <f t="shared" si="4"/>
        <v>1</v>
      </c>
      <c r="D12" s="69">
        <f>D11+Geometry!$C$15</f>
        <v>167.5</v>
      </c>
      <c r="E12" s="69">
        <f t="shared" si="5"/>
        <v>38.75</v>
      </c>
      <c r="F12" s="12">
        <f>Geometry!$D$12*D12</f>
        <v>6.2675454545454556</v>
      </c>
      <c r="G12" s="12">
        <f t="shared" si="0"/>
        <v>0.63954545454545464</v>
      </c>
      <c r="H12" s="12">
        <f>IF(ABS(E12*E12)&lt;=Geometry!$E$10,SQRT(Geometry!$E$10-E12*E12),0)</f>
        <v>56.789083458002736</v>
      </c>
      <c r="I12" s="12">
        <f t="shared" si="1"/>
        <v>1</v>
      </c>
      <c r="J12" s="15">
        <f t="shared" si="2"/>
        <v>10131.636307827084</v>
      </c>
      <c r="K12" s="59">
        <f>IF(C12=1,J12*Geometry!$G$21,0)+IF(C12=2,J12*Geometry!$H$21,0)+IF(C12=3,J12*Geometry!$I$21,0)+IF(C12=4,J12*Geometry!$J$21,0)+IF(C12=5,J12*Geometry!$K$21,0)</f>
        <v>9017.1563139661048</v>
      </c>
      <c r="L12" s="59">
        <f>IF(C12=1,J12*Geometry!$G$20,0)+IF(C12=2,J12*Geometry!$H$20,0)+IF(C12=3,J12*Geometry!$I$20,0)+IF(C12=4,J12*Geometry!$J$20,0)+IF(C12=5,J12*Geometry!$K$20,0)</f>
        <v>0</v>
      </c>
      <c r="M12" s="59">
        <f>IF(C12=1,J12*Geometry!$G$19,0)+IF(C12=2,J12*Geometry!$H$19,0)+IF(C12=3,J12*Geometry!$I$19,0)+IF(C12=4,J12*Geometry!$J$19,0)+IF(C12=5,J12*Geometry!$K$19,0)</f>
        <v>0</v>
      </c>
      <c r="N12" s="59">
        <f>IF(C12=1,J12*Geometry!$G$22,0)+IF(C12=2,J12*Geometry!$H$22,0)+IF(C12=3,J12*Geometry!$I$22,0)+IF(C12=4,J12*Geometry!$J$22,0)+IF(C12=5,J12*Geometry!$K$22,0)</f>
        <v>202.63272615654168</v>
      </c>
      <c r="O12" s="59">
        <f>IF(C12=1,J12*Geometry!$G$23,0)+IF(C12=2,J12*Geometry!$H$23,0)+IF(C12=3,J12*Geometry!$I$23,0)+IF(C12=4,J12*Geometry!$J$23,0)+IF(C12=5,J12*Geometry!$K$23,0)</f>
        <v>0</v>
      </c>
      <c r="P12">
        <f>IF(C12=1,J12*Geometry!$G$24,0)+IF(C12=2,J12*Geometry!$H$24,0)+IF(C12=3,J12*Geometry!$I$24,0)+IF(C12=4,J12*Geometry!$J$24,0)+IF(C12=5,J12*Geometry!$K$24,0)</f>
        <v>101.31636307827084</v>
      </c>
    </row>
    <row r="13" spans="1:16">
      <c r="A13" s="7">
        <f t="shared" si="3"/>
        <v>7</v>
      </c>
      <c r="B13" s="7"/>
      <c r="C13" s="7">
        <f t="shared" si="4"/>
        <v>1</v>
      </c>
      <c r="D13" s="69">
        <f>D12+Geometry!$C$15</f>
        <v>172.5</v>
      </c>
      <c r="E13" s="69">
        <f t="shared" si="5"/>
        <v>33.75</v>
      </c>
      <c r="F13" s="12">
        <f>Geometry!$D$12*D13</f>
        <v>6.4546363636363644</v>
      </c>
      <c r="G13" s="12">
        <f t="shared" si="0"/>
        <v>0.65863636363636369</v>
      </c>
      <c r="H13" s="12">
        <f>IF(ABS(E13*E13)&lt;=Geometry!$E$10,SQRT(Geometry!$E$10-E13*E13),0)</f>
        <v>59.8957427535547</v>
      </c>
      <c r="I13" s="12">
        <f t="shared" si="1"/>
        <v>1</v>
      </c>
      <c r="J13" s="15">
        <f t="shared" si="2"/>
        <v>11270.463644753385</v>
      </c>
      <c r="K13" s="59">
        <f>IF(C13=1,J13*Geometry!$G$21,0)+IF(C13=2,J13*Geometry!$H$21,0)+IF(C13=3,J13*Geometry!$I$21,0)+IF(C13=4,J13*Geometry!$J$21,0)+IF(C13=5,J13*Geometry!$K$21,0)</f>
        <v>10030.712643830513</v>
      </c>
      <c r="L13" s="59">
        <f>IF(C13=1,J13*Geometry!$G$20,0)+IF(C13=2,J13*Geometry!$H$20,0)+IF(C13=3,J13*Geometry!$I$20,0)+IF(C13=4,J13*Geometry!$J$20,0)+IF(C13=5,J13*Geometry!$K$20,0)</f>
        <v>0</v>
      </c>
      <c r="M13" s="59">
        <f>IF(C13=1,J13*Geometry!$G$19,0)+IF(C13=2,J13*Geometry!$H$19,0)+IF(C13=3,J13*Geometry!$I$19,0)+IF(C13=4,J13*Geometry!$J$19,0)+IF(C13=5,J13*Geometry!$K$19,0)</f>
        <v>0</v>
      </c>
      <c r="N13" s="59">
        <f>IF(C13=1,J13*Geometry!$G$22,0)+IF(C13=2,J13*Geometry!$H$22,0)+IF(C13=3,J13*Geometry!$I$22,0)+IF(C13=4,J13*Geometry!$J$22,0)+IF(C13=5,J13*Geometry!$K$22,0)</f>
        <v>225.40927289506772</v>
      </c>
      <c r="O13" s="59">
        <f>IF(C13=1,J13*Geometry!$G$23,0)+IF(C13=2,J13*Geometry!$H$23,0)+IF(C13=3,J13*Geometry!$I$23,0)+IF(C13=4,J13*Geometry!$J$23,0)+IF(C13=5,J13*Geometry!$K$23,0)</f>
        <v>0</v>
      </c>
      <c r="P13">
        <f>IF(C13=1,J13*Geometry!$G$24,0)+IF(C13=2,J13*Geometry!$H$24,0)+IF(C13=3,J13*Geometry!$I$24,0)+IF(C13=4,J13*Geometry!$J$24,0)+IF(C13=5,J13*Geometry!$K$24,0)</f>
        <v>112.70463644753386</v>
      </c>
    </row>
    <row r="14" spans="1:16">
      <c r="A14" s="7">
        <f t="shared" si="3"/>
        <v>8</v>
      </c>
      <c r="B14" s="7"/>
      <c r="C14" s="7">
        <f t="shared" si="4"/>
        <v>1</v>
      </c>
      <c r="D14" s="69">
        <f>D13+Geometry!$C$15</f>
        <v>177.5</v>
      </c>
      <c r="E14" s="69">
        <f t="shared" si="5"/>
        <v>28.75</v>
      </c>
      <c r="F14" s="12">
        <f>Geometry!$D$12*D14</f>
        <v>6.6417272727272731</v>
      </c>
      <c r="G14" s="12">
        <f t="shared" si="0"/>
        <v>0.67772727272727273</v>
      </c>
      <c r="H14" s="12">
        <f>IF(ABS(E14*E14)&lt;=Geometry!$E$10,SQRT(Geometry!$E$10-E14*E14),0)</f>
        <v>62.44997998398398</v>
      </c>
      <c r="I14" s="12">
        <f t="shared" si="1"/>
        <v>1</v>
      </c>
      <c r="J14" s="15">
        <f t="shared" si="2"/>
        <v>12252.211349000192</v>
      </c>
      <c r="K14" s="59">
        <f>IF(C14=1,J14*Geometry!$G$21,0)+IF(C14=2,J14*Geometry!$H$21,0)+IF(C14=3,J14*Geometry!$I$21,0)+IF(C14=4,J14*Geometry!$J$21,0)+IF(C14=5,J14*Geometry!$K$21,0)</f>
        <v>10904.468100610171</v>
      </c>
      <c r="L14" s="59">
        <f>IF(C14=1,J14*Geometry!$G$20,0)+IF(C14=2,J14*Geometry!$H$20,0)+IF(C14=3,J14*Geometry!$I$20,0)+IF(C14=4,J14*Geometry!$J$20,0)+IF(C14=5,J14*Geometry!$K$20,0)</f>
        <v>0</v>
      </c>
      <c r="M14" s="59">
        <f>IF(C14=1,J14*Geometry!$G$19,0)+IF(C14=2,J14*Geometry!$H$19,0)+IF(C14=3,J14*Geometry!$I$19,0)+IF(C14=4,J14*Geometry!$J$19,0)+IF(C14=5,J14*Geometry!$K$19,0)</f>
        <v>0</v>
      </c>
      <c r="N14" s="59">
        <f>IF(C14=1,J14*Geometry!$G$22,0)+IF(C14=2,J14*Geometry!$H$22,0)+IF(C14=3,J14*Geometry!$I$22,0)+IF(C14=4,J14*Geometry!$J$22,0)+IF(C14=5,J14*Geometry!$K$22,0)</f>
        <v>245.04422698000386</v>
      </c>
      <c r="O14" s="59">
        <f>IF(C14=1,J14*Geometry!$G$23,0)+IF(C14=2,J14*Geometry!$H$23,0)+IF(C14=3,J14*Geometry!$I$23,0)+IF(C14=4,J14*Geometry!$J$23,0)+IF(C14=5,J14*Geometry!$K$23,0)</f>
        <v>0</v>
      </c>
      <c r="P14">
        <f>IF(C14=1,J14*Geometry!$G$24,0)+IF(C14=2,J14*Geometry!$H$24,0)+IF(C14=3,J14*Geometry!$I$24,0)+IF(C14=4,J14*Geometry!$J$24,0)+IF(C14=5,J14*Geometry!$K$24,0)</f>
        <v>122.52211349000193</v>
      </c>
    </row>
    <row r="15" spans="1:16">
      <c r="A15" s="7">
        <f t="shared" si="3"/>
        <v>9</v>
      </c>
      <c r="B15" s="7"/>
      <c r="C15" s="7">
        <f t="shared" si="4"/>
        <v>1</v>
      </c>
      <c r="D15" s="69">
        <f>D14+Geometry!$C$15</f>
        <v>182.5</v>
      </c>
      <c r="E15" s="69">
        <f t="shared" si="5"/>
        <v>23.75</v>
      </c>
      <c r="F15" s="12">
        <f>Geometry!$D$12*D15</f>
        <v>6.8288181818181828</v>
      </c>
      <c r="G15" s="12">
        <f t="shared" si="0"/>
        <v>0.69681818181818189</v>
      </c>
      <c r="H15" s="12">
        <f>IF(ABS(E15*E15)&lt;=Geometry!$E$10,SQRT(Geometry!$E$10-E15*E15),0)</f>
        <v>64.517439502819698</v>
      </c>
      <c r="I15" s="12">
        <f t="shared" si="1"/>
        <v>1</v>
      </c>
      <c r="J15" s="15">
        <f t="shared" si="2"/>
        <v>13076.879420567513</v>
      </c>
      <c r="K15" s="59">
        <f>IF(C15=1,J15*Geometry!$G$21,0)+IF(C15=2,J15*Geometry!$H$21,0)+IF(C15=3,J15*Geometry!$I$21,0)+IF(C15=4,J15*Geometry!$J$21,0)+IF(C15=5,J15*Geometry!$K$21,0)</f>
        <v>11638.422684305087</v>
      </c>
      <c r="L15" s="59">
        <f>IF(C15=1,J15*Geometry!$G$20,0)+IF(C15=2,J15*Geometry!$H$20,0)+IF(C15=3,J15*Geometry!$I$20,0)+IF(C15=4,J15*Geometry!$J$20,0)+IF(C15=5,J15*Geometry!$K$20,0)</f>
        <v>0</v>
      </c>
      <c r="M15" s="59">
        <f>IF(C15=1,J15*Geometry!$G$19,0)+IF(C15=2,J15*Geometry!$H$19,0)+IF(C15=3,J15*Geometry!$I$19,0)+IF(C15=4,J15*Geometry!$J$19,0)+IF(C15=5,J15*Geometry!$K$19,0)</f>
        <v>0</v>
      </c>
      <c r="N15" s="59">
        <f>IF(C15=1,J15*Geometry!$G$22,0)+IF(C15=2,J15*Geometry!$H$22,0)+IF(C15=3,J15*Geometry!$I$22,0)+IF(C15=4,J15*Geometry!$J$22,0)+IF(C15=5,J15*Geometry!$K$22,0)</f>
        <v>261.53758841135027</v>
      </c>
      <c r="O15" s="59">
        <f>IF(C15=1,J15*Geometry!$G$23,0)+IF(C15=2,J15*Geometry!$H$23,0)+IF(C15=3,J15*Geometry!$I$23,0)+IF(C15=4,J15*Geometry!$J$23,0)+IF(C15=5,J15*Geometry!$K$23,0)</f>
        <v>0</v>
      </c>
      <c r="P15">
        <f>IF(C15=1,J15*Geometry!$G$24,0)+IF(C15=2,J15*Geometry!$H$24,0)+IF(C15=3,J15*Geometry!$I$24,0)+IF(C15=4,J15*Geometry!$J$24,0)+IF(C15=5,J15*Geometry!$K$24,0)</f>
        <v>130.76879420567514</v>
      </c>
    </row>
    <row r="16" spans="1:16">
      <c r="A16" s="7">
        <f t="shared" si="3"/>
        <v>10</v>
      </c>
      <c r="B16" s="7"/>
      <c r="C16" s="7">
        <f t="shared" si="4"/>
        <v>1</v>
      </c>
      <c r="D16" s="69">
        <f>D15+Geometry!$C$15</f>
        <v>187.5</v>
      </c>
      <c r="E16" s="69">
        <f t="shared" si="5"/>
        <v>18.75</v>
      </c>
      <c r="F16" s="12">
        <f>Geometry!$D$12*D16</f>
        <v>7.0159090909090915</v>
      </c>
      <c r="G16" s="12">
        <f t="shared" si="0"/>
        <v>0.71590909090909094</v>
      </c>
      <c r="H16" s="12">
        <f>IF(ABS(E16*E16)&lt;=Geometry!$E$10,SQRT(Geometry!$E$10-E16*E16),0)</f>
        <v>66.143782776614771</v>
      </c>
      <c r="I16" s="12">
        <f t="shared" si="1"/>
        <v>1</v>
      </c>
      <c r="J16" s="15">
        <f t="shared" si="2"/>
        <v>13744.467859455346</v>
      </c>
      <c r="K16" s="59">
        <f>IF(C16=1,J16*Geometry!$G$21,0)+IF(C16=2,J16*Geometry!$H$21,0)+IF(C16=3,J16*Geometry!$I$21,0)+IF(C16=4,J16*Geometry!$J$21,0)+IF(C16=5,J16*Geometry!$K$21,0)</f>
        <v>12232.576394915259</v>
      </c>
      <c r="L16" s="59">
        <f>IF(C16=1,J16*Geometry!$G$20,0)+IF(C16=2,J16*Geometry!$H$20,0)+IF(C16=3,J16*Geometry!$I$20,0)+IF(C16=4,J16*Geometry!$J$20,0)+IF(C16=5,J16*Geometry!$K$20,0)</f>
        <v>0</v>
      </c>
      <c r="M16" s="59">
        <f>IF(C16=1,J16*Geometry!$G$19,0)+IF(C16=2,J16*Geometry!$H$19,0)+IF(C16=3,J16*Geometry!$I$19,0)+IF(C16=4,J16*Geometry!$J$19,0)+IF(C16=5,J16*Geometry!$K$19,0)</f>
        <v>0</v>
      </c>
      <c r="N16" s="59">
        <f>IF(C16=1,J16*Geometry!$G$22,0)+IF(C16=2,J16*Geometry!$H$22,0)+IF(C16=3,J16*Geometry!$I$22,0)+IF(C16=4,J16*Geometry!$J$22,0)+IF(C16=5,J16*Geometry!$K$22,0)</f>
        <v>274.88935718910693</v>
      </c>
      <c r="O16" s="59">
        <f>IF(C16=1,J16*Geometry!$G$23,0)+IF(C16=2,J16*Geometry!$H$23,0)+IF(C16=3,J16*Geometry!$I$23,0)+IF(C16=4,J16*Geometry!$J$23,0)+IF(C16=5,J16*Geometry!$K$23,0)</f>
        <v>0</v>
      </c>
      <c r="P16">
        <f>IF(C16=1,J16*Geometry!$G$24,0)+IF(C16=2,J16*Geometry!$H$24,0)+IF(C16=3,J16*Geometry!$I$24,0)+IF(C16=4,J16*Geometry!$J$24,0)+IF(C16=5,J16*Geometry!$K$24,0)</f>
        <v>137.44467859455347</v>
      </c>
    </row>
    <row r="17" spans="1:16">
      <c r="A17" s="7">
        <f t="shared" si="3"/>
        <v>11</v>
      </c>
      <c r="B17" s="7"/>
      <c r="C17" s="7">
        <f>IF(A17&gt;$C$1-$C$4,3,IF(A17&lt;2,3,IF(A17&lt;=$D$3,1,IF(A17&gt;$E$3,1,2))))</f>
        <v>1</v>
      </c>
      <c r="D17" s="69">
        <f>D16+Geometry!$C$15</f>
        <v>192.5</v>
      </c>
      <c r="E17" s="69">
        <f t="shared" si="5"/>
        <v>13.75</v>
      </c>
      <c r="F17" s="12">
        <f>Geometry!$D$12*D17</f>
        <v>7.2030000000000012</v>
      </c>
      <c r="G17" s="12">
        <f t="shared" si="0"/>
        <v>0.7350000000000001</v>
      </c>
      <c r="H17" s="12">
        <f>IF(ABS(E17*E17)&lt;=Geometry!$E$10,SQRT(Geometry!$E$10-E17*E17),0)</f>
        <v>67.360967926537398</v>
      </c>
      <c r="I17" s="12">
        <f t="shared" si="1"/>
        <v>1</v>
      </c>
      <c r="J17" s="15">
        <f t="shared" si="2"/>
        <v>14254.976665663686</v>
      </c>
      <c r="K17" s="59">
        <f>IF(C17=1,J17*Geometry!$G$21,0)+IF(C17=2,J17*Geometry!$H$21,0)+IF(C17=3,J17*Geometry!$I$21,0)+IF(C17=4,J17*Geometry!$J$21,0)+IF(C17=5,J17*Geometry!$K$21,0)</f>
        <v>12686.92923244068</v>
      </c>
      <c r="L17" s="59">
        <f>IF(C17=1,J17*Geometry!$G$20,0)+IF(C17=2,J17*Geometry!$H$20,0)+IF(C17=3,J17*Geometry!$I$20,0)+IF(C17=4,J17*Geometry!$J$20,0)+IF(C17=5,J17*Geometry!$K$20,0)</f>
        <v>0</v>
      </c>
      <c r="M17" s="59">
        <f>IF(C17=1,J17*Geometry!$G$19,0)+IF(C17=2,J17*Geometry!$H$19,0)+IF(C17=3,J17*Geometry!$I$19,0)+IF(C17=4,J17*Geometry!$J$19,0)+IF(C17=5,J17*Geometry!$K$19,0)</f>
        <v>0</v>
      </c>
      <c r="N17" s="59">
        <f>IF(C17=1,J17*Geometry!$G$22,0)+IF(C17=2,J17*Geometry!$H$22,0)+IF(C17=3,J17*Geometry!$I$22,0)+IF(C17=4,J17*Geometry!$J$22,0)+IF(C17=5,J17*Geometry!$K$22,0)</f>
        <v>285.0995333132737</v>
      </c>
      <c r="O17" s="59">
        <f>IF(C17=1,J17*Geometry!$G$23,0)+IF(C17=2,J17*Geometry!$H$23,0)+IF(C17=3,J17*Geometry!$I$23,0)+IF(C17=4,J17*Geometry!$J$23,0)+IF(C17=5,J17*Geometry!$K$23,0)</f>
        <v>0</v>
      </c>
      <c r="P17">
        <f>IF(C17=1,J17*Geometry!$G$24,0)+IF(C17=2,J17*Geometry!$H$24,0)+IF(C17=3,J17*Geometry!$I$24,0)+IF(C17=4,J17*Geometry!$J$24,0)+IF(C17=5,J17*Geometry!$K$24,0)</f>
        <v>142.54976665663685</v>
      </c>
    </row>
    <row r="18" spans="1:16">
      <c r="A18" s="7">
        <f t="shared" si="3"/>
        <v>12</v>
      </c>
      <c r="B18" s="7"/>
      <c r="C18" s="7">
        <f t="shared" si="4"/>
        <v>2</v>
      </c>
      <c r="D18" s="69">
        <f>D17+Geometry!$C$15</f>
        <v>197.5</v>
      </c>
      <c r="E18" s="69">
        <f t="shared" si="5"/>
        <v>8.75</v>
      </c>
      <c r="F18" s="12">
        <f>Geometry!$D$12*D18</f>
        <v>7.3900909090909099</v>
      </c>
      <c r="G18" s="12">
        <f t="shared" si="0"/>
        <v>0.75409090909090915</v>
      </c>
      <c r="H18" s="12">
        <f>IF(ABS(E18*E18)&lt;=Geometry!$E$10,SQRT(Geometry!$E$10-E18*E18),0)</f>
        <v>68.190908484929281</v>
      </c>
      <c r="I18" s="12">
        <f t="shared" si="1"/>
        <v>1</v>
      </c>
      <c r="J18" s="15">
        <f t="shared" si="2"/>
        <v>14608.405839192539</v>
      </c>
      <c r="K18" s="59">
        <f>IF(C18=1,J18*Geometry!$G$21,0)+IF(C18=2,J18*Geometry!$H$21,0)+IF(C18=3,J18*Geometry!$I$21,0)+IF(C18=4,J18*Geometry!$J$21,0)+IF(C18=5,J18*Geometry!$K$21,0)</f>
        <v>0</v>
      </c>
      <c r="L18" s="59">
        <f>IF(C18=1,J18*Geometry!$G$20,0)+IF(C18=2,J18*Geometry!$H$20,0)+IF(C18=3,J18*Geometry!$I$20,0)+IF(C18=4,J18*Geometry!$J$20,0)+IF(C18=5,J18*Geometry!$K$20,0)</f>
        <v>7450.2869779881948</v>
      </c>
      <c r="M18" s="59">
        <f>IF(C18=1,J18*Geometry!$G$19,0)+IF(C18=2,J18*Geometry!$H$19,0)+IF(C18=3,J18*Geometry!$I$19,0)+IF(C18=4,J18*Geometry!$J$19,0)+IF(C18=5,J18*Geometry!$K$19,0)</f>
        <v>2045.1768174869558</v>
      </c>
      <c r="N18" s="59">
        <f>IF(C18=1,J18*Geometry!$G$22,0)+IF(C18=2,J18*Geometry!$H$22,0)+IF(C18=3,J18*Geometry!$I$22,0)+IF(C18=4,J18*Geometry!$J$22,0)+IF(C18=5,J18*Geometry!$K$22,0)</f>
        <v>0</v>
      </c>
      <c r="O18" s="59">
        <f>IF(C18=1,J18*Geometry!$G$23,0)+IF(C18=2,J18*Geometry!$H$23,0)+IF(C18=3,J18*Geometry!$I$23,0)+IF(C18=4,J18*Geometry!$J$23,0)+IF(C18=5,J18*Geometry!$K$23,0)</f>
        <v>3257.6745021399361</v>
      </c>
      <c r="P18">
        <f>IF(C18=1,J18*Geometry!$G$24,0)+IF(C18=2,J18*Geometry!$H$24,0)+IF(C18=3,J18*Geometry!$I$24,0)+IF(C18=4,J18*Geometry!$J$24,0)+IF(C18=5,J18*Geometry!$K$24,0)</f>
        <v>7.3042029195962694</v>
      </c>
    </row>
    <row r="19" spans="1:16" ht="16" customHeight="1">
      <c r="A19" s="7">
        <f t="shared" si="3"/>
        <v>13</v>
      </c>
      <c r="B19" s="7"/>
      <c r="C19" s="7">
        <f t="shared" si="4"/>
        <v>2</v>
      </c>
      <c r="D19" s="69">
        <f>D18+Geometry!$C$15</f>
        <v>202.5</v>
      </c>
      <c r="E19" s="69">
        <f t="shared" si="5"/>
        <v>3.75</v>
      </c>
      <c r="F19" s="12">
        <f>Geometry!$D$12*D19</f>
        <v>7.5771818181818187</v>
      </c>
      <c r="G19" s="12">
        <f t="shared" si="0"/>
        <v>0.77318181818181819</v>
      </c>
      <c r="H19" s="12">
        <f>IF(ABS(E19*E19)&lt;=Geometry!$E$10,SQRT(Geometry!$E$10-E19*E19),0)</f>
        <v>68.647651088729901</v>
      </c>
      <c r="I19" s="12">
        <f t="shared" si="1"/>
        <v>1</v>
      </c>
      <c r="J19" s="15">
        <f t="shared" si="2"/>
        <v>14804.755380041897</v>
      </c>
      <c r="K19" s="59">
        <f>IF(C19=1,J19*Geometry!$G$21,0)+IF(C19=2,J19*Geometry!$H$21,0)+IF(C19=3,J19*Geometry!$I$21,0)+IF(C19=4,J19*Geometry!$J$21,0)+IF(C19=5,J19*Geometry!$K$21,0)</f>
        <v>0</v>
      </c>
      <c r="L19" s="59">
        <f>IF(C19=1,J19*Geometry!$G$20,0)+IF(C19=2,J19*Geometry!$H$20,0)+IF(C19=3,J19*Geometry!$I$20,0)+IF(C19=4,J19*Geometry!$J$20,0)+IF(C19=5,J19*Geometry!$K$20,0)</f>
        <v>7550.425243821368</v>
      </c>
      <c r="M19" s="59">
        <f>IF(C19=1,J19*Geometry!$G$19,0)+IF(C19=2,J19*Geometry!$H$19,0)+IF(C19=3,J19*Geometry!$I$19,0)+IF(C19=4,J19*Geometry!$J$19,0)+IF(C19=5,J19*Geometry!$K$19,0)</f>
        <v>2072.6657532058657</v>
      </c>
      <c r="N19" s="59">
        <f>IF(C19=1,J19*Geometry!$G$22,0)+IF(C19=2,J19*Geometry!$H$22,0)+IF(C19=3,J19*Geometry!$I$22,0)+IF(C19=4,J19*Geometry!$J$22,0)+IF(C19=5,J19*Geometry!$K$22,0)</f>
        <v>0</v>
      </c>
      <c r="O19" s="59">
        <f>IF(C19=1,J19*Geometry!$G$23,0)+IF(C19=2,J19*Geometry!$H$23,0)+IF(C19=3,J19*Geometry!$I$23,0)+IF(C19=4,J19*Geometry!$J$23,0)+IF(C19=5,J19*Geometry!$K$23,0)</f>
        <v>3301.4604497493433</v>
      </c>
      <c r="P19">
        <f>IF(C19=1,J19*Geometry!$G$24,0)+IF(C19=2,J19*Geometry!$H$24,0)+IF(C19=3,J19*Geometry!$I$24,0)+IF(C19=4,J19*Geometry!$J$24,0)+IF(C19=5,J19*Geometry!$K$24,0)</f>
        <v>7.4023776900209484</v>
      </c>
    </row>
    <row r="20" spans="1:16" ht="16" customHeight="1">
      <c r="A20" s="7">
        <f t="shared" si="3"/>
        <v>14</v>
      </c>
      <c r="B20" s="7"/>
      <c r="C20" s="7">
        <f t="shared" si="4"/>
        <v>2</v>
      </c>
      <c r="D20" s="69">
        <f>D19+Geometry!$C$15</f>
        <v>207.5</v>
      </c>
      <c r="E20" s="69">
        <f t="shared" si="5"/>
        <v>-1.25</v>
      </c>
      <c r="F20" s="12">
        <f>Geometry!$D$12*D20</f>
        <v>7.7642727272727283</v>
      </c>
      <c r="G20" s="12">
        <f t="shared" si="0"/>
        <v>0.79227272727272735</v>
      </c>
      <c r="H20" s="12">
        <f>IF(ABS(E20*E20)&lt;=Geometry!$E$10,SQRT(Geometry!$E$10-E20*E20),0)</f>
        <v>68.738635424337602</v>
      </c>
      <c r="I20" s="12">
        <f t="shared" si="1"/>
        <v>1</v>
      </c>
      <c r="J20" s="15">
        <f t="shared" si="2"/>
        <v>14844.025288211773</v>
      </c>
      <c r="K20" s="59">
        <f>IF(C20=1,J20*Geometry!$G$21,0)+IF(C20=2,J20*Geometry!$H$21,0)+IF(C20=3,J20*Geometry!$I$21,0)+IF(C20=4,J20*Geometry!$J$21,0)+IF(C20=5,J20*Geometry!$K$21,0)</f>
        <v>0</v>
      </c>
      <c r="L20" s="59">
        <f>IF(C20=1,J20*Geometry!$G$20,0)+IF(C20=2,J20*Geometry!$H$20,0)+IF(C20=3,J20*Geometry!$I$20,0)+IF(C20=4,J20*Geometry!$J$20,0)+IF(C20=5,J20*Geometry!$K$20,0)</f>
        <v>7570.4528969880039</v>
      </c>
      <c r="M20" s="59">
        <f>IF(C20=1,J20*Geometry!$G$19,0)+IF(C20=2,J20*Geometry!$H$19,0)+IF(C20=3,J20*Geometry!$I$19,0)+IF(C20=4,J20*Geometry!$J$19,0)+IF(C20=5,J20*Geometry!$K$19,0)</f>
        <v>2078.1635403496484</v>
      </c>
      <c r="N20" s="59">
        <f>IF(C20=1,J20*Geometry!$G$22,0)+IF(C20=2,J20*Geometry!$H$22,0)+IF(C20=3,J20*Geometry!$I$22,0)+IF(C20=4,J20*Geometry!$J$22,0)+IF(C20=5,J20*Geometry!$K$22,0)</f>
        <v>0</v>
      </c>
      <c r="O20" s="59">
        <f>IF(C20=1,J20*Geometry!$G$23,0)+IF(C20=2,J20*Geometry!$H$23,0)+IF(C20=3,J20*Geometry!$I$23,0)+IF(C20=4,J20*Geometry!$J$23,0)+IF(C20=5,J20*Geometry!$K$23,0)</f>
        <v>3310.2176392712254</v>
      </c>
      <c r="P20">
        <f>IF(C20=1,J20*Geometry!$G$24,0)+IF(C20=2,J20*Geometry!$H$24,0)+IF(C20=3,J20*Geometry!$I$24,0)+IF(C20=4,J20*Geometry!$J$24,0)+IF(C20=5,J20*Geometry!$K$24,0)</f>
        <v>7.4220126441058865</v>
      </c>
    </row>
    <row r="21" spans="1:16">
      <c r="A21" s="7">
        <f t="shared" si="3"/>
        <v>15</v>
      </c>
      <c r="B21" s="7"/>
      <c r="C21" s="7">
        <f t="shared" si="4"/>
        <v>1</v>
      </c>
      <c r="D21" s="69">
        <f>D20+Geometry!$C$15</f>
        <v>212.5</v>
      </c>
      <c r="E21" s="69">
        <f t="shared" si="5"/>
        <v>-6.25</v>
      </c>
      <c r="F21" s="12">
        <f>Geometry!$D$12*D21</f>
        <v>7.9513636363636371</v>
      </c>
      <c r="G21" s="12">
        <f t="shared" si="0"/>
        <v>0.8113636363636364</v>
      </c>
      <c r="H21" s="12">
        <f>IF(ABS(E21*E21)&lt;=Geometry!$E$10,SQRT(Geometry!$E$10-E21*E21),0)</f>
        <v>68.465319688145769</v>
      </c>
      <c r="I21" s="12">
        <f t="shared" si="1"/>
        <v>1</v>
      </c>
      <c r="J21" s="15">
        <f t="shared" si="2"/>
        <v>14726.215563702157</v>
      </c>
      <c r="K21" s="59">
        <f>IF(C21=1,J21*Geometry!$G$21,0)+IF(C21=2,J21*Geometry!$H$21,0)+IF(C21=3,J21*Geometry!$I$21,0)+IF(C21=4,J21*Geometry!$J$21,0)+IF(C21=5,J21*Geometry!$K$21,0)</f>
        <v>13106.33185169492</v>
      </c>
      <c r="L21" s="59">
        <f>IF(C21=1,J21*Geometry!$G$20,0)+IF(C21=2,J21*Geometry!$H$20,0)+IF(C21=3,J21*Geometry!$I$20,0)+IF(C21=4,J21*Geometry!$J$20,0)+IF(C21=5,J21*Geometry!$K$20,0)</f>
        <v>0</v>
      </c>
      <c r="M21" s="59">
        <f>IF(C21=1,J21*Geometry!$G$19,0)+IF(C21=2,J21*Geometry!$H$19,0)+IF(C21=3,J21*Geometry!$I$19,0)+IF(C21=4,J21*Geometry!$J$19,0)+IF(C21=5,J21*Geometry!$K$19,0)</f>
        <v>0</v>
      </c>
      <c r="N21" s="59">
        <f>IF(C21=1,J21*Geometry!$G$22,0)+IF(C21=2,J21*Geometry!$H$22,0)+IF(C21=3,J21*Geometry!$I$22,0)+IF(C21=4,J21*Geometry!$J$22,0)+IF(C21=5,J21*Geometry!$K$22,0)</f>
        <v>294.52431127404316</v>
      </c>
      <c r="O21" s="59">
        <f>IF(C21=1,J21*Geometry!$G$23,0)+IF(C21=2,J21*Geometry!$H$23,0)+IF(C21=3,J21*Geometry!$I$23,0)+IF(C21=4,J21*Geometry!$J$23,0)+IF(C21=5,J21*Geometry!$K$23,0)</f>
        <v>0</v>
      </c>
      <c r="P21">
        <f>IF(C21=1,J21*Geometry!$G$24,0)+IF(C21=2,J21*Geometry!$H$24,0)+IF(C21=3,J21*Geometry!$I$24,0)+IF(C21=4,J21*Geometry!$J$24,0)+IF(C21=5,J21*Geometry!$K$24,0)</f>
        <v>147.26215563702158</v>
      </c>
    </row>
    <row r="22" spans="1:16">
      <c r="A22" s="7">
        <f t="shared" si="3"/>
        <v>16</v>
      </c>
      <c r="B22" s="7"/>
      <c r="C22" s="7">
        <f t="shared" si="4"/>
        <v>1</v>
      </c>
      <c r="D22" s="69">
        <f>D21+Geometry!$C$15</f>
        <v>217.5</v>
      </c>
      <c r="E22" s="69">
        <f t="shared" si="5"/>
        <v>-11.25</v>
      </c>
      <c r="F22" s="12">
        <f>Geometry!$D$12*D22</f>
        <v>8.1384545454545467</v>
      </c>
      <c r="G22" s="12">
        <f t="shared" si="0"/>
        <v>0.83045454545454556</v>
      </c>
      <c r="H22" s="12">
        <f>IF(ABS(E22*E22)&lt;=Geometry!$E$10,SQRT(Geometry!$E$10-E22*E22),0)</f>
        <v>67.823299831252683</v>
      </c>
      <c r="I22" s="12">
        <f t="shared" si="1"/>
        <v>1</v>
      </c>
      <c r="J22" s="15">
        <f t="shared" si="2"/>
        <v>14451.326206513049</v>
      </c>
      <c r="K22" s="59">
        <f>IF(C22=1,J22*Geometry!$G$21,0)+IF(C22=2,J22*Geometry!$H$21,0)+IF(C22=3,J22*Geometry!$I$21,0)+IF(C22=4,J22*Geometry!$J$21,0)+IF(C22=5,J22*Geometry!$K$21,0)</f>
        <v>12861.680323796614</v>
      </c>
      <c r="L22" s="59">
        <f>IF(C22=1,J22*Geometry!$G$20,0)+IF(C22=2,J22*Geometry!$H$20,0)+IF(C22=3,J22*Geometry!$I$20,0)+IF(C22=4,J22*Geometry!$J$20,0)+IF(C22=5,J22*Geometry!$K$20,0)</f>
        <v>0</v>
      </c>
      <c r="M22" s="59">
        <f>IF(C22=1,J22*Geometry!$G$19,0)+IF(C22=2,J22*Geometry!$H$19,0)+IF(C22=3,J22*Geometry!$I$19,0)+IF(C22=4,J22*Geometry!$J$19,0)+IF(C22=5,J22*Geometry!$K$19,0)</f>
        <v>0</v>
      </c>
      <c r="N22" s="59">
        <f>IF(C22=1,J22*Geometry!$G$22,0)+IF(C22=2,J22*Geometry!$H$22,0)+IF(C22=3,J22*Geometry!$I$22,0)+IF(C22=4,J22*Geometry!$J$22,0)+IF(C22=5,J22*Geometry!$K$22,0)</f>
        <v>289.02652413026101</v>
      </c>
      <c r="O22" s="59">
        <f>IF(C22=1,J22*Geometry!$G$23,0)+IF(C22=2,J22*Geometry!$H$23,0)+IF(C22=3,J22*Geometry!$I$23,0)+IF(C22=4,J22*Geometry!$J$23,0)+IF(C22=5,J22*Geometry!$K$23,0)</f>
        <v>0</v>
      </c>
      <c r="P22">
        <f>IF(C22=1,J22*Geometry!$G$24,0)+IF(C22=2,J22*Geometry!$H$24,0)+IF(C22=3,J22*Geometry!$I$24,0)+IF(C22=4,J22*Geometry!$J$24,0)+IF(C22=5,J22*Geometry!$K$24,0)</f>
        <v>144.5132620651305</v>
      </c>
    </row>
    <row r="23" spans="1:16">
      <c r="A23" s="7">
        <f t="shared" si="3"/>
        <v>17</v>
      </c>
      <c r="B23" s="7"/>
      <c r="C23" s="7">
        <f t="shared" si="4"/>
        <v>1</v>
      </c>
      <c r="D23" s="69">
        <f>D22+Geometry!$C$15</f>
        <v>222.5</v>
      </c>
      <c r="E23" s="69">
        <f t="shared" si="5"/>
        <v>-16.25</v>
      </c>
      <c r="F23" s="12">
        <f>Geometry!$D$12*D23</f>
        <v>8.3255454545454555</v>
      </c>
      <c r="G23" s="12">
        <f t="shared" si="0"/>
        <v>0.8495454545454546</v>
      </c>
      <c r="H23" s="12">
        <f>IF(ABS(E23*E23)&lt;=Geometry!$E$10,SQRT(Geometry!$E$10-E23*E23),0)</f>
        <v>66.801946079436931</v>
      </c>
      <c r="I23" s="12">
        <f t="shared" si="1"/>
        <v>1</v>
      </c>
      <c r="J23" s="15">
        <f t="shared" si="2"/>
        <v>14019.357216644448</v>
      </c>
      <c r="K23" s="59">
        <f>IF(C23=1,J23*Geometry!$G$21,0)+IF(C23=2,J23*Geometry!$H$21,0)+IF(C23=3,J23*Geometry!$I$21,0)+IF(C23=4,J23*Geometry!$J$21,0)+IF(C23=5,J23*Geometry!$K$21,0)</f>
        <v>12477.227922813559</v>
      </c>
      <c r="L23" s="59">
        <f>IF(C23=1,J23*Geometry!$G$20,0)+IF(C23=2,J23*Geometry!$H$20,0)+IF(C23=3,J23*Geometry!$I$20,0)+IF(C23=4,J23*Geometry!$J$20,0)+IF(C23=5,J23*Geometry!$K$20,0)</f>
        <v>0</v>
      </c>
      <c r="M23" s="59">
        <f>IF(C23=1,J23*Geometry!$G$19,0)+IF(C23=2,J23*Geometry!$H$19,0)+IF(C23=3,J23*Geometry!$I$19,0)+IF(C23=4,J23*Geometry!$J$19,0)+IF(C23=5,J23*Geometry!$K$19,0)</f>
        <v>0</v>
      </c>
      <c r="N23" s="59">
        <f>IF(C23=1,J23*Geometry!$G$22,0)+IF(C23=2,J23*Geometry!$H$22,0)+IF(C23=3,J23*Geometry!$I$22,0)+IF(C23=4,J23*Geometry!$J$22,0)+IF(C23=5,J23*Geometry!$K$22,0)</f>
        <v>280.38714433288897</v>
      </c>
      <c r="O23" s="59">
        <f>IF(C23=1,J23*Geometry!$G$23,0)+IF(C23=2,J23*Geometry!$H$23,0)+IF(C23=3,J23*Geometry!$I$23,0)+IF(C23=4,J23*Geometry!$J$23,0)+IF(C23=5,J23*Geometry!$K$23,0)</f>
        <v>0</v>
      </c>
      <c r="P23">
        <f>IF(C23=1,J23*Geometry!$G$24,0)+IF(C23=2,J23*Geometry!$H$24,0)+IF(C23=3,J23*Geometry!$I$24,0)+IF(C23=4,J23*Geometry!$J$24,0)+IF(C23=5,J23*Geometry!$K$24,0)</f>
        <v>140.19357216644448</v>
      </c>
    </row>
    <row r="24" spans="1:16">
      <c r="A24" s="7">
        <f t="shared" si="3"/>
        <v>18</v>
      </c>
      <c r="B24" s="7"/>
      <c r="C24" s="7">
        <f t="shared" si="4"/>
        <v>1</v>
      </c>
      <c r="D24" s="69">
        <f>D23+Geometry!$C$15</f>
        <v>227.5</v>
      </c>
      <c r="E24" s="69">
        <f t="shared" si="5"/>
        <v>-21.25</v>
      </c>
      <c r="F24" s="12">
        <f>Geometry!$D$12*D24</f>
        <v>8.5126363636363642</v>
      </c>
      <c r="G24" s="12">
        <f t="shared" si="0"/>
        <v>0.86863636363636365</v>
      </c>
      <c r="H24" s="12">
        <f>IF(ABS(E24*E24)&lt;=Geometry!$E$10,SQRT(Geometry!$E$10-E24*E24),0)</f>
        <v>65.383484153110103</v>
      </c>
      <c r="I24" s="12">
        <f t="shared" si="1"/>
        <v>1</v>
      </c>
      <c r="J24" s="15">
        <f t="shared" si="2"/>
        <v>13430.308594096365</v>
      </c>
      <c r="K24" s="59">
        <f>IF(C24=1,J24*Geometry!$G$21,0)+IF(C24=2,J24*Geometry!$H$21,0)+IF(C24=3,J24*Geometry!$I$21,0)+IF(C24=4,J24*Geometry!$J$21,0)+IF(C24=5,J24*Geometry!$K$21,0)</f>
        <v>11952.974648745765</v>
      </c>
      <c r="L24" s="59">
        <f>IF(C24=1,J24*Geometry!$G$20,0)+IF(C24=2,J24*Geometry!$H$20,0)+IF(C24=3,J24*Geometry!$I$20,0)+IF(C24=4,J24*Geometry!$J$20,0)+IF(C24=5,J24*Geometry!$K$20,0)</f>
        <v>0</v>
      </c>
      <c r="M24" s="59">
        <f>IF(C24=1,J24*Geometry!$G$19,0)+IF(C24=2,J24*Geometry!$H$19,0)+IF(C24=3,J24*Geometry!$I$19,0)+IF(C24=4,J24*Geometry!$J$19,0)+IF(C24=5,J24*Geometry!$K$19,0)</f>
        <v>0</v>
      </c>
      <c r="N24" s="59">
        <f>IF(C24=1,J24*Geometry!$G$22,0)+IF(C24=2,J24*Geometry!$H$22,0)+IF(C24=3,J24*Geometry!$I$22,0)+IF(C24=4,J24*Geometry!$J$22,0)+IF(C24=5,J24*Geometry!$K$22,0)</f>
        <v>268.60617188192731</v>
      </c>
      <c r="O24" s="59">
        <f>IF(C24=1,J24*Geometry!$G$23,0)+IF(C24=2,J24*Geometry!$H$23,0)+IF(C24=3,J24*Geometry!$I$23,0)+IF(C24=4,J24*Geometry!$J$23,0)+IF(C24=5,J24*Geometry!$K$23,0)</f>
        <v>0</v>
      </c>
      <c r="P24">
        <f>IF(C24=1,J24*Geometry!$G$24,0)+IF(C24=2,J24*Geometry!$H$24,0)+IF(C24=3,J24*Geometry!$I$24,0)+IF(C24=4,J24*Geometry!$J$24,0)+IF(C24=5,J24*Geometry!$K$24,0)</f>
        <v>134.30308594096365</v>
      </c>
    </row>
    <row r="25" spans="1:16">
      <c r="A25" s="7">
        <f t="shared" si="3"/>
        <v>19</v>
      </c>
      <c r="B25" s="7"/>
      <c r="C25" s="7">
        <f t="shared" si="4"/>
        <v>1</v>
      </c>
      <c r="D25" s="69">
        <f>D24+Geometry!$C$15</f>
        <v>232.5</v>
      </c>
      <c r="E25" s="69">
        <f t="shared" si="5"/>
        <v>-26.25</v>
      </c>
      <c r="F25" s="12">
        <f>Geometry!$D$12*D25</f>
        <v>8.699727272727273</v>
      </c>
      <c r="G25" s="12">
        <f t="shared" si="0"/>
        <v>0.8877272727272727</v>
      </c>
      <c r="H25" s="12">
        <f>IF(ABS(E25*E25)&lt;=Geometry!$E$10,SQRT(Geometry!$E$10-E25*E25),0)</f>
        <v>63.541325135694173</v>
      </c>
      <c r="I25" s="12">
        <f t="shared" si="1"/>
        <v>1</v>
      </c>
      <c r="J25" s="15">
        <f t="shared" si="2"/>
        <v>12684.180338868789</v>
      </c>
      <c r="K25" s="59">
        <f>IF(C25=1,J25*Geometry!$G$21,0)+IF(C25=2,J25*Geometry!$H$21,0)+IF(C25=3,J25*Geometry!$I$21,0)+IF(C25=4,J25*Geometry!$J$21,0)+IF(C25=5,J25*Geometry!$K$21,0)</f>
        <v>11288.920501593222</v>
      </c>
      <c r="L25" s="59">
        <f>IF(C25=1,J25*Geometry!$G$20,0)+IF(C25=2,J25*Geometry!$H$20,0)+IF(C25=3,J25*Geometry!$I$20,0)+IF(C25=4,J25*Geometry!$J$20,0)+IF(C25=5,J25*Geometry!$K$20,0)</f>
        <v>0</v>
      </c>
      <c r="M25" s="59">
        <f>IF(C25=1,J25*Geometry!$G$19,0)+IF(C25=2,J25*Geometry!$H$19,0)+IF(C25=3,J25*Geometry!$I$19,0)+IF(C25=4,J25*Geometry!$J$19,0)+IF(C25=5,J25*Geometry!$K$19,0)</f>
        <v>0</v>
      </c>
      <c r="N25" s="59">
        <f>IF(C25=1,J25*Geometry!$G$22,0)+IF(C25=2,J25*Geometry!$H$22,0)+IF(C25=3,J25*Geometry!$I$22,0)+IF(C25=4,J25*Geometry!$J$22,0)+IF(C25=5,J25*Geometry!$K$22,0)</f>
        <v>253.68360677737579</v>
      </c>
      <c r="O25" s="59">
        <f>IF(C25=1,J25*Geometry!$G$23,0)+IF(C25=2,J25*Geometry!$H$23,0)+IF(C25=3,J25*Geometry!$I$23,0)+IF(C25=4,J25*Geometry!$J$23,0)+IF(C25=5,J25*Geometry!$K$23,0)</f>
        <v>0</v>
      </c>
      <c r="P25">
        <f>IF(C25=1,J25*Geometry!$G$24,0)+IF(C25=2,J25*Geometry!$H$24,0)+IF(C25=3,J25*Geometry!$I$24,0)+IF(C25=4,J25*Geometry!$J$24,0)+IF(C25=5,J25*Geometry!$K$24,0)</f>
        <v>126.84180338868789</v>
      </c>
    </row>
    <row r="26" spans="1:16">
      <c r="A26" s="7">
        <f t="shared" si="3"/>
        <v>20</v>
      </c>
      <c r="B26" s="7"/>
      <c r="C26" s="7">
        <f t="shared" si="4"/>
        <v>1</v>
      </c>
      <c r="D26" s="69">
        <f>D25+Geometry!$C$15</f>
        <v>237.5</v>
      </c>
      <c r="E26" s="69">
        <f t="shared" si="5"/>
        <v>-31.25</v>
      </c>
      <c r="F26" s="12">
        <f>Geometry!$D$12*D26</f>
        <v>8.8868181818181835</v>
      </c>
      <c r="G26" s="12">
        <f t="shared" si="0"/>
        <v>0.90681818181818197</v>
      </c>
      <c r="H26" s="12">
        <f>IF(ABS(E26*E26)&lt;=Geometry!$E$10,SQRT(Geometry!$E$10-E26*E26),0)</f>
        <v>61.237243569579455</v>
      </c>
      <c r="I26" s="12">
        <f t="shared" si="1"/>
        <v>1</v>
      </c>
      <c r="J26" s="15">
        <f t="shared" si="2"/>
        <v>11780.972450961724</v>
      </c>
      <c r="K26" s="59">
        <f>IF(C26=1,J26*Geometry!$G$21,0)+IF(C26=2,J26*Geometry!$H$21,0)+IF(C26=3,J26*Geometry!$I$21,0)+IF(C26=4,J26*Geometry!$J$21,0)+IF(C26=5,J26*Geometry!$K$21,0)</f>
        <v>10485.065481355934</v>
      </c>
      <c r="L26" s="59">
        <f>IF(C26=1,J26*Geometry!$G$20,0)+IF(C26=2,J26*Geometry!$H$20,0)+IF(C26=3,J26*Geometry!$I$20,0)+IF(C26=4,J26*Geometry!$J$20,0)+IF(C26=5,J26*Geometry!$K$20,0)</f>
        <v>0</v>
      </c>
      <c r="M26" s="59">
        <f>IF(C26=1,J26*Geometry!$G$19,0)+IF(C26=2,J26*Geometry!$H$19,0)+IF(C26=3,J26*Geometry!$I$19,0)+IF(C26=4,J26*Geometry!$J$19,0)+IF(C26=5,J26*Geometry!$K$19,0)</f>
        <v>0</v>
      </c>
      <c r="N26" s="59">
        <f>IF(C26=1,J26*Geometry!$G$22,0)+IF(C26=2,J26*Geometry!$H$22,0)+IF(C26=3,J26*Geometry!$I$22,0)+IF(C26=4,J26*Geometry!$J$22,0)+IF(C26=5,J26*Geometry!$K$22,0)</f>
        <v>235.61944901923448</v>
      </c>
      <c r="O26" s="59">
        <f>IF(C26=1,J26*Geometry!$G$23,0)+IF(C26=2,J26*Geometry!$H$23,0)+IF(C26=3,J26*Geometry!$I$23,0)+IF(C26=4,J26*Geometry!$J$23,0)+IF(C26=5,J26*Geometry!$K$23,0)</f>
        <v>0</v>
      </c>
      <c r="P26">
        <f>IF(C26=1,J26*Geometry!$G$24,0)+IF(C26=2,J26*Geometry!$H$24,0)+IF(C26=3,J26*Geometry!$I$24,0)+IF(C26=4,J26*Geometry!$J$24,0)+IF(C26=5,J26*Geometry!$K$24,0)</f>
        <v>117.80972450961724</v>
      </c>
    </row>
    <row r="27" spans="1:16">
      <c r="A27" s="7">
        <f t="shared" si="3"/>
        <v>21</v>
      </c>
      <c r="B27" s="7"/>
      <c r="C27" s="7">
        <f t="shared" si="4"/>
        <v>1</v>
      </c>
      <c r="D27" s="69">
        <f>D26+Geometry!$C$15</f>
        <v>242.5</v>
      </c>
      <c r="E27" s="69">
        <f t="shared" si="5"/>
        <v>-36.25</v>
      </c>
      <c r="F27" s="12">
        <f>Geometry!$D$12*D27</f>
        <v>9.0739090909090923</v>
      </c>
      <c r="G27" s="12">
        <f t="shared" si="0"/>
        <v>0.92590909090909101</v>
      </c>
      <c r="H27" s="12">
        <f>IF(ABS(E27*E27)&lt;=Geometry!$E$10,SQRT(Geometry!$E$10-E27*E27),0)</f>
        <v>58.416607227739611</v>
      </c>
      <c r="I27" s="12">
        <f t="shared" si="1"/>
        <v>1</v>
      </c>
      <c r="J27" s="15">
        <f t="shared" si="2"/>
        <v>10720.684930375168</v>
      </c>
      <c r="K27" s="59">
        <f>IF(C27=1,J27*Geometry!$G$21,0)+IF(C27=2,J27*Geometry!$H$21,0)+IF(C27=3,J27*Geometry!$I$21,0)+IF(C27=4,J27*Geometry!$J$21,0)+IF(C27=5,J27*Geometry!$K$21,0)</f>
        <v>9541.4095880338991</v>
      </c>
      <c r="L27" s="59">
        <f>IF(C27=1,J27*Geometry!$G$20,0)+IF(C27=2,J27*Geometry!$H$20,0)+IF(C27=3,J27*Geometry!$I$20,0)+IF(C27=4,J27*Geometry!$J$20,0)+IF(C27=5,J27*Geometry!$K$20,0)</f>
        <v>0</v>
      </c>
      <c r="M27" s="59">
        <f>IF(C27=1,J27*Geometry!$G$19,0)+IF(C27=2,J27*Geometry!$H$19,0)+IF(C27=3,J27*Geometry!$I$19,0)+IF(C27=4,J27*Geometry!$J$19,0)+IF(C27=5,J27*Geometry!$K$19,0)</f>
        <v>0</v>
      </c>
      <c r="N27" s="59">
        <f>IF(C27=1,J27*Geometry!$G$22,0)+IF(C27=2,J27*Geometry!$H$22,0)+IF(C27=3,J27*Geometry!$I$22,0)+IF(C27=4,J27*Geometry!$J$22,0)+IF(C27=5,J27*Geometry!$K$22,0)</f>
        <v>214.41369860750336</v>
      </c>
      <c r="O27" s="59">
        <f>IF(C27=1,J27*Geometry!$G$23,0)+IF(C27=2,J27*Geometry!$H$23,0)+IF(C27=3,J27*Geometry!$I$23,0)+IF(C27=4,J27*Geometry!$J$23,0)+IF(C27=5,J27*Geometry!$K$23,0)</f>
        <v>0</v>
      </c>
      <c r="P27">
        <f>IF(C27=1,J27*Geometry!$G$24,0)+IF(C27=2,J27*Geometry!$H$24,0)+IF(C27=3,J27*Geometry!$I$24,0)+IF(C27=4,J27*Geometry!$J$24,0)+IF(C27=5,J27*Geometry!$K$24,0)</f>
        <v>107.20684930375168</v>
      </c>
    </row>
    <row r="28" spans="1:16">
      <c r="A28" s="7">
        <f t="shared" si="3"/>
        <v>22</v>
      </c>
      <c r="B28" s="7"/>
      <c r="C28" s="7">
        <f t="shared" si="4"/>
        <v>1</v>
      </c>
      <c r="D28" s="69">
        <f>D27+Geometry!$C$15</f>
        <v>247.5</v>
      </c>
      <c r="E28" s="69">
        <f t="shared" si="5"/>
        <v>-41.25</v>
      </c>
      <c r="F28" s="12">
        <f>Geometry!$D$12*D28</f>
        <v>9.261000000000001</v>
      </c>
      <c r="G28" s="12">
        <f t="shared" si="0"/>
        <v>0.94500000000000006</v>
      </c>
      <c r="H28" s="12">
        <f>IF(ABS(E28*E28)&lt;=Geometry!$E$10,SQRT(Geometry!$E$10-E28*E28),0)</f>
        <v>55</v>
      </c>
      <c r="I28" s="12">
        <f t="shared" si="1"/>
        <v>1</v>
      </c>
      <c r="J28" s="15">
        <f t="shared" si="2"/>
        <v>9503.317777109125</v>
      </c>
      <c r="K28" s="59">
        <f>IF(C28=1,J28*Geometry!$G$21,0)+IF(C28=2,J28*Geometry!$H$21,0)+IF(C28=3,J28*Geometry!$I$21,0)+IF(C28=4,J28*Geometry!$J$21,0)+IF(C28=5,J28*Geometry!$K$21,0)</f>
        <v>8457.952821627121</v>
      </c>
      <c r="L28" s="59">
        <f>IF(C28=1,J28*Geometry!$G$20,0)+IF(C28=2,J28*Geometry!$H$20,0)+IF(C28=3,J28*Geometry!$I$20,0)+IF(C28=4,J28*Geometry!$J$20,0)+IF(C28=5,J28*Geometry!$K$20,0)</f>
        <v>0</v>
      </c>
      <c r="M28" s="59">
        <f>IF(C28=1,J28*Geometry!$G$19,0)+IF(C28=2,J28*Geometry!$H$19,0)+IF(C28=3,J28*Geometry!$I$19,0)+IF(C28=4,J28*Geometry!$J$19,0)+IF(C28=5,J28*Geometry!$K$19,0)</f>
        <v>0</v>
      </c>
      <c r="N28" s="59">
        <f>IF(C28=1,J28*Geometry!$G$22,0)+IF(C28=2,J28*Geometry!$H$22,0)+IF(C28=3,J28*Geometry!$I$22,0)+IF(C28=4,J28*Geometry!$J$22,0)+IF(C28=5,J28*Geometry!$K$22,0)</f>
        <v>190.06635554218249</v>
      </c>
      <c r="O28" s="59">
        <f>IF(C28=1,J28*Geometry!$G$23,0)+IF(C28=2,J28*Geometry!$H$23,0)+IF(C28=3,J28*Geometry!$I$23,0)+IF(C28=4,J28*Geometry!$J$23,0)+IF(C28=5,J28*Geometry!$K$23,0)</f>
        <v>0</v>
      </c>
      <c r="P28">
        <f>IF(C28=1,J28*Geometry!$G$24,0)+IF(C28=2,J28*Geometry!$H$24,0)+IF(C28=3,J28*Geometry!$I$24,0)+IF(C28=4,J28*Geometry!$J$24,0)+IF(C28=5,J28*Geometry!$K$24,0)</f>
        <v>95.033177771091246</v>
      </c>
    </row>
    <row r="29" spans="1:16">
      <c r="A29" s="7">
        <f t="shared" si="3"/>
        <v>23</v>
      </c>
      <c r="B29" s="7"/>
      <c r="C29" s="7">
        <f t="shared" si="4"/>
        <v>1</v>
      </c>
      <c r="D29" s="69">
        <f>D28+Geometry!$C$15</f>
        <v>252.5</v>
      </c>
      <c r="E29" s="69">
        <f t="shared" si="5"/>
        <v>-46.25</v>
      </c>
      <c r="F29" s="12">
        <f>Geometry!$D$12*D29</f>
        <v>9.4480909090909098</v>
      </c>
      <c r="G29" s="12">
        <f t="shared" si="0"/>
        <v>0.96409090909090911</v>
      </c>
      <c r="H29" s="12">
        <f>IF(ABS(E29*E29)&lt;=Geometry!$E$10,SQRT(Geometry!$E$10-E29*E29),0)</f>
        <v>50.867474873439512</v>
      </c>
      <c r="I29" s="12">
        <f t="shared" si="1"/>
        <v>1</v>
      </c>
      <c r="J29" s="15">
        <f t="shared" si="2"/>
        <v>8128.8709911635906</v>
      </c>
      <c r="K29" s="59">
        <f>IF(C29=1,J29*Geometry!$G$21,0)+IF(C29=2,J29*Geometry!$H$21,0)+IF(C29=3,J29*Geometry!$I$21,0)+IF(C29=4,J29*Geometry!$J$21,0)+IF(C29=5,J29*Geometry!$K$21,0)</f>
        <v>7234.695182135596</v>
      </c>
      <c r="L29" s="59">
        <f>IF(C29=1,J29*Geometry!$G$20,0)+IF(C29=2,J29*Geometry!$H$20,0)+IF(C29=3,J29*Geometry!$I$20,0)+IF(C29=4,J29*Geometry!$J$20,0)+IF(C29=5,J29*Geometry!$K$20,0)</f>
        <v>0</v>
      </c>
      <c r="M29" s="59">
        <f>IF(C29=1,J29*Geometry!$G$19,0)+IF(C29=2,J29*Geometry!$H$19,0)+IF(C29=3,J29*Geometry!$I$19,0)+IF(C29=4,J29*Geometry!$J$19,0)+IF(C29=5,J29*Geometry!$K$19,0)</f>
        <v>0</v>
      </c>
      <c r="N29" s="59">
        <f>IF(C29=1,J29*Geometry!$G$22,0)+IF(C29=2,J29*Geometry!$H$22,0)+IF(C29=3,J29*Geometry!$I$22,0)+IF(C29=4,J29*Geometry!$J$22,0)+IF(C29=5,J29*Geometry!$K$22,0)</f>
        <v>162.57741982327181</v>
      </c>
      <c r="O29" s="59">
        <f>IF(C29=1,J29*Geometry!$G$23,0)+IF(C29=2,J29*Geometry!$H$23,0)+IF(C29=3,J29*Geometry!$I$23,0)+IF(C29=4,J29*Geometry!$J$23,0)+IF(C29=5,J29*Geometry!$K$23,0)</f>
        <v>0</v>
      </c>
      <c r="P29">
        <f>IF(C29=1,J29*Geometry!$G$24,0)+IF(C29=2,J29*Geometry!$H$24,0)+IF(C29=3,J29*Geometry!$I$24,0)+IF(C29=4,J29*Geometry!$J$24,0)+IF(C29=5,J29*Geometry!$K$24,0)</f>
        <v>81.288709911635905</v>
      </c>
    </row>
    <row r="30" spans="1:16">
      <c r="A30" s="7">
        <f t="shared" si="3"/>
        <v>24</v>
      </c>
      <c r="B30" s="7"/>
      <c r="C30" s="7">
        <f t="shared" si="4"/>
        <v>3</v>
      </c>
      <c r="D30" s="69">
        <f>D29+Geometry!$C$15</f>
        <v>257.5</v>
      </c>
      <c r="E30" s="69">
        <f t="shared" si="5"/>
        <v>-51.25</v>
      </c>
      <c r="F30" s="12">
        <f>Geometry!$D$12*D30</f>
        <v>9.6351818181818185</v>
      </c>
      <c r="G30" s="12">
        <f t="shared" si="0"/>
        <v>0.98318181818181816</v>
      </c>
      <c r="H30" s="12">
        <f>IF(ABS(E30*E30)&lt;=Geometry!$E$10,SQRT(Geometry!$E$10-E30*E30),0)</f>
        <v>45.825756949558397</v>
      </c>
      <c r="I30" s="12">
        <f t="shared" si="1"/>
        <v>1</v>
      </c>
      <c r="J30" s="15">
        <f t="shared" si="2"/>
        <v>6597.3445725385645</v>
      </c>
      <c r="K30" s="59">
        <f>IF(C30=1,J30*Geometry!$G$21,0)+IF(C30=2,J30*Geometry!$H$21,0)+IF(C30=3,J30*Geometry!$I$21,0)+IF(C30=4,J30*Geometry!$J$21,0)+IF(C30=5,J30*Geometry!$K$21,0)</f>
        <v>0</v>
      </c>
      <c r="L30" s="59">
        <f>IF(C30=1,J30*Geometry!$G$20,0)+IF(C30=2,J30*Geometry!$H$20,0)+IF(C30=3,J30*Geometry!$I$20,0)+IF(C30=4,J30*Geometry!$J$20,0)+IF(C30=5,J30*Geometry!$K$20,0)</f>
        <v>0</v>
      </c>
      <c r="M30" s="59">
        <f>IF(C30=1,J30*Geometry!$G$19,0)+IF(C30=2,J30*Geometry!$H$19,0)+IF(C30=3,J30*Geometry!$I$19,0)+IF(C30=4,J30*Geometry!$J$19,0)+IF(C30=5,J30*Geometry!$K$19,0)</f>
        <v>0</v>
      </c>
      <c r="N30" s="59">
        <f>IF(C30=1,J30*Geometry!$G$22,0)+IF(C30=2,J30*Geometry!$H$22,0)+IF(C30=3,J30*Geometry!$I$22,0)+IF(C30=4,J30*Geometry!$J$22,0)+IF(C30=5,J30*Geometry!$K$22,0)</f>
        <v>263.89378290154258</v>
      </c>
      <c r="O30" s="59">
        <f>IF(C30=1,J30*Geometry!$G$23,0)+IF(C30=2,J30*Geometry!$H$23,0)+IF(C30=3,J30*Geometry!$I$23,0)+IF(C30=4,J30*Geometry!$J$23,0)+IF(C30=5,J30*Geometry!$K$23,0)</f>
        <v>0</v>
      </c>
      <c r="P30">
        <f>IF(C30=1,J30*Geometry!$G$24,0)+IF(C30=2,J30*Geometry!$H$24,0)+IF(C30=3,J30*Geometry!$I$24,0)+IF(C30=4,J30*Geometry!$J$24,0)+IF(C30=5,J30*Geometry!$K$24,0)</f>
        <v>5805.6632238339371</v>
      </c>
    </row>
    <row r="31" spans="1:16">
      <c r="A31" s="7">
        <f t="shared" si="3"/>
        <v>25</v>
      </c>
      <c r="B31" s="7"/>
      <c r="C31" s="7">
        <f t="shared" si="4"/>
        <v>3</v>
      </c>
      <c r="D31" s="69">
        <f>D30+Geometry!$C$15</f>
        <v>262.5</v>
      </c>
      <c r="E31" s="69">
        <f t="shared" si="5"/>
        <v>-56.25</v>
      </c>
      <c r="F31" s="12">
        <f>Geometry!$D$12*D31</f>
        <v>9.822272727272729</v>
      </c>
      <c r="G31" s="12">
        <f t="shared" si="0"/>
        <v>1.0022727272727274</v>
      </c>
      <c r="H31" s="12">
        <f>IF(ABS(E31*E31)&lt;=Geometry!$E$10,SQRT(Geometry!$E$10-E31*E31),0)</f>
        <v>39.528470752104745</v>
      </c>
      <c r="I31" s="12">
        <f t="shared" si="1"/>
        <v>1</v>
      </c>
      <c r="J31" s="15">
        <f t="shared" si="2"/>
        <v>4908.7385212340532</v>
      </c>
      <c r="K31" s="59">
        <f>IF(C31=1,J31*Geometry!$G$21,0)+IF(C31=2,J31*Geometry!$H$21,0)+IF(C31=3,J31*Geometry!$I$21,0)+IF(C31=4,J31*Geometry!$J$21,0)+IF(C31=5,J31*Geometry!$K$21,0)</f>
        <v>0</v>
      </c>
      <c r="L31" s="59">
        <f>IF(C31=1,J31*Geometry!$G$20,0)+IF(C31=2,J31*Geometry!$H$20,0)+IF(C31=3,J31*Geometry!$I$20,0)+IF(C31=4,J31*Geometry!$J$20,0)+IF(C31=5,J31*Geometry!$K$20,0)</f>
        <v>0</v>
      </c>
      <c r="M31" s="59">
        <f>IF(C31=1,J31*Geometry!$G$19,0)+IF(C31=2,J31*Geometry!$H$19,0)+IF(C31=3,J31*Geometry!$I$19,0)+IF(C31=4,J31*Geometry!$J$19,0)+IF(C31=5,J31*Geometry!$K$19,0)</f>
        <v>0</v>
      </c>
      <c r="N31" s="59">
        <f>IF(C31=1,J31*Geometry!$G$22,0)+IF(C31=2,J31*Geometry!$H$22,0)+IF(C31=3,J31*Geometry!$I$22,0)+IF(C31=4,J31*Geometry!$J$22,0)+IF(C31=5,J31*Geometry!$K$22,0)</f>
        <v>196.34954084936214</v>
      </c>
      <c r="O31" s="59">
        <f>IF(C31=1,J31*Geometry!$G$23,0)+IF(C31=2,J31*Geometry!$H$23,0)+IF(C31=3,J31*Geometry!$I$23,0)+IF(C31=4,J31*Geometry!$J$23,0)+IF(C31=5,J31*Geometry!$K$23,0)</f>
        <v>0</v>
      </c>
      <c r="P31">
        <f>IF(C31=1,J31*Geometry!$G$24,0)+IF(C31=2,J31*Geometry!$H$24,0)+IF(C31=3,J31*Geometry!$I$24,0)+IF(C31=4,J31*Geometry!$J$24,0)+IF(C31=5,J31*Geometry!$K$24,0)</f>
        <v>4319.6898986859669</v>
      </c>
    </row>
    <row r="32" spans="1:16">
      <c r="A32" s="7">
        <f t="shared" si="3"/>
        <v>26</v>
      </c>
      <c r="B32" s="7"/>
      <c r="C32" s="7">
        <f t="shared" si="4"/>
        <v>3</v>
      </c>
      <c r="D32" s="69">
        <f>D31+Geometry!$C$15</f>
        <v>267.5</v>
      </c>
      <c r="E32" s="69">
        <f t="shared" si="5"/>
        <v>-61.25</v>
      </c>
      <c r="F32" s="12">
        <f>Geometry!$D$12*D32</f>
        <v>10.009363636363638</v>
      </c>
      <c r="G32" s="12">
        <f t="shared" si="0"/>
        <v>1.0213636363636365</v>
      </c>
      <c r="H32" s="12">
        <f>IF(ABS(E32*E32)&lt;=Geometry!$E$10,SQRT(Geometry!$E$10-E32*E32),0)</f>
        <v>31.22498999199199</v>
      </c>
      <c r="I32" s="12">
        <f t="shared" si="1"/>
        <v>1</v>
      </c>
      <c r="J32" s="15">
        <f t="shared" si="2"/>
        <v>3063.052837250048</v>
      </c>
      <c r="K32" s="59">
        <f>IF(C32=1,J32*Geometry!$G$21,0)+IF(C32=2,J32*Geometry!$H$21,0)+IF(C32=3,J32*Geometry!$I$21,0)+IF(C32=4,J32*Geometry!$J$21,0)+IF(C32=5,J32*Geometry!$K$21,0)</f>
        <v>0</v>
      </c>
      <c r="L32" s="59">
        <f>IF(C32=1,J32*Geometry!$G$20,0)+IF(C32=2,J32*Geometry!$H$20,0)+IF(C32=3,J32*Geometry!$I$20,0)+IF(C32=4,J32*Geometry!$J$20,0)+IF(C32=5,J32*Geometry!$K$20,0)</f>
        <v>0</v>
      </c>
      <c r="M32" s="59">
        <f>IF(C32=1,J32*Geometry!$G$19,0)+IF(C32=2,J32*Geometry!$H$19,0)+IF(C32=3,J32*Geometry!$I$19,0)+IF(C32=4,J32*Geometry!$J$19,0)+IF(C32=5,J32*Geometry!$K$19,0)</f>
        <v>0</v>
      </c>
      <c r="N32" s="59">
        <f>IF(C32=1,J32*Geometry!$G$22,0)+IF(C32=2,J32*Geometry!$H$22,0)+IF(C32=3,J32*Geometry!$I$22,0)+IF(C32=4,J32*Geometry!$J$22,0)+IF(C32=5,J32*Geometry!$K$22,0)</f>
        <v>122.52211349000193</v>
      </c>
      <c r="O32" s="59">
        <f>IF(C32=1,J32*Geometry!$G$23,0)+IF(C32=2,J32*Geometry!$H$23,0)+IF(C32=3,J32*Geometry!$I$23,0)+IF(C32=4,J32*Geometry!$J$23,0)+IF(C32=5,J32*Geometry!$K$23,0)</f>
        <v>0</v>
      </c>
      <c r="P32">
        <f>IF(C32=1,J32*Geometry!$G$24,0)+IF(C32=2,J32*Geometry!$H$24,0)+IF(C32=3,J32*Geometry!$I$24,0)+IF(C32=4,J32*Geometry!$J$24,0)+IF(C32=5,J32*Geometry!$K$24,0)</f>
        <v>2695.4864967800422</v>
      </c>
    </row>
    <row r="33" spans="1:16">
      <c r="A33" s="7">
        <f t="shared" si="3"/>
        <v>27</v>
      </c>
      <c r="B33" s="7"/>
      <c r="C33" s="7">
        <f t="shared" si="4"/>
        <v>3</v>
      </c>
      <c r="D33" s="69">
        <f>D32+Geometry!$C$15</f>
        <v>272.5</v>
      </c>
      <c r="E33" s="69">
        <f t="shared" si="5"/>
        <v>-66.25</v>
      </c>
      <c r="F33" s="12">
        <f>Geometry!$D$12*D33</f>
        <v>10.196454545454547</v>
      </c>
      <c r="G33" s="12">
        <f t="shared" si="0"/>
        <v>1.0404545454545455</v>
      </c>
      <c r="H33" s="12">
        <f>IF(ABS(E33*E33)&lt;=Geometry!$E$10,SQRT(Geometry!$E$10-E33*E33),0)</f>
        <v>18.371173070873837</v>
      </c>
      <c r="I33" s="12">
        <f t="shared" si="1"/>
        <v>1</v>
      </c>
      <c r="J33" s="15">
        <f t="shared" si="2"/>
        <v>1060.2875205865555</v>
      </c>
      <c r="K33" s="59">
        <f>IF(C33=1,J33*Geometry!$G$21,0)+IF(C33=2,J33*Geometry!$H$21,0)+IF(C33=3,J33*Geometry!$I$21,0)+IF(C33=4,J33*Geometry!$J$21,0)+IF(C33=5,J33*Geometry!$K$21,0)</f>
        <v>0</v>
      </c>
      <c r="L33" s="59">
        <f>IF(C33=1,J33*Geometry!$G$20,0)+IF(C33=2,J33*Geometry!$H$20,0)+IF(C33=3,J33*Geometry!$I$20,0)+IF(C33=4,J33*Geometry!$J$20,0)+IF(C33=5,J33*Geometry!$K$20,0)</f>
        <v>0</v>
      </c>
      <c r="M33" s="59">
        <f>IF(C33=1,J33*Geometry!$G$19,0)+IF(C33=2,J33*Geometry!$H$19,0)+IF(C33=3,J33*Geometry!$I$19,0)+IF(C33=4,J33*Geometry!$J$19,0)+IF(C33=5,J33*Geometry!$K$19,0)</f>
        <v>0</v>
      </c>
      <c r="N33" s="59">
        <f>IF(C33=1,J33*Geometry!$G$22,0)+IF(C33=2,J33*Geometry!$H$22,0)+IF(C33=3,J33*Geometry!$I$22,0)+IF(C33=4,J33*Geometry!$J$22,0)+IF(C33=5,J33*Geometry!$K$22,0)</f>
        <v>42.41150082346222</v>
      </c>
      <c r="O33" s="59">
        <f>IF(C33=1,J33*Geometry!$G$23,0)+IF(C33=2,J33*Geometry!$H$23,0)+IF(C33=3,J33*Geometry!$I$23,0)+IF(C33=4,J33*Geometry!$J$23,0)+IF(C33=5,J33*Geometry!$K$23,0)</f>
        <v>0</v>
      </c>
      <c r="P33">
        <f>IF(C33=1,J33*Geometry!$G$24,0)+IF(C33=2,J33*Geometry!$H$24,0)+IF(C33=3,J33*Geometry!$I$24,0)+IF(C33=4,J33*Geometry!$J$24,0)+IF(C33=5,J33*Geometry!$K$24,0)</f>
        <v>933.0530181161688</v>
      </c>
    </row>
    <row r="34" spans="1:16">
      <c r="A34" s="7">
        <f t="shared" si="3"/>
        <v>28</v>
      </c>
      <c r="B34" s="7"/>
      <c r="C34" s="7">
        <f t="shared" si="4"/>
        <v>3</v>
      </c>
      <c r="D34" s="69">
        <f>D33+Geometry!$C$15</f>
        <v>277.5</v>
      </c>
      <c r="E34" s="69">
        <f t="shared" si="5"/>
        <v>-71.25</v>
      </c>
      <c r="F34" s="12">
        <f>Geometry!$D$12*D34</f>
        <v>10.383545454545455</v>
      </c>
      <c r="G34" s="12">
        <f t="shared" si="0"/>
        <v>0</v>
      </c>
      <c r="H34" s="12">
        <f>IF(ABS(E34*E34)&lt;=Geometry!$E$10,SQRT(Geometry!$E$10-E34*E34),0)</f>
        <v>0</v>
      </c>
      <c r="I34" s="12">
        <f t="shared" si="1"/>
        <v>0</v>
      </c>
      <c r="J34" s="15">
        <f t="shared" si="2"/>
        <v>0</v>
      </c>
      <c r="K34" s="59">
        <f>IF(C34=1,J34*Geometry!$G$21,0)+IF(C34=2,J34*Geometry!$H$21,0)+IF(C34=3,J34*Geometry!$I$21,0)+IF(C34=4,J34*Geometry!$J$21,0)+IF(C34=5,J34*Geometry!$K$21,0)</f>
        <v>0</v>
      </c>
      <c r="L34" s="59">
        <f>IF(C34=1,J34*Geometry!$G$20,0)+IF(C34=2,J34*Geometry!$H$20,0)+IF(C34=3,J34*Geometry!$I$20,0)+IF(C34=4,J34*Geometry!$J$20,0)+IF(C34=5,J34*Geometry!$K$20,0)</f>
        <v>0</v>
      </c>
      <c r="M34" s="59">
        <f>IF(C34=1,J34*Geometry!$G$19,0)+IF(C34=2,J34*Geometry!$H$19,0)+IF(C34=3,J34*Geometry!$I$19,0)+IF(C34=4,J34*Geometry!$J$19,0)+IF(C34=5,J34*Geometry!$K$19,0)</f>
        <v>0</v>
      </c>
      <c r="N34" s="59">
        <f>IF(C34=1,J34*Geometry!$G$22,0)+IF(C34=2,J34*Geometry!$H$22,0)+IF(C34=3,J34*Geometry!$I$22,0)+IF(C34=4,J34*Geometry!$J$22,0)+IF(C34=5,J34*Geometry!$K$22,0)</f>
        <v>0</v>
      </c>
      <c r="O34" s="59">
        <f>IF(C34=1,J34*Geometry!$G$23,0)+IF(C34=2,J34*Geometry!$H$23,0)+IF(C34=3,J34*Geometry!$I$23,0)+IF(C34=4,J34*Geometry!$J$23,0)+IF(C34=5,J34*Geometry!$K$23,0)</f>
        <v>0</v>
      </c>
      <c r="P34">
        <f>IF(C34=1,J34*Geometry!$G$24,0)+IF(C34=2,J34*Geometry!$H$24,0)+IF(C34=3,J34*Geometry!$I$24,0)+IF(C34=4,J34*Geometry!$J$24,0)+IF(C34=5,J34*Geometry!$K$24,0)</f>
        <v>0</v>
      </c>
    </row>
    <row r="35" spans="1:16">
      <c r="A35" s="7">
        <f t="shared" si="3"/>
        <v>29</v>
      </c>
      <c r="B35" s="7"/>
      <c r="C35" s="7">
        <f t="shared" si="4"/>
        <v>3</v>
      </c>
      <c r="D35" s="69">
        <f>D34+Geometry!$C$15</f>
        <v>282.5</v>
      </c>
      <c r="E35" s="69">
        <f t="shared" si="5"/>
        <v>-76.25</v>
      </c>
      <c r="F35" s="12">
        <f>Geometry!$D$12*D35</f>
        <v>10.570636363636364</v>
      </c>
      <c r="G35" s="12">
        <f t="shared" si="0"/>
        <v>0</v>
      </c>
      <c r="H35" s="12">
        <f>IF(ABS(E35*E35)&lt;=Geometry!$E$10,SQRT(Geometry!$E$10-E35*E35),0)</f>
        <v>0</v>
      </c>
      <c r="I35" s="12">
        <f t="shared" si="1"/>
        <v>0</v>
      </c>
      <c r="J35" s="15">
        <f t="shared" si="2"/>
        <v>0</v>
      </c>
      <c r="K35" s="59">
        <f>IF(C35=1,J35*Geometry!$G$21,0)+IF(C35=2,J35*Geometry!$H$21,0)+IF(C35=3,J35*Geometry!$I$21,0)+IF(C35=4,J35*Geometry!$J$21,0)+IF(C35=5,J35*Geometry!$K$21,0)</f>
        <v>0</v>
      </c>
      <c r="L35" s="59">
        <f>IF(C35=1,J35*Geometry!$G$20,0)+IF(C35=2,J35*Geometry!$H$20,0)+IF(C35=3,J35*Geometry!$I$20,0)+IF(C35=4,J35*Geometry!$J$20,0)+IF(C35=5,J35*Geometry!$K$20,0)</f>
        <v>0</v>
      </c>
      <c r="M35" s="59">
        <f>IF(C35=1,J35*Geometry!$G$19,0)+IF(C35=2,J35*Geometry!$H$19,0)+IF(C35=3,J35*Geometry!$I$19,0)+IF(C35=4,J35*Geometry!$J$19,0)+IF(C35=5,J35*Geometry!$K$19,0)</f>
        <v>0</v>
      </c>
      <c r="N35" s="59">
        <f>IF(C35=1,J35*Geometry!$G$22,0)+IF(C35=2,J35*Geometry!$H$22,0)+IF(C35=3,J35*Geometry!$I$22,0)+IF(C35=4,J35*Geometry!$J$22,0)+IF(C35=5,J35*Geometry!$K$22,0)</f>
        <v>0</v>
      </c>
      <c r="O35" s="59">
        <f>IF(C35=1,J35*Geometry!$G$23,0)+IF(C35=2,J35*Geometry!$H$23,0)+IF(C35=3,J35*Geometry!$I$23,0)+IF(C35=4,J35*Geometry!$J$23,0)+IF(C35=5,J35*Geometry!$K$23,0)</f>
        <v>0</v>
      </c>
      <c r="P35">
        <f>IF(C35=1,J35*Geometry!$G$24,0)+IF(C35=2,J35*Geometry!$H$24,0)+IF(C35=3,J35*Geometry!$I$24,0)+IF(C35=4,J35*Geometry!$J$24,0)+IF(C35=5,J35*Geometry!$K$24,0)</f>
        <v>0</v>
      </c>
    </row>
    <row r="36" spans="1:16">
      <c r="A36" s="7">
        <f t="shared" si="3"/>
        <v>30</v>
      </c>
      <c r="B36" s="7"/>
      <c r="C36" s="7">
        <f t="shared" si="4"/>
        <v>3</v>
      </c>
      <c r="D36" s="69">
        <f>D35+Geometry!$C$15</f>
        <v>287.5</v>
      </c>
      <c r="E36" s="69">
        <f t="shared" si="5"/>
        <v>-81.25</v>
      </c>
      <c r="F36" s="12">
        <f>Geometry!$D$12*D36</f>
        <v>10.757727272727275</v>
      </c>
      <c r="G36" s="12">
        <f t="shared" si="0"/>
        <v>0</v>
      </c>
      <c r="H36" s="12">
        <f>IF(ABS(E36*E36)&lt;=Geometry!$E$10,SQRT(Geometry!$E$10-E36*E36),0)</f>
        <v>0</v>
      </c>
      <c r="I36" s="12">
        <f t="shared" si="1"/>
        <v>0</v>
      </c>
      <c r="J36" s="15">
        <f t="shared" si="2"/>
        <v>0</v>
      </c>
      <c r="K36" s="59">
        <f>IF(C36=1,J36*Geometry!$G$21,0)+IF(C36=2,J36*Geometry!$H$21,0)+IF(C36=3,J36*Geometry!$I$21,0)+IF(C36=4,J36*Geometry!$J$21,0)+IF(C36=5,J36*Geometry!$K$21,0)</f>
        <v>0</v>
      </c>
      <c r="L36" s="59">
        <f>IF(C36=1,J36*Geometry!$G$20,0)+IF(C36=2,J36*Geometry!$H$20,0)+IF(C36=3,J36*Geometry!$I$20,0)+IF(C36=4,J36*Geometry!$J$20,0)+IF(C36=5,J36*Geometry!$K$20,0)</f>
        <v>0</v>
      </c>
      <c r="M36" s="59">
        <f>IF(C36=1,J36*Geometry!$G$19,0)+IF(C36=2,J36*Geometry!$H$19,0)+IF(C36=3,J36*Geometry!$I$19,0)+IF(C36=4,J36*Geometry!$J$19,0)+IF(C36=5,J36*Geometry!$K$19,0)</f>
        <v>0</v>
      </c>
      <c r="N36" s="59">
        <f>IF(C36=1,J36*Geometry!$G$22,0)+IF(C36=2,J36*Geometry!$H$22,0)+IF(C36=3,J36*Geometry!$I$22,0)+IF(C36=4,J36*Geometry!$J$22,0)+IF(C36=5,J36*Geometry!$K$22,0)</f>
        <v>0</v>
      </c>
      <c r="O36" s="59">
        <f>IF(C36=1,J36*Geometry!$G$23,0)+IF(C36=2,J36*Geometry!$H$23,0)+IF(C36=3,J36*Geometry!$I$23,0)+IF(C36=4,J36*Geometry!$J$23,0)+IF(C36=5,J36*Geometry!$K$23,0)</f>
        <v>0</v>
      </c>
      <c r="P36">
        <f>IF(C36=1,J36*Geometry!$G$24,0)+IF(C36=2,J36*Geometry!$H$24,0)+IF(C36=3,J36*Geometry!$I$24,0)+IF(C36=4,J36*Geometry!$J$24,0)+IF(C36=5,J36*Geometry!$K$24,0)</f>
        <v>0</v>
      </c>
    </row>
    <row r="37" spans="1:16">
      <c r="A37" s="7">
        <f t="shared" si="3"/>
        <v>31</v>
      </c>
      <c r="B37" s="7"/>
      <c r="C37" s="7">
        <f t="shared" si="4"/>
        <v>3</v>
      </c>
      <c r="D37" s="69">
        <f>D36+Geometry!$C$15</f>
        <v>292.5</v>
      </c>
      <c r="E37" s="69">
        <f t="shared" si="5"/>
        <v>-86.25</v>
      </c>
      <c r="F37" s="12">
        <f>Geometry!$D$12*D37</f>
        <v>10.944818181818183</v>
      </c>
      <c r="G37" s="12">
        <f t="shared" si="0"/>
        <v>0</v>
      </c>
      <c r="H37" s="12">
        <f>IF(ABS(E37*E37)&lt;=Geometry!$E$10,SQRT(Geometry!$E$10-E37*E37),0)</f>
        <v>0</v>
      </c>
      <c r="I37" s="12">
        <f t="shared" si="1"/>
        <v>0</v>
      </c>
      <c r="J37" s="15">
        <f t="shared" si="2"/>
        <v>0</v>
      </c>
      <c r="K37" s="59">
        <f>IF(C37=1,J37*Geometry!$G$21,0)+IF(C37=2,J37*Geometry!$H$21,0)+IF(C37=3,J37*Geometry!$I$21,0)+IF(C37=4,J37*Geometry!$J$21,0)+IF(C37=5,J37*Geometry!$K$21,0)</f>
        <v>0</v>
      </c>
      <c r="L37" s="59">
        <f>IF(C37=1,J37*Geometry!$G$20,0)+IF(C37=2,J37*Geometry!$H$20,0)+IF(C37=3,J37*Geometry!$I$20,0)+IF(C37=4,J37*Geometry!$J$20,0)+IF(C37=5,J37*Geometry!$K$20,0)</f>
        <v>0</v>
      </c>
      <c r="M37" s="59">
        <f>IF(C37=1,J37*Geometry!$G$19,0)+IF(C37=2,J37*Geometry!$H$19,0)+IF(C37=3,J37*Geometry!$I$19,0)+IF(C37=4,J37*Geometry!$J$19,0)+IF(C37=5,J37*Geometry!$K$19,0)</f>
        <v>0</v>
      </c>
      <c r="N37" s="59">
        <f>IF(C37=1,J37*Geometry!$G$22,0)+IF(C37=2,J37*Geometry!$H$22,0)+IF(C37=3,J37*Geometry!$I$22,0)+IF(C37=4,J37*Geometry!$J$22,0)+IF(C37=5,J37*Geometry!$K$22,0)</f>
        <v>0</v>
      </c>
      <c r="O37" s="59">
        <f>IF(C37=1,J37*Geometry!$G$23,0)+IF(C37=2,J37*Geometry!$H$23,0)+IF(C37=3,J37*Geometry!$I$23,0)+IF(C37=4,J37*Geometry!$J$23,0)+IF(C37=5,J37*Geometry!$K$23,0)</f>
        <v>0</v>
      </c>
      <c r="P37">
        <f>IF(C37=1,J37*Geometry!$G$24,0)+IF(C37=2,J37*Geometry!$H$24,0)+IF(C37=3,J37*Geometry!$I$24,0)+IF(C37=4,J37*Geometry!$J$24,0)+IF(C37=5,J37*Geometry!$K$24,0)</f>
        <v>0</v>
      </c>
    </row>
    <row r="38" spans="1:16">
      <c r="A38" s="7">
        <f t="shared" si="3"/>
        <v>32</v>
      </c>
      <c r="B38" s="7"/>
      <c r="C38" s="7">
        <f t="shared" si="4"/>
        <v>3</v>
      </c>
      <c r="D38" s="69">
        <f>D37+Geometry!$C$15</f>
        <v>297.5</v>
      </c>
      <c r="E38" s="69">
        <f t="shared" si="5"/>
        <v>-91.25</v>
      </c>
      <c r="F38" s="12">
        <f>Geometry!$D$12*D38</f>
        <v>11.131909090909092</v>
      </c>
      <c r="G38" s="12">
        <f t="shared" si="0"/>
        <v>0</v>
      </c>
      <c r="H38" s="12">
        <f>IF(ABS(E38*E38)&lt;=Geometry!$E$10,SQRT(Geometry!$E$10-E38*E38),0)</f>
        <v>0</v>
      </c>
      <c r="I38" s="12">
        <f t="shared" si="1"/>
        <v>0</v>
      </c>
      <c r="J38" s="15">
        <f t="shared" si="2"/>
        <v>0</v>
      </c>
      <c r="K38" s="59">
        <f>IF(C38=1,J38*Geometry!$G$21,0)+IF(C38=2,J38*Geometry!$H$21,0)+IF(C38=3,J38*Geometry!$I$21,0)+IF(C38=4,J38*Geometry!$J$21,0)+IF(C38=5,J38*Geometry!$K$21,0)</f>
        <v>0</v>
      </c>
      <c r="L38" s="59">
        <f>IF(C38=1,J38*Geometry!$G$20,0)+IF(C38=2,J38*Geometry!$H$20,0)+IF(C38=3,J38*Geometry!$I$20,0)+IF(C38=4,J38*Geometry!$J$20,0)+IF(C38=5,J38*Geometry!$K$20,0)</f>
        <v>0</v>
      </c>
      <c r="M38" s="59">
        <f>IF(C38=1,J38*Geometry!$G$19,0)+IF(C38=2,J38*Geometry!$H$19,0)+IF(C38=3,J38*Geometry!$I$19,0)+IF(C38=4,J38*Geometry!$J$19,0)+IF(C38=5,J38*Geometry!$K$19,0)</f>
        <v>0</v>
      </c>
      <c r="N38" s="59">
        <f>IF(C38=1,J38*Geometry!$G$22,0)+IF(C38=2,J38*Geometry!$H$22,0)+IF(C38=3,J38*Geometry!$I$22,0)+IF(C38=4,J38*Geometry!$J$22,0)+IF(C38=5,J38*Geometry!$K$22,0)</f>
        <v>0</v>
      </c>
      <c r="O38" s="59">
        <f>IF(C38=1,J38*Geometry!$G$23,0)+IF(C38=2,J38*Geometry!$H$23,0)+IF(C38=3,J38*Geometry!$I$23,0)+IF(C38=4,J38*Geometry!$J$23,0)+IF(C38=5,J38*Geometry!$K$23,0)</f>
        <v>0</v>
      </c>
      <c r="P38">
        <f>IF(C38=1,J38*Geometry!$G$24,0)+IF(C38=2,J38*Geometry!$H$24,0)+IF(C38=3,J38*Geometry!$I$24,0)+IF(C38=4,J38*Geometry!$J$24,0)+IF(C38=5,J38*Geometry!$K$24,0)</f>
        <v>0</v>
      </c>
    </row>
    <row r="39" spans="1:16">
      <c r="A39" s="7">
        <f t="shared" si="3"/>
        <v>33</v>
      </c>
      <c r="B39" s="7"/>
      <c r="C39" s="7">
        <f t="shared" si="4"/>
        <v>3</v>
      </c>
      <c r="D39" s="69">
        <f>D38+Geometry!$C$15</f>
        <v>302.5</v>
      </c>
      <c r="E39" s="69">
        <f t="shared" si="5"/>
        <v>-96.25</v>
      </c>
      <c r="F39" s="12">
        <f>Geometry!$D$12*D39</f>
        <v>11.319000000000001</v>
      </c>
      <c r="G39" s="12">
        <f t="shared" si="0"/>
        <v>0</v>
      </c>
      <c r="H39" s="12">
        <f>IF(ABS(E39*E39)&lt;=Geometry!$E$10,SQRT(Geometry!$E$10-E39*E39),0)</f>
        <v>0</v>
      </c>
      <c r="I39" s="12">
        <f t="shared" si="1"/>
        <v>0</v>
      </c>
      <c r="J39" s="15">
        <f t="shared" ref="J39:J70" si="6">PI()*H39*H39</f>
        <v>0</v>
      </c>
      <c r="K39" s="59">
        <f>IF(C39=1,J39*Geometry!$G$21,0)+IF(C39=2,J39*Geometry!$H$21,0)+IF(C39=3,J39*Geometry!$I$21,0)+IF(C39=4,J39*Geometry!$J$21,0)+IF(C39=5,J39*Geometry!$K$21,0)</f>
        <v>0</v>
      </c>
      <c r="L39" s="59">
        <f>IF(C39=1,J39*Geometry!$G$20,0)+IF(C39=2,J39*Geometry!$H$20,0)+IF(C39=3,J39*Geometry!$I$20,0)+IF(C39=4,J39*Geometry!$J$20,0)+IF(C39=5,J39*Geometry!$K$20,0)</f>
        <v>0</v>
      </c>
      <c r="M39" s="59">
        <f>IF(C39=1,J39*Geometry!$G$19,0)+IF(C39=2,J39*Geometry!$H$19,0)+IF(C39=3,J39*Geometry!$I$19,0)+IF(C39=4,J39*Geometry!$J$19,0)+IF(C39=5,J39*Geometry!$K$19,0)</f>
        <v>0</v>
      </c>
      <c r="N39" s="59">
        <f>IF(C39=1,J39*Geometry!$G$22,0)+IF(C39=2,J39*Geometry!$H$22,0)+IF(C39=3,J39*Geometry!$I$22,0)+IF(C39=4,J39*Geometry!$J$22,0)+IF(C39=5,J39*Geometry!$K$22,0)</f>
        <v>0</v>
      </c>
      <c r="O39" s="59">
        <f>IF(C39=1,J39*Geometry!$G$23,0)+IF(C39=2,J39*Geometry!$H$23,0)+IF(C39=3,J39*Geometry!$I$23,0)+IF(C39=4,J39*Geometry!$J$23,0)+IF(C39=5,J39*Geometry!$K$23,0)</f>
        <v>0</v>
      </c>
      <c r="P39">
        <f>IF(C39=1,J39*Geometry!$G$24,0)+IF(C39=2,J39*Geometry!$H$24,0)+IF(C39=3,J39*Geometry!$I$24,0)+IF(C39=4,J39*Geometry!$J$24,0)+IF(C39=5,J39*Geometry!$K$24,0)</f>
        <v>0</v>
      </c>
    </row>
    <row r="40" spans="1:16">
      <c r="A40" s="7">
        <f t="shared" ref="A40:A71" si="7">A39+1</f>
        <v>34</v>
      </c>
      <c r="B40" s="7"/>
      <c r="C40" s="7">
        <f t="shared" si="4"/>
        <v>3</v>
      </c>
      <c r="D40" s="69">
        <f>D39+Geometry!$C$15</f>
        <v>307.5</v>
      </c>
      <c r="E40" s="69">
        <f t="shared" si="5"/>
        <v>-101.25</v>
      </c>
      <c r="F40" s="12">
        <f>Geometry!$D$12*D40</f>
        <v>11.50609090909091</v>
      </c>
      <c r="G40" s="12">
        <f t="shared" si="0"/>
        <v>0</v>
      </c>
      <c r="H40" s="12">
        <f>IF(ABS(E40*E40)&lt;=Geometry!$E$10,SQRT(Geometry!$E$10-E40*E40),0)</f>
        <v>0</v>
      </c>
      <c r="I40" s="12">
        <f t="shared" si="1"/>
        <v>0</v>
      </c>
      <c r="J40" s="15">
        <f t="shared" si="6"/>
        <v>0</v>
      </c>
      <c r="K40" s="59">
        <f>IF(C40=1,J40*Geometry!$G$21,0)+IF(C40=2,J40*Geometry!$H$21,0)+IF(C40=3,J40*Geometry!$I$21,0)+IF(C40=4,J40*Geometry!$J$21,0)+IF(C40=5,J40*Geometry!$K$21,0)</f>
        <v>0</v>
      </c>
      <c r="L40" s="59">
        <f>IF(C40=1,J40*Geometry!$G$20,0)+IF(C40=2,J40*Geometry!$H$20,0)+IF(C40=3,J40*Geometry!$I$20,0)+IF(C40=4,J40*Geometry!$J$20,0)+IF(C40=5,J40*Geometry!$K$20,0)</f>
        <v>0</v>
      </c>
      <c r="M40" s="59">
        <f>IF(C40=1,J40*Geometry!$G$19,0)+IF(C40=2,J40*Geometry!$H$19,0)+IF(C40=3,J40*Geometry!$I$19,0)+IF(C40=4,J40*Geometry!$J$19,0)+IF(C40=5,J40*Geometry!$K$19,0)</f>
        <v>0</v>
      </c>
      <c r="N40" s="59">
        <f>IF(C40=1,J40*Geometry!$G$22,0)+IF(C40=2,J40*Geometry!$H$22,0)+IF(C40=3,J40*Geometry!$I$22,0)+IF(C40=4,J40*Geometry!$J$22,0)+IF(C40=5,J40*Geometry!$K$22,0)</f>
        <v>0</v>
      </c>
      <c r="O40" s="59">
        <f>IF(C40=1,J40*Geometry!$G$23,0)+IF(C40=2,J40*Geometry!$H$23,0)+IF(C40=3,J40*Geometry!$I$23,0)+IF(C40=4,J40*Geometry!$J$23,0)+IF(C40=5,J40*Geometry!$K$23,0)</f>
        <v>0</v>
      </c>
      <c r="P40">
        <f>IF(C40=1,J40*Geometry!$G$24,0)+IF(C40=2,J40*Geometry!$H$24,0)+IF(C40=3,J40*Geometry!$I$24,0)+IF(C40=4,J40*Geometry!$J$24,0)+IF(C40=5,J40*Geometry!$K$24,0)</f>
        <v>0</v>
      </c>
    </row>
    <row r="41" spans="1:16">
      <c r="A41" s="7">
        <f t="shared" si="7"/>
        <v>35</v>
      </c>
      <c r="B41" s="7"/>
      <c r="C41" s="7">
        <f t="shared" si="4"/>
        <v>3</v>
      </c>
      <c r="D41" s="69">
        <f>D40+Geometry!$C$15</f>
        <v>312.5</v>
      </c>
      <c r="E41" s="69">
        <f t="shared" si="5"/>
        <v>-106.25</v>
      </c>
      <c r="F41" s="12">
        <f>Geometry!$D$12*D41</f>
        <v>11.69318181818182</v>
      </c>
      <c r="G41" s="12">
        <f t="shared" si="0"/>
        <v>0</v>
      </c>
      <c r="H41" s="12">
        <f>IF(ABS(E41*E41)&lt;=Geometry!$E$10,SQRT(Geometry!$E$10-E41*E41),0)</f>
        <v>0</v>
      </c>
      <c r="I41" s="12">
        <f t="shared" si="1"/>
        <v>0</v>
      </c>
      <c r="J41" s="15">
        <f t="shared" si="6"/>
        <v>0</v>
      </c>
      <c r="K41" s="59">
        <f>IF(C41=1,J41*Geometry!$G$21,0)+IF(C41=2,J41*Geometry!$H$21,0)+IF(C41=3,J41*Geometry!$I$21,0)+IF(C41=4,J41*Geometry!$J$21,0)+IF(C41=5,J41*Geometry!$K$21,0)</f>
        <v>0</v>
      </c>
      <c r="L41" s="59">
        <f>IF(C41=1,J41*Geometry!$G$20,0)+IF(C41=2,J41*Geometry!$H$20,0)+IF(C41=3,J41*Geometry!$I$20,0)+IF(C41=4,J41*Geometry!$J$20,0)+IF(C41=5,J41*Geometry!$K$20,0)</f>
        <v>0</v>
      </c>
      <c r="M41" s="59">
        <f>IF(C41=1,J41*Geometry!$G$19,0)+IF(C41=2,J41*Geometry!$H$19,0)+IF(C41=3,J41*Geometry!$I$19,0)+IF(C41=4,J41*Geometry!$J$19,0)+IF(C41=5,J41*Geometry!$K$19,0)</f>
        <v>0</v>
      </c>
      <c r="N41" s="59">
        <f>IF(C41=1,J41*Geometry!$G$22,0)+IF(C41=2,J41*Geometry!$H$22,0)+IF(C41=3,J41*Geometry!$I$22,0)+IF(C41=4,J41*Geometry!$J$22,0)+IF(C41=5,J41*Geometry!$K$22,0)</f>
        <v>0</v>
      </c>
      <c r="O41" s="59">
        <f>IF(C41=1,J41*Geometry!$G$23,0)+IF(C41=2,J41*Geometry!$H$23,0)+IF(C41=3,J41*Geometry!$I$23,0)+IF(C41=4,J41*Geometry!$J$23,0)+IF(C41=5,J41*Geometry!$K$23,0)</f>
        <v>0</v>
      </c>
      <c r="P41">
        <f>IF(C41=1,J41*Geometry!$G$24,0)+IF(C41=2,J41*Geometry!$H$24,0)+IF(C41=3,J41*Geometry!$I$24,0)+IF(C41=4,J41*Geometry!$J$24,0)+IF(C41=5,J41*Geometry!$K$24,0)</f>
        <v>0</v>
      </c>
    </row>
    <row r="42" spans="1:16">
      <c r="A42">
        <f t="shared" si="7"/>
        <v>36</v>
      </c>
      <c r="C42" s="7">
        <f t="shared" si="4"/>
        <v>3</v>
      </c>
      <c r="D42" s="69">
        <f>D41+Geometry!$C$15</f>
        <v>317.5</v>
      </c>
      <c r="E42" s="59">
        <f t="shared" si="5"/>
        <v>-111.25</v>
      </c>
      <c r="F42" s="4">
        <f>Geometry!$D$12*D42</f>
        <v>11.880272727272729</v>
      </c>
      <c r="G42" s="4">
        <f t="shared" si="0"/>
        <v>0</v>
      </c>
      <c r="H42" s="4">
        <f>IF(ABS(E42*E42)&lt;=Geometry!$E$10,SQRT(Geometry!$E$10-E42*E42),0)</f>
        <v>0</v>
      </c>
      <c r="I42" s="4">
        <f t="shared" si="1"/>
        <v>0</v>
      </c>
      <c r="J42" s="5">
        <f t="shared" si="6"/>
        <v>0</v>
      </c>
      <c r="K42" s="59">
        <f>IF(C42=1,J42*Geometry!$G$21,0)+IF(C42=2,J42*Geometry!$H$21,0)+IF(C42=3,J42*Geometry!$I$21,0)+IF(C42=4,J42*Geometry!$J$21,0)+IF(C42=5,J42*Geometry!$K$21,0)</f>
        <v>0</v>
      </c>
      <c r="L42" s="59">
        <f>IF(C42=1,J42*Geometry!$G$20,0)+IF(C42=2,J42*Geometry!$H$20,0)+IF(C42=3,J42*Geometry!$I$20,0)+IF(C42=4,J42*Geometry!$J$20,0)+IF(C42=5,J42*Geometry!$K$20,0)</f>
        <v>0</v>
      </c>
      <c r="M42" s="59">
        <f>IF(C42=1,J42*Geometry!$G$19,0)+IF(C42=2,J42*Geometry!$H$19,0)+IF(C42=3,J42*Geometry!$I$19,0)+IF(C42=4,J42*Geometry!$J$19,0)+IF(C42=5,J42*Geometry!$K$19,0)</f>
        <v>0</v>
      </c>
      <c r="N42" s="59">
        <f>IF(C42=1,J42*Geometry!$G$22,0)+IF(C42=2,J42*Geometry!$H$22,0)+IF(C42=3,J42*Geometry!$I$22,0)+IF(C42=4,J42*Geometry!$J$22,0)+IF(C42=5,J42*Geometry!$K$22,0)</f>
        <v>0</v>
      </c>
      <c r="O42" s="59">
        <f>IF(C42=1,J42*Geometry!$G$23,0)+IF(C42=2,J42*Geometry!$H$23,0)+IF(C42=3,J42*Geometry!$I$23,0)+IF(C42=4,J42*Geometry!$J$23,0)+IF(C42=5,J42*Geometry!$K$23,0)</f>
        <v>0</v>
      </c>
      <c r="P42">
        <f>IF(C42=1,J42*Geometry!$G$24,0)+IF(C42=2,J42*Geometry!$H$24,0)+IF(C42=3,J42*Geometry!$I$24,0)+IF(C42=4,J42*Geometry!$J$24,0)+IF(C42=5,J42*Geometry!$K$24,0)</f>
        <v>0</v>
      </c>
    </row>
    <row r="43" spans="1:16">
      <c r="A43">
        <f t="shared" si="7"/>
        <v>37</v>
      </c>
      <c r="C43" s="7">
        <f t="shared" si="4"/>
        <v>3</v>
      </c>
      <c r="D43" s="69">
        <f>D42+Geometry!$C$15</f>
        <v>322.5</v>
      </c>
      <c r="E43" s="59">
        <f t="shared" si="5"/>
        <v>-116.25</v>
      </c>
      <c r="F43" s="4">
        <f>Geometry!$D$12*D43</f>
        <v>12.067363636363638</v>
      </c>
      <c r="G43" s="4">
        <f t="shared" si="0"/>
        <v>0</v>
      </c>
      <c r="H43" s="4">
        <f>IF(ABS(E43*E43)&lt;=Geometry!$E$10,SQRT(Geometry!$E$10-E43*E43),0)</f>
        <v>0</v>
      </c>
      <c r="I43" s="4">
        <f t="shared" si="1"/>
        <v>0</v>
      </c>
      <c r="J43" s="5">
        <f t="shared" si="6"/>
        <v>0</v>
      </c>
      <c r="K43" s="59">
        <f>IF(C43=1,J43*Geometry!$G$21,0)+IF(C43=2,J43*Geometry!$H$21,0)+IF(C43=3,J43*Geometry!$I$21,0)+IF(C43=4,J43*Geometry!$J$21,0)+IF(C43=5,J43*Geometry!$K$21,0)</f>
        <v>0</v>
      </c>
      <c r="L43" s="59">
        <f>IF(C43=1,J43*Geometry!$G$20,0)+IF(C43=2,J43*Geometry!$H$20,0)+IF(C43=3,J43*Geometry!$I$20,0)+IF(C43=4,J43*Geometry!$J$20,0)+IF(C43=5,J43*Geometry!$K$20,0)</f>
        <v>0</v>
      </c>
      <c r="M43" s="59">
        <f>IF(C43=1,J43*Geometry!$G$19,0)+IF(C43=2,J43*Geometry!$H$19,0)+IF(C43=3,J43*Geometry!$I$19,0)+IF(C43=4,J43*Geometry!$J$19,0)+IF(C43=5,J43*Geometry!$K$19,0)</f>
        <v>0</v>
      </c>
      <c r="N43" s="59">
        <f>IF(C43=1,J43*Geometry!$G$22,0)+IF(C43=2,J43*Geometry!$H$22,0)+IF(C43=3,J43*Geometry!$I$22,0)+IF(C43=4,J43*Geometry!$J$22,0)+IF(C43=5,J43*Geometry!$K$22,0)</f>
        <v>0</v>
      </c>
      <c r="O43" s="59">
        <f>IF(C43=1,J43*Geometry!$G$23,0)+IF(C43=2,J43*Geometry!$H$23,0)+IF(C43=3,J43*Geometry!$I$23,0)+IF(C43=4,J43*Geometry!$J$23,0)+IF(C43=5,J43*Geometry!$K$23,0)</f>
        <v>0</v>
      </c>
      <c r="P43">
        <f>IF(C43=1,J43*Geometry!$G$24,0)+IF(C43=2,J43*Geometry!$H$24,0)+IF(C43=3,J43*Geometry!$I$24,0)+IF(C43=4,J43*Geometry!$J$24,0)+IF(C43=5,J43*Geometry!$K$24,0)</f>
        <v>0</v>
      </c>
    </row>
    <row r="44" spans="1:16">
      <c r="A44">
        <f t="shared" si="7"/>
        <v>38</v>
      </c>
      <c r="C44" s="7">
        <f t="shared" si="4"/>
        <v>3</v>
      </c>
      <c r="D44" s="69">
        <f>D43+Geometry!$C$15</f>
        <v>327.5</v>
      </c>
      <c r="E44" s="59">
        <f t="shared" si="5"/>
        <v>-121.25</v>
      </c>
      <c r="F44" s="4">
        <f>Geometry!$D$12*D44</f>
        <v>12.254454545454546</v>
      </c>
      <c r="G44" s="4">
        <f t="shared" si="0"/>
        <v>0</v>
      </c>
      <c r="H44" s="4">
        <f>IF(ABS(E44*E44)&lt;=Geometry!$E$10,SQRT(Geometry!$E$10-E44*E44),0)</f>
        <v>0</v>
      </c>
      <c r="I44" s="4">
        <f t="shared" si="1"/>
        <v>0</v>
      </c>
      <c r="J44" s="5">
        <f t="shared" si="6"/>
        <v>0</v>
      </c>
      <c r="K44" s="59">
        <f>IF(C44=1,J44*Geometry!$G$21,0)+IF(C44=2,J44*Geometry!$H$21,0)+IF(C44=3,J44*Geometry!$I$21,0)+IF(C44=4,J44*Geometry!$J$21,0)+IF(C44=5,J44*Geometry!$K$21,0)</f>
        <v>0</v>
      </c>
      <c r="L44" s="59">
        <f>IF(C44=1,J44*Geometry!$G$20,0)+IF(C44=2,J44*Geometry!$H$20,0)+IF(C44=3,J44*Geometry!$I$20,0)+IF(C44=4,J44*Geometry!$J$20,0)+IF(C44=5,J44*Geometry!$K$20,0)</f>
        <v>0</v>
      </c>
      <c r="M44" s="59">
        <f>IF(C44=1,J44*Geometry!$G$19,0)+IF(C44=2,J44*Geometry!$H$19,0)+IF(C44=3,J44*Geometry!$I$19,0)+IF(C44=4,J44*Geometry!$J$19,0)+IF(C44=5,J44*Geometry!$K$19,0)</f>
        <v>0</v>
      </c>
      <c r="N44" s="59">
        <f>IF(C44=1,J44*Geometry!$G$22,0)+IF(C44=2,J44*Geometry!$H$22,0)+IF(C44=3,J44*Geometry!$I$22,0)+IF(C44=4,J44*Geometry!$J$22,0)+IF(C44=5,J44*Geometry!$K$22,0)</f>
        <v>0</v>
      </c>
      <c r="O44" s="59">
        <f>IF(C44=1,J44*Geometry!$G$23,0)+IF(C44=2,J44*Geometry!$H$23,0)+IF(C44=3,J44*Geometry!$I$23,0)+IF(C44=4,J44*Geometry!$J$23,0)+IF(C44=5,J44*Geometry!$K$23,0)</f>
        <v>0</v>
      </c>
      <c r="P44">
        <f>IF(C44=1,J44*Geometry!$G$24,0)+IF(C44=2,J44*Geometry!$H$24,0)+IF(C44=3,J44*Geometry!$I$24,0)+IF(C44=4,J44*Geometry!$J$24,0)+IF(C44=5,J44*Geometry!$K$24,0)</f>
        <v>0</v>
      </c>
    </row>
    <row r="45" spans="1:16">
      <c r="A45">
        <f t="shared" si="7"/>
        <v>39</v>
      </c>
      <c r="C45" s="7">
        <f t="shared" si="4"/>
        <v>3</v>
      </c>
      <c r="D45" s="69">
        <f>D44+Geometry!$C$15</f>
        <v>332.5</v>
      </c>
      <c r="E45" s="59">
        <f t="shared" si="5"/>
        <v>-126.25</v>
      </c>
      <c r="F45" s="4">
        <f>Geometry!$D$12*D45</f>
        <v>12.441545454545457</v>
      </c>
      <c r="G45" s="4">
        <f t="shared" si="0"/>
        <v>0</v>
      </c>
      <c r="H45" s="4">
        <f>IF(ABS(E45*E45)&lt;=Geometry!$E$10,SQRT(Geometry!$E$10-E45*E45),0)</f>
        <v>0</v>
      </c>
      <c r="I45" s="4">
        <f t="shared" si="1"/>
        <v>0</v>
      </c>
      <c r="J45" s="5">
        <f t="shared" si="6"/>
        <v>0</v>
      </c>
      <c r="K45" s="59">
        <f>IF(C45=1,J45*Geometry!$G$21,0)+IF(C45=2,J45*Geometry!$H$21,0)+IF(C45=3,J45*Geometry!$I$21,0)+IF(C45=4,J45*Geometry!$J$21,0)+IF(C45=5,J45*Geometry!$K$21,0)</f>
        <v>0</v>
      </c>
      <c r="L45" s="59">
        <f>IF(C45=1,J45*Geometry!$G$20,0)+IF(C45=2,J45*Geometry!$H$20,0)+IF(C45=3,J45*Geometry!$I$20,0)+IF(C45=4,J45*Geometry!$J$20,0)+IF(C45=5,J45*Geometry!$K$20,0)</f>
        <v>0</v>
      </c>
      <c r="M45" s="59">
        <f>IF(C45=1,J45*Geometry!$G$19,0)+IF(C45=2,J45*Geometry!$H$19,0)+IF(C45=3,J45*Geometry!$I$19,0)+IF(C45=4,J45*Geometry!$J$19,0)+IF(C45=5,J45*Geometry!$K$19,0)</f>
        <v>0</v>
      </c>
      <c r="N45" s="59">
        <f>IF(C45=1,J45*Geometry!$G$22,0)+IF(C45=2,J45*Geometry!$H$22,0)+IF(C45=3,J45*Geometry!$I$22,0)+IF(C45=4,J45*Geometry!$J$22,0)+IF(C45=5,J45*Geometry!$K$22,0)</f>
        <v>0</v>
      </c>
      <c r="O45" s="59">
        <f>IF(C45=1,J45*Geometry!$G$23,0)+IF(C45=2,J45*Geometry!$H$23,0)+IF(C45=3,J45*Geometry!$I$23,0)+IF(C45=4,J45*Geometry!$J$23,0)+IF(C45=5,J45*Geometry!$K$23,0)</f>
        <v>0</v>
      </c>
      <c r="P45">
        <f>IF(C45=1,J45*Geometry!$G$24,0)+IF(C45=2,J45*Geometry!$H$24,0)+IF(C45=3,J45*Geometry!$I$24,0)+IF(C45=4,J45*Geometry!$J$24,0)+IF(C45=5,J45*Geometry!$K$24,0)</f>
        <v>0</v>
      </c>
    </row>
    <row r="46" spans="1:16">
      <c r="A46">
        <f t="shared" si="7"/>
        <v>40</v>
      </c>
      <c r="C46" s="7">
        <f t="shared" si="4"/>
        <v>3</v>
      </c>
      <c r="D46" s="69">
        <f>D45+Geometry!$C$15</f>
        <v>337.5</v>
      </c>
      <c r="E46" s="59">
        <f t="shared" si="5"/>
        <v>-131.25</v>
      </c>
      <c r="F46" s="4">
        <f>Geometry!$D$12*D46</f>
        <v>12.628636363636366</v>
      </c>
      <c r="G46" s="4">
        <f t="shared" si="0"/>
        <v>0</v>
      </c>
      <c r="H46" s="4">
        <f>IF(ABS(E46*E46)&lt;=Geometry!$E$10,SQRT(Geometry!$E$10-E46*E46),0)</f>
        <v>0</v>
      </c>
      <c r="I46" s="4">
        <f t="shared" si="1"/>
        <v>0</v>
      </c>
      <c r="J46" s="5">
        <f t="shared" si="6"/>
        <v>0</v>
      </c>
      <c r="K46" s="59">
        <f>IF(C46=1,J46*Geometry!$G$21,0)+IF(C46=2,J46*Geometry!$H$21,0)+IF(C46=3,J46*Geometry!$I$21,0)+IF(C46=4,J46*Geometry!$J$21,0)+IF(C46=5,J46*Geometry!$K$21,0)</f>
        <v>0</v>
      </c>
      <c r="L46" s="59">
        <f>IF(C46=1,J46*Geometry!$G$20,0)+IF(C46=2,J46*Geometry!$H$20,0)+IF(C46=3,J46*Geometry!$I$20,0)+IF(C46=4,J46*Geometry!$J$20,0)+IF(C46=5,J46*Geometry!$K$20,0)</f>
        <v>0</v>
      </c>
      <c r="M46" s="59">
        <f>IF(C46=1,J46*Geometry!$G$19,0)+IF(C46=2,J46*Geometry!$H$19,0)+IF(C46=3,J46*Geometry!$I$19,0)+IF(C46=4,J46*Geometry!$J$19,0)+IF(C46=5,J46*Geometry!$K$19,0)</f>
        <v>0</v>
      </c>
      <c r="N46" s="59">
        <f>IF(C46=1,J46*Geometry!$G$22,0)+IF(C46=2,J46*Geometry!$H$22,0)+IF(C46=3,J46*Geometry!$I$22,0)+IF(C46=4,J46*Geometry!$J$22,0)+IF(C46=5,J46*Geometry!$K$22,0)</f>
        <v>0</v>
      </c>
      <c r="O46" s="59">
        <f>IF(C46=1,J46*Geometry!$G$23,0)+IF(C46=2,J46*Geometry!$H$23,0)+IF(C46=3,J46*Geometry!$I$23,0)+IF(C46=4,J46*Geometry!$J$23,0)+IF(C46=5,J46*Geometry!$K$23,0)</f>
        <v>0</v>
      </c>
      <c r="P46">
        <f>IF(C46=1,J46*Geometry!$G$24,0)+IF(C46=2,J46*Geometry!$H$24,0)+IF(C46=3,J46*Geometry!$I$24,0)+IF(C46=4,J46*Geometry!$J$24,0)+IF(C46=5,J46*Geometry!$K$24,0)</f>
        <v>0</v>
      </c>
    </row>
    <row r="47" spans="1:16">
      <c r="A47">
        <f t="shared" si="7"/>
        <v>41</v>
      </c>
      <c r="C47" s="7">
        <f t="shared" si="4"/>
        <v>3</v>
      </c>
      <c r="D47" s="69">
        <f>D46+Geometry!$C$15</f>
        <v>342.5</v>
      </c>
      <c r="E47" s="59">
        <f t="shared" si="5"/>
        <v>-136.25</v>
      </c>
      <c r="F47" s="4">
        <f>Geometry!$D$12*D47</f>
        <v>12.815727272727274</v>
      </c>
      <c r="G47" s="4">
        <f t="shared" si="0"/>
        <v>0</v>
      </c>
      <c r="H47" s="4">
        <f>IF(ABS(E47*E47)&lt;=Geometry!$E$10,SQRT(Geometry!$E$10-E47*E47),0)</f>
        <v>0</v>
      </c>
      <c r="I47" s="4">
        <f t="shared" si="1"/>
        <v>0</v>
      </c>
      <c r="J47" s="5">
        <f t="shared" si="6"/>
        <v>0</v>
      </c>
      <c r="K47" s="59">
        <f>IF(C47=1,J47*Geometry!$G$21,0)+IF(C47=2,J47*Geometry!$H$21,0)+IF(C47=3,J47*Geometry!$I$21,0)+IF(C47=4,J47*Geometry!$J$21,0)+IF(C47=5,J47*Geometry!$K$21,0)</f>
        <v>0</v>
      </c>
      <c r="L47" s="59">
        <f>IF(C47=1,J47*Geometry!$G$20,0)+IF(C47=2,J47*Geometry!$H$20,0)+IF(C47=3,J47*Geometry!$I$20,0)+IF(C47=4,J47*Geometry!$J$20,0)+IF(C47=5,J47*Geometry!$K$20,0)</f>
        <v>0</v>
      </c>
      <c r="M47" s="59">
        <f>IF(C47=1,J47*Geometry!$G$19,0)+IF(C47=2,J47*Geometry!$H$19,0)+IF(C47=3,J47*Geometry!$I$19,0)+IF(C47=4,J47*Geometry!$J$19,0)+IF(C47=5,J47*Geometry!$K$19,0)</f>
        <v>0</v>
      </c>
      <c r="N47" s="59">
        <f>IF(C47=1,J47*Geometry!$G$22,0)+IF(C47=2,J47*Geometry!$H$22,0)+IF(C47=3,J47*Geometry!$I$22,0)+IF(C47=4,J47*Geometry!$J$22,0)+IF(C47=5,J47*Geometry!$K$22,0)</f>
        <v>0</v>
      </c>
      <c r="O47" s="59">
        <f>IF(C47=1,J47*Geometry!$G$23,0)+IF(C47=2,J47*Geometry!$H$23,0)+IF(C47=3,J47*Geometry!$I$23,0)+IF(C47=4,J47*Geometry!$J$23,0)+IF(C47=5,J47*Geometry!$K$23,0)</f>
        <v>0</v>
      </c>
      <c r="P47">
        <f>IF(C47=1,J47*Geometry!$G$24,0)+IF(C47=2,J47*Geometry!$H$24,0)+IF(C47=3,J47*Geometry!$I$24,0)+IF(C47=4,J47*Geometry!$J$24,0)+IF(C47=5,J47*Geometry!$K$24,0)</f>
        <v>0</v>
      </c>
    </row>
    <row r="48" spans="1:16">
      <c r="A48">
        <f t="shared" si="7"/>
        <v>42</v>
      </c>
      <c r="C48" s="7">
        <f t="shared" si="4"/>
        <v>3</v>
      </c>
      <c r="D48" s="69">
        <f>D47+Geometry!$C$15</f>
        <v>347.5</v>
      </c>
      <c r="E48" s="59">
        <f t="shared" si="5"/>
        <v>-141.25</v>
      </c>
      <c r="F48" s="4">
        <f>Geometry!$D$12*D48</f>
        <v>13.002818181818183</v>
      </c>
      <c r="G48" s="4">
        <f t="shared" si="0"/>
        <v>0</v>
      </c>
      <c r="H48" s="4">
        <f>IF(ABS(E48*E48)&lt;=Geometry!$E$10,SQRT(Geometry!$E$10-E48*E48),0)</f>
        <v>0</v>
      </c>
      <c r="I48" s="4">
        <f t="shared" si="1"/>
        <v>0</v>
      </c>
      <c r="J48" s="5">
        <f t="shared" si="6"/>
        <v>0</v>
      </c>
      <c r="K48" s="59">
        <f>IF(C48=1,J48*Geometry!$G$21,0)+IF(C48=2,J48*Geometry!$H$21,0)+IF(C48=3,J48*Geometry!$I$21,0)+IF(C48=4,J48*Geometry!$J$21,0)+IF(C48=5,J48*Geometry!$K$21,0)</f>
        <v>0</v>
      </c>
      <c r="L48" s="59">
        <f>IF(C48=1,J48*Geometry!$G$20,0)+IF(C48=2,J48*Geometry!$H$20,0)+IF(C48=3,J48*Geometry!$I$20,0)+IF(C48=4,J48*Geometry!$J$20,0)+IF(C48=5,J48*Geometry!$K$20,0)</f>
        <v>0</v>
      </c>
      <c r="M48" s="59">
        <f>IF(C48=1,J48*Geometry!$G$19,0)+IF(C48=2,J48*Geometry!$H$19,0)+IF(C48=3,J48*Geometry!$I$19,0)+IF(C48=4,J48*Geometry!$J$19,0)+IF(C48=5,J48*Geometry!$K$19,0)</f>
        <v>0</v>
      </c>
      <c r="N48" s="59">
        <f>IF(C48=1,J48*Geometry!$G$22,0)+IF(C48=2,J48*Geometry!$H$22,0)+IF(C48=3,J48*Geometry!$I$22,0)+IF(C48=4,J48*Geometry!$J$22,0)+IF(C48=5,J48*Geometry!$K$22,0)</f>
        <v>0</v>
      </c>
      <c r="O48" s="59">
        <f>IF(C48=1,J48*Geometry!$G$23,0)+IF(C48=2,J48*Geometry!$H$23,0)+IF(C48=3,J48*Geometry!$I$23,0)+IF(C48=4,J48*Geometry!$J$23,0)+IF(C48=5,J48*Geometry!$K$23,0)</f>
        <v>0</v>
      </c>
      <c r="P48">
        <f>IF(C48=1,J48*Geometry!$G$24,0)+IF(C48=2,J48*Geometry!$H$24,0)+IF(C48=3,J48*Geometry!$I$24,0)+IF(C48=4,J48*Geometry!$J$24,0)+IF(C48=5,J48*Geometry!$K$24,0)</f>
        <v>0</v>
      </c>
    </row>
    <row r="49" spans="1:16">
      <c r="A49">
        <f t="shared" si="7"/>
        <v>43</v>
      </c>
      <c r="C49" s="7">
        <f t="shared" si="4"/>
        <v>3</v>
      </c>
      <c r="D49" s="69">
        <f>D48+Geometry!$C$15</f>
        <v>352.5</v>
      </c>
      <c r="E49" s="59">
        <f t="shared" si="5"/>
        <v>-146.25</v>
      </c>
      <c r="F49" s="4">
        <f>Geometry!$D$12*D49</f>
        <v>13.189909090909092</v>
      </c>
      <c r="G49" s="4">
        <f t="shared" si="0"/>
        <v>0</v>
      </c>
      <c r="H49" s="4">
        <f>IF(ABS(E49*E49)&lt;=Geometry!$E$10,SQRT(Geometry!$E$10-E49*E49),0)</f>
        <v>0</v>
      </c>
      <c r="I49" s="4">
        <f t="shared" si="1"/>
        <v>0</v>
      </c>
      <c r="J49" s="5">
        <f t="shared" si="6"/>
        <v>0</v>
      </c>
      <c r="K49" s="59">
        <f>IF(C49=1,J49*Geometry!$G$21,0)+IF(C49=2,J49*Geometry!$H$21,0)+IF(C49=3,J49*Geometry!$I$21,0)+IF(C49=4,J49*Geometry!$J$21,0)+IF(C49=5,J49*Geometry!$K$21,0)</f>
        <v>0</v>
      </c>
      <c r="L49" s="59">
        <f>IF(C49=1,J49*Geometry!$G$20,0)+IF(C49=2,J49*Geometry!$H$20,0)+IF(C49=3,J49*Geometry!$I$20,0)+IF(C49=4,J49*Geometry!$J$20,0)+IF(C49=5,J49*Geometry!$K$20,0)</f>
        <v>0</v>
      </c>
      <c r="M49" s="59">
        <f>IF(C49=1,J49*Geometry!$G$19,0)+IF(C49=2,J49*Geometry!$H$19,0)+IF(C49=3,J49*Geometry!$I$19,0)+IF(C49=4,J49*Geometry!$J$19,0)+IF(C49=5,J49*Geometry!$K$19,0)</f>
        <v>0</v>
      </c>
      <c r="N49" s="59">
        <f>IF(C49=1,J49*Geometry!$G$22,0)+IF(C49=2,J49*Geometry!$H$22,0)+IF(C49=3,J49*Geometry!$I$22,0)+IF(C49=4,J49*Geometry!$J$22,0)+IF(C49=5,J49*Geometry!$K$22,0)</f>
        <v>0</v>
      </c>
      <c r="O49" s="59">
        <f>IF(C49=1,J49*Geometry!$G$23,0)+IF(C49=2,J49*Geometry!$H$23,0)+IF(C49=3,J49*Geometry!$I$23,0)+IF(C49=4,J49*Geometry!$J$23,0)+IF(C49=5,J49*Geometry!$K$23,0)</f>
        <v>0</v>
      </c>
      <c r="P49">
        <f>IF(C49=1,J49*Geometry!$G$24,0)+IF(C49=2,J49*Geometry!$H$24,0)+IF(C49=3,J49*Geometry!$I$24,0)+IF(C49=4,J49*Geometry!$J$24,0)+IF(C49=5,J49*Geometry!$K$24,0)</f>
        <v>0</v>
      </c>
    </row>
    <row r="50" spans="1:16">
      <c r="A50">
        <f t="shared" si="7"/>
        <v>44</v>
      </c>
      <c r="C50" s="7">
        <f t="shared" si="4"/>
        <v>3</v>
      </c>
      <c r="D50" s="69">
        <f>D49+Geometry!$C$15</f>
        <v>357.5</v>
      </c>
      <c r="E50" s="59">
        <f t="shared" si="5"/>
        <v>-151.25</v>
      </c>
      <c r="F50" s="4">
        <f>Geometry!$D$12*D50</f>
        <v>13.377000000000002</v>
      </c>
      <c r="G50" s="4">
        <f t="shared" si="0"/>
        <v>0</v>
      </c>
      <c r="H50" s="4">
        <f>IF(ABS(E50*E50)&lt;=Geometry!$E$10,SQRT(Geometry!$E$10-E50*E50),0)</f>
        <v>0</v>
      </c>
      <c r="I50" s="4">
        <f t="shared" si="1"/>
        <v>0</v>
      </c>
      <c r="J50" s="5">
        <f t="shared" si="6"/>
        <v>0</v>
      </c>
      <c r="K50" s="59">
        <f>IF(C50=1,J50*Geometry!$G$21,0)+IF(C50=2,J50*Geometry!$H$21,0)+IF(C50=3,J50*Geometry!$I$21,0)+IF(C50=4,J50*Geometry!$J$21,0)+IF(C50=5,J50*Geometry!$K$21,0)</f>
        <v>0</v>
      </c>
      <c r="L50" s="59">
        <f>IF(C50=1,J50*Geometry!$G$20,0)+IF(C50=2,J50*Geometry!$H$20,0)+IF(C50=3,J50*Geometry!$I$20,0)+IF(C50=4,J50*Geometry!$J$20,0)+IF(C50=5,J50*Geometry!$K$20,0)</f>
        <v>0</v>
      </c>
      <c r="M50" s="59">
        <f>IF(C50=1,J50*Geometry!$G$19,0)+IF(C50=2,J50*Geometry!$H$19,0)+IF(C50=3,J50*Geometry!$I$19,0)+IF(C50=4,J50*Geometry!$J$19,0)+IF(C50=5,J50*Geometry!$K$19,0)</f>
        <v>0</v>
      </c>
      <c r="N50" s="59">
        <f>IF(C50=1,J50*Geometry!$G$22,0)+IF(C50=2,J50*Geometry!$H$22,0)+IF(C50=3,J50*Geometry!$I$22,0)+IF(C50=4,J50*Geometry!$J$22,0)+IF(C50=5,J50*Geometry!$K$22,0)</f>
        <v>0</v>
      </c>
      <c r="O50" s="59">
        <f>IF(C50=1,J50*Geometry!$G$23,0)+IF(C50=2,J50*Geometry!$H$23,0)+IF(C50=3,J50*Geometry!$I$23,0)+IF(C50=4,J50*Geometry!$J$23,0)+IF(C50=5,J50*Geometry!$K$23,0)</f>
        <v>0</v>
      </c>
      <c r="P50">
        <f>IF(C50=1,J50*Geometry!$G$24,0)+IF(C50=2,J50*Geometry!$H$24,0)+IF(C50=3,J50*Geometry!$I$24,0)+IF(C50=4,J50*Geometry!$J$24,0)+IF(C50=5,J50*Geometry!$K$24,0)</f>
        <v>0</v>
      </c>
    </row>
    <row r="51" spans="1:16">
      <c r="A51">
        <f t="shared" si="7"/>
        <v>45</v>
      </c>
      <c r="C51" s="7">
        <f t="shared" si="4"/>
        <v>3</v>
      </c>
      <c r="D51" s="69">
        <f>D50+Geometry!$C$15</f>
        <v>362.5</v>
      </c>
      <c r="E51" s="59">
        <f t="shared" si="5"/>
        <v>-156.25</v>
      </c>
      <c r="F51" s="4">
        <f>Geometry!$D$12*D51</f>
        <v>13.564090909090911</v>
      </c>
      <c r="G51" s="4">
        <f t="shared" si="0"/>
        <v>0</v>
      </c>
      <c r="H51" s="4">
        <f>IF(ABS(E51*E51)&lt;=Geometry!$E$10,SQRT(Geometry!$E$10-E51*E51),0)</f>
        <v>0</v>
      </c>
      <c r="I51" s="4">
        <f t="shared" si="1"/>
        <v>0</v>
      </c>
      <c r="J51" s="5">
        <f t="shared" si="6"/>
        <v>0</v>
      </c>
      <c r="K51" s="59">
        <f>IF(C51=1,J51*Geometry!$G$21,0)+IF(C51=2,J51*Geometry!$H$21,0)+IF(C51=3,J51*Geometry!$I$21,0)+IF(C51=4,J51*Geometry!$J$21,0)+IF(C51=5,J51*Geometry!$K$21,0)</f>
        <v>0</v>
      </c>
      <c r="L51" s="59">
        <f>IF(C51=1,J51*Geometry!$G$20,0)+IF(C51=2,J51*Geometry!$H$20,0)+IF(C51=3,J51*Geometry!$I$20,0)+IF(C51=4,J51*Geometry!$J$20,0)+IF(C51=5,J51*Geometry!$K$20,0)</f>
        <v>0</v>
      </c>
      <c r="M51" s="59">
        <f>IF(C51=1,J51*Geometry!$G$19,0)+IF(C51=2,J51*Geometry!$H$19,0)+IF(C51=3,J51*Geometry!$I$19,0)+IF(C51=4,J51*Geometry!$J$19,0)+IF(C51=5,J51*Geometry!$K$19,0)</f>
        <v>0</v>
      </c>
      <c r="N51" s="59">
        <f>IF(C51=1,J51*Geometry!$G$22,0)+IF(C51=2,J51*Geometry!$H$22,0)+IF(C51=3,J51*Geometry!$I$22,0)+IF(C51=4,J51*Geometry!$J$22,0)+IF(C51=5,J51*Geometry!$K$22,0)</f>
        <v>0</v>
      </c>
      <c r="O51" s="59">
        <f>IF(C51=1,J51*Geometry!$G$23,0)+IF(C51=2,J51*Geometry!$H$23,0)+IF(C51=3,J51*Geometry!$I$23,0)+IF(C51=4,J51*Geometry!$J$23,0)+IF(C51=5,J51*Geometry!$K$23,0)</f>
        <v>0</v>
      </c>
      <c r="P51">
        <f>IF(C51=1,J51*Geometry!$G$24,0)+IF(C51=2,J51*Geometry!$H$24,0)+IF(C51=3,J51*Geometry!$I$24,0)+IF(C51=4,J51*Geometry!$J$24,0)+IF(C51=5,J51*Geometry!$K$24,0)</f>
        <v>0</v>
      </c>
    </row>
    <row r="52" spans="1:16">
      <c r="A52">
        <f t="shared" si="7"/>
        <v>46</v>
      </c>
      <c r="C52" s="7">
        <f t="shared" si="4"/>
        <v>3</v>
      </c>
      <c r="D52" s="69">
        <f>D51+Geometry!$C$15</f>
        <v>367.5</v>
      </c>
      <c r="E52" s="59">
        <f t="shared" si="5"/>
        <v>-161.25</v>
      </c>
      <c r="F52" s="4">
        <f>Geometry!$D$12*D52</f>
        <v>13.75118181818182</v>
      </c>
      <c r="G52" s="4">
        <f t="shared" si="0"/>
        <v>0</v>
      </c>
      <c r="H52" s="4">
        <f>IF(ABS(E52*E52)&lt;=Geometry!$E$10,SQRT(Geometry!$E$10-E52*E52),0)</f>
        <v>0</v>
      </c>
      <c r="I52" s="4">
        <f t="shared" si="1"/>
        <v>0</v>
      </c>
      <c r="J52" s="5">
        <f t="shared" si="6"/>
        <v>0</v>
      </c>
      <c r="K52" s="59">
        <f>IF(C52=1,J52*Geometry!$G$21,0)+IF(C52=2,J52*Geometry!$H$21,0)+IF(C52=3,J52*Geometry!$I$21,0)+IF(C52=4,J52*Geometry!$J$21,0)+IF(C52=5,J52*Geometry!$K$21,0)</f>
        <v>0</v>
      </c>
      <c r="L52" s="59">
        <f>IF(C52=1,J52*Geometry!$G$20,0)+IF(C52=2,J52*Geometry!$H$20,0)+IF(C52=3,J52*Geometry!$I$20,0)+IF(C52=4,J52*Geometry!$J$20,0)+IF(C52=5,J52*Geometry!$K$20,0)</f>
        <v>0</v>
      </c>
      <c r="M52" s="59">
        <f>IF(C52=1,J52*Geometry!$G$19,0)+IF(C52=2,J52*Geometry!$H$19,0)+IF(C52=3,J52*Geometry!$I$19,0)+IF(C52=4,J52*Geometry!$J$19,0)+IF(C52=5,J52*Geometry!$K$19,0)</f>
        <v>0</v>
      </c>
      <c r="N52" s="59">
        <f>IF(C52=1,J52*Geometry!$G$22,0)+IF(C52=2,J52*Geometry!$H$22,0)+IF(C52=3,J52*Geometry!$I$22,0)+IF(C52=4,J52*Geometry!$J$22,0)+IF(C52=5,J52*Geometry!$K$22,0)</f>
        <v>0</v>
      </c>
      <c r="O52" s="59">
        <f>IF(C52=1,J52*Geometry!$G$23,0)+IF(C52=2,J52*Geometry!$H$23,0)+IF(C52=3,J52*Geometry!$I$23,0)+IF(C52=4,J52*Geometry!$J$23,0)+IF(C52=5,J52*Geometry!$K$23,0)</f>
        <v>0</v>
      </c>
      <c r="P52">
        <f>IF(C52=1,J52*Geometry!$G$24,0)+IF(C52=2,J52*Geometry!$H$24,0)+IF(C52=3,J52*Geometry!$I$24,0)+IF(C52=4,J52*Geometry!$J$24,0)+IF(C52=5,J52*Geometry!$K$24,0)</f>
        <v>0</v>
      </c>
    </row>
    <row r="53" spans="1:16">
      <c r="A53">
        <f t="shared" si="7"/>
        <v>47</v>
      </c>
      <c r="C53" s="7">
        <f t="shared" si="4"/>
        <v>3</v>
      </c>
      <c r="D53" s="69">
        <f>D52+Geometry!$C$15</f>
        <v>372.5</v>
      </c>
      <c r="E53" s="59">
        <f t="shared" si="5"/>
        <v>-166.25</v>
      </c>
      <c r="F53" s="4">
        <f>Geometry!$D$12*D53</f>
        <v>13.938272727272729</v>
      </c>
      <c r="G53" s="4">
        <f t="shared" si="0"/>
        <v>0</v>
      </c>
      <c r="H53" s="4">
        <f>IF(ABS(E53*E53)&lt;=Geometry!$E$10,SQRT(Geometry!$E$10-E53*E53),0)</f>
        <v>0</v>
      </c>
      <c r="I53" s="4">
        <f t="shared" si="1"/>
        <v>0</v>
      </c>
      <c r="J53" s="5">
        <f t="shared" si="6"/>
        <v>0</v>
      </c>
      <c r="K53" s="59">
        <f>IF(C53=1,J53*Geometry!$G$21,0)+IF(C53=2,J53*Geometry!$H$21,0)+IF(C53=3,J53*Geometry!$I$21,0)+IF(C53=4,J53*Geometry!$J$21,0)+IF(C53=5,J53*Geometry!$K$21,0)</f>
        <v>0</v>
      </c>
      <c r="L53" s="59">
        <f>IF(C53=1,J53*Geometry!$G$20,0)+IF(C53=2,J53*Geometry!$H$20,0)+IF(C53=3,J53*Geometry!$I$20,0)+IF(C53=4,J53*Geometry!$J$20,0)+IF(C53=5,J53*Geometry!$K$20,0)</f>
        <v>0</v>
      </c>
      <c r="M53" s="59">
        <f>IF(C53=1,J53*Geometry!$G$19,0)+IF(C53=2,J53*Geometry!$H$19,0)+IF(C53=3,J53*Geometry!$I$19,0)+IF(C53=4,J53*Geometry!$J$19,0)+IF(C53=5,J53*Geometry!$K$19,0)</f>
        <v>0</v>
      </c>
      <c r="N53" s="59">
        <f>IF(C53=1,J53*Geometry!$G$22,0)+IF(C53=2,J53*Geometry!$H$22,0)+IF(C53=3,J53*Geometry!$I$22,0)+IF(C53=4,J53*Geometry!$J$22,0)+IF(C53=5,J53*Geometry!$K$22,0)</f>
        <v>0</v>
      </c>
      <c r="O53" s="59">
        <f>IF(C53=1,J53*Geometry!$G$23,0)+IF(C53=2,J53*Geometry!$H$23,0)+IF(C53=3,J53*Geometry!$I$23,0)+IF(C53=4,J53*Geometry!$J$23,0)+IF(C53=5,J53*Geometry!$K$23,0)</f>
        <v>0</v>
      </c>
      <c r="P53">
        <f>IF(C53=1,J53*Geometry!$G$24,0)+IF(C53=2,J53*Geometry!$H$24,0)+IF(C53=3,J53*Geometry!$I$24,0)+IF(C53=4,J53*Geometry!$J$24,0)+IF(C53=5,J53*Geometry!$K$24,0)</f>
        <v>0</v>
      </c>
    </row>
    <row r="54" spans="1:16">
      <c r="A54">
        <f t="shared" si="7"/>
        <v>48</v>
      </c>
      <c r="C54" s="7">
        <f t="shared" si="4"/>
        <v>3</v>
      </c>
      <c r="D54" s="69">
        <f>D53+Geometry!$C$15</f>
        <v>377.5</v>
      </c>
      <c r="E54" s="59">
        <f t="shared" si="5"/>
        <v>-171.25</v>
      </c>
      <c r="F54" s="4">
        <f>Geometry!$D$12*D54</f>
        <v>14.125363636363637</v>
      </c>
      <c r="G54" s="4">
        <f t="shared" si="0"/>
        <v>0</v>
      </c>
      <c r="H54" s="4">
        <f>IF(ABS(E54*E54)&lt;=Geometry!$E$10,SQRT(Geometry!$E$10-E54*E54),0)</f>
        <v>0</v>
      </c>
      <c r="I54" s="4">
        <f t="shared" si="1"/>
        <v>0</v>
      </c>
      <c r="J54" s="5">
        <f t="shared" si="6"/>
        <v>0</v>
      </c>
      <c r="K54" s="59">
        <f>IF(C54=1,J54*Geometry!$G$21,0)+IF(C54=2,J54*Geometry!$H$21,0)+IF(C54=3,J54*Geometry!$I$21,0)+IF(C54=4,J54*Geometry!$J$21,0)+IF(C54=5,J54*Geometry!$K$21,0)</f>
        <v>0</v>
      </c>
      <c r="L54" s="59">
        <f>IF(C54=1,J54*Geometry!$G$20,0)+IF(C54=2,J54*Geometry!$H$20,0)+IF(C54=3,J54*Geometry!$I$20,0)+IF(C54=4,J54*Geometry!$J$20,0)+IF(C54=5,J54*Geometry!$K$20,0)</f>
        <v>0</v>
      </c>
      <c r="M54" s="59">
        <f>IF(C54=1,J54*Geometry!$G$19,0)+IF(C54=2,J54*Geometry!$H$19,0)+IF(C54=3,J54*Geometry!$I$19,0)+IF(C54=4,J54*Geometry!$J$19,0)+IF(C54=5,J54*Geometry!$K$19,0)</f>
        <v>0</v>
      </c>
      <c r="N54" s="59">
        <f>IF(C54=1,J54*Geometry!$G$22,0)+IF(C54=2,J54*Geometry!$H$22,0)+IF(C54=3,J54*Geometry!$I$22,0)+IF(C54=4,J54*Geometry!$J$22,0)+IF(C54=5,J54*Geometry!$K$22,0)</f>
        <v>0</v>
      </c>
      <c r="O54" s="59">
        <f>IF(C54=1,J54*Geometry!$G$23,0)+IF(C54=2,J54*Geometry!$H$23,0)+IF(C54=3,J54*Geometry!$I$23,0)+IF(C54=4,J54*Geometry!$J$23,0)+IF(C54=5,J54*Geometry!$K$23,0)</f>
        <v>0</v>
      </c>
      <c r="P54">
        <f>IF(C54=1,J54*Geometry!$G$24,0)+IF(C54=2,J54*Geometry!$H$24,0)+IF(C54=3,J54*Geometry!$I$24,0)+IF(C54=4,J54*Geometry!$J$24,0)+IF(C54=5,J54*Geometry!$K$24,0)</f>
        <v>0</v>
      </c>
    </row>
    <row r="55" spans="1:16">
      <c r="A55">
        <f t="shared" si="7"/>
        <v>49</v>
      </c>
      <c r="C55" s="7">
        <f t="shared" si="4"/>
        <v>3</v>
      </c>
      <c r="D55" s="69">
        <f>D54+Geometry!$C$15</f>
        <v>382.5</v>
      </c>
      <c r="E55" s="59">
        <f t="shared" si="5"/>
        <v>-176.25</v>
      </c>
      <c r="F55" s="4">
        <f>Geometry!$D$12*D55</f>
        <v>14.312454545454548</v>
      </c>
      <c r="G55" s="4">
        <f t="shared" si="0"/>
        <v>0</v>
      </c>
      <c r="H55" s="4">
        <f>IF(ABS(E55*E55)&lt;=Geometry!$E$10,SQRT(Geometry!$E$10-E55*E55),0)</f>
        <v>0</v>
      </c>
      <c r="I55" s="4">
        <f t="shared" si="1"/>
        <v>0</v>
      </c>
      <c r="J55" s="5">
        <f t="shared" si="6"/>
        <v>0</v>
      </c>
      <c r="K55" s="59">
        <f>IF(C55=1,J55*Geometry!$G$21,0)+IF(C55=2,J55*Geometry!$H$21,0)+IF(C55=3,J55*Geometry!$I$21,0)+IF(C55=4,J55*Geometry!$J$21,0)+IF(C55=5,J55*Geometry!$K$21,0)</f>
        <v>0</v>
      </c>
      <c r="L55" s="59">
        <f>IF(C55=1,J55*Geometry!$G$20,0)+IF(C55=2,J55*Geometry!$H$20,0)+IF(C55=3,J55*Geometry!$I$20,0)+IF(C55=4,J55*Geometry!$J$20,0)+IF(C55=5,J55*Geometry!$K$20,0)</f>
        <v>0</v>
      </c>
      <c r="M55" s="59">
        <f>IF(C55=1,J55*Geometry!$G$19,0)+IF(C55=2,J55*Geometry!$H$19,0)+IF(C55=3,J55*Geometry!$I$19,0)+IF(C55=4,J55*Geometry!$J$19,0)+IF(C55=5,J55*Geometry!$K$19,0)</f>
        <v>0</v>
      </c>
      <c r="N55" s="59">
        <f>IF(C55=1,J55*Geometry!$G$22,0)+IF(C55=2,J55*Geometry!$H$22,0)+IF(C55=3,J55*Geometry!$I$22,0)+IF(C55=4,J55*Geometry!$J$22,0)+IF(C55=5,J55*Geometry!$K$22,0)</f>
        <v>0</v>
      </c>
      <c r="O55" s="59">
        <f>IF(C55=1,J55*Geometry!$G$23,0)+IF(C55=2,J55*Geometry!$H$23,0)+IF(C55=3,J55*Geometry!$I$23,0)+IF(C55=4,J55*Geometry!$J$23,0)+IF(C55=5,J55*Geometry!$K$23,0)</f>
        <v>0</v>
      </c>
      <c r="P55">
        <f>IF(C55=1,J55*Geometry!$G$24,0)+IF(C55=2,J55*Geometry!$H$24,0)+IF(C55=3,J55*Geometry!$I$24,0)+IF(C55=4,J55*Geometry!$J$24,0)+IF(C55=5,J55*Geometry!$K$24,0)</f>
        <v>0</v>
      </c>
    </row>
    <row r="56" spans="1:16">
      <c r="A56">
        <f t="shared" si="7"/>
        <v>50</v>
      </c>
      <c r="C56" s="7">
        <f t="shared" si="4"/>
        <v>3</v>
      </c>
      <c r="D56" s="69">
        <f>D55+Geometry!$C$15</f>
        <v>387.5</v>
      </c>
      <c r="E56" s="59">
        <f t="shared" si="5"/>
        <v>-181.25</v>
      </c>
      <c r="F56" s="4">
        <f>Geometry!$D$12*D56</f>
        <v>14.499545454545457</v>
      </c>
      <c r="G56" s="4">
        <f t="shared" si="0"/>
        <v>0</v>
      </c>
      <c r="H56" s="4">
        <f>IF(ABS(E56*E56)&lt;=Geometry!$E$10,SQRT(Geometry!$E$10-E56*E56),0)</f>
        <v>0</v>
      </c>
      <c r="I56" s="4">
        <f t="shared" si="1"/>
        <v>0</v>
      </c>
      <c r="J56" s="5">
        <f t="shared" si="6"/>
        <v>0</v>
      </c>
      <c r="K56" s="59">
        <f>IF(C56=1,J56*Geometry!$G$21,0)+IF(C56=2,J56*Geometry!$H$21,0)+IF(C56=3,J56*Geometry!$I$21,0)+IF(C56=4,J56*Geometry!$J$21,0)+IF(C56=5,J56*Geometry!$K$21,0)</f>
        <v>0</v>
      </c>
      <c r="L56" s="59">
        <f>IF(C56=1,J56*Geometry!$G$20,0)+IF(C56=2,J56*Geometry!$H$20,0)+IF(C56=3,J56*Geometry!$I$20,0)+IF(C56=4,J56*Geometry!$J$20,0)+IF(C56=5,J56*Geometry!$K$20,0)</f>
        <v>0</v>
      </c>
      <c r="M56" s="59">
        <f>IF(C56=1,J56*Geometry!$G$19,0)+IF(C56=2,J56*Geometry!$H$19,0)+IF(C56=3,J56*Geometry!$I$19,0)+IF(C56=4,J56*Geometry!$J$19,0)+IF(C56=5,J56*Geometry!$K$19,0)</f>
        <v>0</v>
      </c>
      <c r="N56" s="59">
        <f>IF(C56=1,J56*Geometry!$G$22,0)+IF(C56=2,J56*Geometry!$H$22,0)+IF(C56=3,J56*Geometry!$I$22,0)+IF(C56=4,J56*Geometry!$J$22,0)+IF(C56=5,J56*Geometry!$K$22,0)</f>
        <v>0</v>
      </c>
      <c r="O56" s="59">
        <f>IF(C56=1,J56*Geometry!$G$23,0)+IF(C56=2,J56*Geometry!$H$23,0)+IF(C56=3,J56*Geometry!$I$23,0)+IF(C56=4,J56*Geometry!$J$23,0)+IF(C56=5,J56*Geometry!$K$23,0)</f>
        <v>0</v>
      </c>
      <c r="P56">
        <f>IF(C56=1,J56*Geometry!$G$24,0)+IF(C56=2,J56*Geometry!$H$24,0)+IF(C56=3,J56*Geometry!$I$24,0)+IF(C56=4,J56*Geometry!$J$24,0)+IF(C56=5,J56*Geometry!$K$24,0)</f>
        <v>0</v>
      </c>
    </row>
    <row r="57" spans="1:16">
      <c r="A57">
        <f t="shared" si="7"/>
        <v>51</v>
      </c>
      <c r="C57" s="7">
        <f t="shared" si="4"/>
        <v>3</v>
      </c>
      <c r="D57" s="69">
        <f>D56+Geometry!$C$15</f>
        <v>392.5</v>
      </c>
      <c r="E57" s="59">
        <f t="shared" si="5"/>
        <v>-186.25</v>
      </c>
      <c r="F57" s="4">
        <f>Geometry!$D$12*D57</f>
        <v>14.686636363636365</v>
      </c>
      <c r="G57" s="4">
        <f t="shared" si="0"/>
        <v>0</v>
      </c>
      <c r="H57" s="4">
        <f>IF(ABS(E57*E57)&lt;=Geometry!$E$10,SQRT(Geometry!$E$10-E57*E57),0)</f>
        <v>0</v>
      </c>
      <c r="I57" s="4">
        <f t="shared" si="1"/>
        <v>0</v>
      </c>
      <c r="J57" s="5">
        <f t="shared" si="6"/>
        <v>0</v>
      </c>
      <c r="K57" s="59">
        <f>IF(C57=1,J57*Geometry!$G$21,0)+IF(C57=2,J57*Geometry!$H$21,0)+IF(C57=3,J57*Geometry!$I$21,0)+IF(C57=4,J57*Geometry!$J$21,0)+IF(C57=5,J57*Geometry!$K$21,0)</f>
        <v>0</v>
      </c>
      <c r="L57" s="59">
        <f>IF(C57=1,J57*Geometry!$G$20,0)+IF(C57=2,J57*Geometry!$H$20,0)+IF(C57=3,J57*Geometry!$I$20,0)+IF(C57=4,J57*Geometry!$J$20,0)+IF(C57=5,J57*Geometry!$K$20,0)</f>
        <v>0</v>
      </c>
      <c r="M57" s="59">
        <f>IF(C57=1,J57*Geometry!$G$19,0)+IF(C57=2,J57*Geometry!$H$19,0)+IF(C57=3,J57*Geometry!$I$19,0)+IF(C57=4,J57*Geometry!$J$19,0)+IF(C57=5,J57*Geometry!$K$19,0)</f>
        <v>0</v>
      </c>
      <c r="N57" s="59">
        <f>IF(C57=1,J57*Geometry!$G$22,0)+IF(C57=2,J57*Geometry!$H$22,0)+IF(C57=3,J57*Geometry!$I$22,0)+IF(C57=4,J57*Geometry!$J$22,0)+IF(C57=5,J57*Geometry!$K$22,0)</f>
        <v>0</v>
      </c>
      <c r="O57" s="59">
        <f>IF(C57=1,J57*Geometry!$G$23,0)+IF(C57=2,J57*Geometry!$H$23,0)+IF(C57=3,J57*Geometry!$I$23,0)+IF(C57=4,J57*Geometry!$J$23,0)+IF(C57=5,J57*Geometry!$K$23,0)</f>
        <v>0</v>
      </c>
      <c r="P57">
        <f>IF(C57=1,J57*Geometry!$G$24,0)+IF(C57=2,J57*Geometry!$H$24,0)+IF(C57=3,J57*Geometry!$I$24,0)+IF(C57=4,J57*Geometry!$J$24,0)+IF(C57=5,J57*Geometry!$K$24,0)</f>
        <v>0</v>
      </c>
    </row>
    <row r="58" spans="1:16">
      <c r="A58">
        <f t="shared" si="7"/>
        <v>52</v>
      </c>
      <c r="C58" s="7">
        <f t="shared" si="4"/>
        <v>3</v>
      </c>
      <c r="D58" s="69">
        <f>D57+Geometry!$C$15</f>
        <v>397.5</v>
      </c>
      <c r="E58" s="59">
        <f t="shared" si="5"/>
        <v>-191.25</v>
      </c>
      <c r="F58" s="4">
        <f>Geometry!$D$12*D58</f>
        <v>14.873727272727274</v>
      </c>
      <c r="G58" s="4">
        <f t="shared" si="0"/>
        <v>0</v>
      </c>
      <c r="H58" s="4">
        <f>IF(ABS(E58*E58)&lt;=Geometry!$E$10,SQRT(Geometry!$E$10-E58*E58),0)</f>
        <v>0</v>
      </c>
      <c r="I58" s="4">
        <f t="shared" si="1"/>
        <v>0</v>
      </c>
      <c r="J58" s="5">
        <f t="shared" si="6"/>
        <v>0</v>
      </c>
      <c r="K58" s="59">
        <f>IF(C58=1,J58*Geometry!$G$21,0)+IF(C58=2,J58*Geometry!$H$21,0)+IF(C58=3,J58*Geometry!$I$21,0)+IF(C58=4,J58*Geometry!$J$21,0)+IF(C58=5,J58*Geometry!$K$21,0)</f>
        <v>0</v>
      </c>
      <c r="L58" s="59">
        <f>IF(C58=1,J58*Geometry!$G$20,0)+IF(C58=2,J58*Geometry!$H$20,0)+IF(C58=3,J58*Geometry!$I$20,0)+IF(C58=4,J58*Geometry!$J$20,0)+IF(C58=5,J58*Geometry!$K$20,0)</f>
        <v>0</v>
      </c>
      <c r="M58" s="59">
        <f>IF(C58=1,J58*Geometry!$G$19,0)+IF(C58=2,J58*Geometry!$H$19,0)+IF(C58=3,J58*Geometry!$I$19,0)+IF(C58=4,J58*Geometry!$J$19,0)+IF(C58=5,J58*Geometry!$K$19,0)</f>
        <v>0</v>
      </c>
      <c r="N58" s="59">
        <f>IF(C58=1,J58*Geometry!$G$22,0)+IF(C58=2,J58*Geometry!$H$22,0)+IF(C58=3,J58*Geometry!$I$22,0)+IF(C58=4,J58*Geometry!$J$22,0)+IF(C58=5,J58*Geometry!$K$22,0)</f>
        <v>0</v>
      </c>
      <c r="O58" s="59">
        <f>IF(C58=1,J58*Geometry!$G$23,0)+IF(C58=2,J58*Geometry!$H$23,0)+IF(C58=3,J58*Geometry!$I$23,0)+IF(C58=4,J58*Geometry!$J$23,0)+IF(C58=5,J58*Geometry!$K$23,0)</f>
        <v>0</v>
      </c>
      <c r="P58">
        <f>IF(C58=1,J58*Geometry!$G$24,0)+IF(C58=2,J58*Geometry!$H$24,0)+IF(C58=3,J58*Geometry!$I$24,0)+IF(C58=4,J58*Geometry!$J$24,0)+IF(C58=5,J58*Geometry!$K$24,0)</f>
        <v>0</v>
      </c>
    </row>
    <row r="59" spans="1:16">
      <c r="A59">
        <f t="shared" si="7"/>
        <v>53</v>
      </c>
      <c r="C59" s="7">
        <f t="shared" si="4"/>
        <v>3</v>
      </c>
      <c r="D59" s="69">
        <f>D58+Geometry!$C$15</f>
        <v>402.5</v>
      </c>
      <c r="E59" s="59">
        <f t="shared" si="5"/>
        <v>-196.25</v>
      </c>
      <c r="F59" s="4">
        <f>Geometry!$D$12*D59</f>
        <v>15.060818181818183</v>
      </c>
      <c r="G59" s="4">
        <f t="shared" si="0"/>
        <v>0</v>
      </c>
      <c r="H59" s="4">
        <f>IF(ABS(E59*E59)&lt;=Geometry!$E$10,SQRT(Geometry!$E$10-E59*E59),0)</f>
        <v>0</v>
      </c>
      <c r="I59" s="4">
        <f t="shared" si="1"/>
        <v>0</v>
      </c>
      <c r="J59" s="5">
        <f t="shared" si="6"/>
        <v>0</v>
      </c>
      <c r="K59" s="59">
        <f>IF(C59=1,J59*Geometry!$G$21,0)+IF(C59=2,J59*Geometry!$H$21,0)+IF(C59=3,J59*Geometry!$I$21,0)+IF(C59=4,J59*Geometry!$J$21,0)+IF(C59=5,J59*Geometry!$K$21,0)</f>
        <v>0</v>
      </c>
      <c r="L59" s="59">
        <f>IF(C59=1,J59*Geometry!$G$20,0)+IF(C59=2,J59*Geometry!$H$20,0)+IF(C59=3,J59*Geometry!$I$20,0)+IF(C59=4,J59*Geometry!$J$20,0)+IF(C59=5,J59*Geometry!$K$20,0)</f>
        <v>0</v>
      </c>
      <c r="M59" s="59">
        <f>IF(C59=1,J59*Geometry!$G$19,0)+IF(C59=2,J59*Geometry!$H$19,0)+IF(C59=3,J59*Geometry!$I$19,0)+IF(C59=4,J59*Geometry!$J$19,0)+IF(C59=5,J59*Geometry!$K$19,0)</f>
        <v>0</v>
      </c>
      <c r="N59" s="59">
        <f>IF(C59=1,J59*Geometry!$G$22,0)+IF(C59=2,J59*Geometry!$H$22,0)+IF(C59=3,J59*Geometry!$I$22,0)+IF(C59=4,J59*Geometry!$J$22,0)+IF(C59=5,J59*Geometry!$K$22,0)</f>
        <v>0</v>
      </c>
      <c r="O59" s="59">
        <f>IF(C59=1,J59*Geometry!$G$23,0)+IF(C59=2,J59*Geometry!$H$23,0)+IF(C59=3,J59*Geometry!$I$23,0)+IF(C59=4,J59*Geometry!$J$23,0)+IF(C59=5,J59*Geometry!$K$23,0)</f>
        <v>0</v>
      </c>
      <c r="P59">
        <f>IF(C59=1,J59*Geometry!$G$24,0)+IF(C59=2,J59*Geometry!$H$24,0)+IF(C59=3,J59*Geometry!$I$24,0)+IF(C59=4,J59*Geometry!$J$24,0)+IF(C59=5,J59*Geometry!$K$24,0)</f>
        <v>0</v>
      </c>
    </row>
    <row r="60" spans="1:16">
      <c r="A60">
        <f t="shared" si="7"/>
        <v>54</v>
      </c>
      <c r="C60" s="7">
        <f t="shared" si="4"/>
        <v>3</v>
      </c>
      <c r="D60" s="69">
        <f>D59+Geometry!$C$15</f>
        <v>407.5</v>
      </c>
      <c r="E60" s="59">
        <f t="shared" si="5"/>
        <v>-201.25</v>
      </c>
      <c r="F60" s="4">
        <f>Geometry!$D$12*D60</f>
        <v>15.247909090909094</v>
      </c>
      <c r="G60" s="4">
        <f t="shared" si="0"/>
        <v>0</v>
      </c>
      <c r="H60" s="4">
        <f>IF(ABS(E60*E60)&lt;=Geometry!$E$10,SQRT(Geometry!$E$10-E60*E60),0)</f>
        <v>0</v>
      </c>
      <c r="I60" s="4">
        <f t="shared" si="1"/>
        <v>0</v>
      </c>
      <c r="J60" s="5">
        <f t="shared" si="6"/>
        <v>0</v>
      </c>
      <c r="K60" s="59">
        <f>IF(C60=1,J60*Geometry!$G$21,0)+IF(C60=2,J60*Geometry!$H$21,0)+IF(C60=3,J60*Geometry!$I$21,0)+IF(C60=4,J60*Geometry!$J$21,0)+IF(C60=5,J60*Geometry!$K$21,0)</f>
        <v>0</v>
      </c>
      <c r="L60" s="59">
        <f>IF(C60=1,J60*Geometry!$G$20,0)+IF(C60=2,J60*Geometry!$H$20,0)+IF(C60=3,J60*Geometry!$I$20,0)+IF(C60=4,J60*Geometry!$J$20,0)+IF(C60=5,J60*Geometry!$K$20,0)</f>
        <v>0</v>
      </c>
      <c r="M60" s="59">
        <f>IF(C60=1,J60*Geometry!$G$19,0)+IF(C60=2,J60*Geometry!$H$19,0)+IF(C60=3,J60*Geometry!$I$19,0)+IF(C60=4,J60*Geometry!$J$19,0)+IF(C60=5,J60*Geometry!$K$19,0)</f>
        <v>0</v>
      </c>
      <c r="N60" s="59">
        <f>IF(C60=1,J60*Geometry!$G$22,0)+IF(C60=2,J60*Geometry!$H$22,0)+IF(C60=3,J60*Geometry!$I$22,0)+IF(C60=4,J60*Geometry!$J$22,0)+IF(C60=5,J60*Geometry!$K$22,0)</f>
        <v>0</v>
      </c>
      <c r="O60" s="59">
        <f>IF(C60=1,J60*Geometry!$G$23,0)+IF(C60=2,J60*Geometry!$H$23,0)+IF(C60=3,J60*Geometry!$I$23,0)+IF(C60=4,J60*Geometry!$J$23,0)+IF(C60=5,J60*Geometry!$K$23,0)</f>
        <v>0</v>
      </c>
      <c r="P60">
        <f>IF(C60=1,J60*Geometry!$G$24,0)+IF(C60=2,J60*Geometry!$H$24,0)+IF(C60=3,J60*Geometry!$I$24,0)+IF(C60=4,J60*Geometry!$J$24,0)+IF(C60=5,J60*Geometry!$K$24,0)</f>
        <v>0</v>
      </c>
    </row>
    <row r="61" spans="1:16">
      <c r="A61">
        <f t="shared" si="7"/>
        <v>55</v>
      </c>
      <c r="C61" s="7">
        <f t="shared" si="4"/>
        <v>3</v>
      </c>
      <c r="D61" s="69">
        <f>D60+Geometry!$C$15</f>
        <v>412.5</v>
      </c>
      <c r="E61" s="59">
        <f t="shared" si="5"/>
        <v>-206.25</v>
      </c>
      <c r="F61" s="4">
        <f>Geometry!$D$12*D61</f>
        <v>15.435000000000002</v>
      </c>
      <c r="G61" s="4">
        <f t="shared" si="0"/>
        <v>0</v>
      </c>
      <c r="H61" s="4">
        <f>IF(ABS(E61*E61)&lt;=Geometry!$E$10,SQRT(Geometry!$E$10-E61*E61),0)</f>
        <v>0</v>
      </c>
      <c r="I61" s="4">
        <f t="shared" si="1"/>
        <v>0</v>
      </c>
      <c r="J61" s="5">
        <f t="shared" si="6"/>
        <v>0</v>
      </c>
      <c r="K61" s="59">
        <f>IF(C61=1,J61*Geometry!$G$21,0)+IF(C61=2,J61*Geometry!$H$21,0)+IF(C61=3,J61*Geometry!$I$21,0)+IF(C61=4,J61*Geometry!$J$21,0)+IF(C61=5,J61*Geometry!$K$21,0)</f>
        <v>0</v>
      </c>
      <c r="L61" s="59">
        <f>IF(C61=1,J61*Geometry!$G$20,0)+IF(C61=2,J61*Geometry!$H$20,0)+IF(C61=3,J61*Geometry!$I$20,0)+IF(C61=4,J61*Geometry!$J$20,0)+IF(C61=5,J61*Geometry!$K$20,0)</f>
        <v>0</v>
      </c>
      <c r="M61" s="59">
        <f>IF(C61=1,J61*Geometry!$G$19,0)+IF(C61=2,J61*Geometry!$H$19,0)+IF(C61=3,J61*Geometry!$I$19,0)+IF(C61=4,J61*Geometry!$J$19,0)+IF(C61=5,J61*Geometry!$K$19,0)</f>
        <v>0</v>
      </c>
      <c r="N61" s="59">
        <f>IF(C61=1,J61*Geometry!$G$22,0)+IF(C61=2,J61*Geometry!$H$22,0)+IF(C61=3,J61*Geometry!$I$22,0)+IF(C61=4,J61*Geometry!$J$22,0)+IF(C61=5,J61*Geometry!$K$22,0)</f>
        <v>0</v>
      </c>
      <c r="O61" s="59">
        <f>IF(C61=1,J61*Geometry!$G$23,0)+IF(C61=2,J61*Geometry!$H$23,0)+IF(C61=3,J61*Geometry!$I$23,0)+IF(C61=4,J61*Geometry!$J$23,0)+IF(C61=5,J61*Geometry!$K$23,0)</f>
        <v>0</v>
      </c>
      <c r="P61">
        <f>IF(C61=1,J61*Geometry!$G$24,0)+IF(C61=2,J61*Geometry!$H$24,0)+IF(C61=3,J61*Geometry!$I$24,0)+IF(C61=4,J61*Geometry!$J$24,0)+IF(C61=5,J61*Geometry!$K$24,0)</f>
        <v>0</v>
      </c>
    </row>
    <row r="62" spans="1:16">
      <c r="A62">
        <f t="shared" si="7"/>
        <v>56</v>
      </c>
      <c r="C62" s="7">
        <f t="shared" si="4"/>
        <v>3</v>
      </c>
      <c r="D62" s="69">
        <f>D61+Geometry!$C$15</f>
        <v>417.5</v>
      </c>
      <c r="E62" s="59">
        <f t="shared" si="5"/>
        <v>-211.25</v>
      </c>
      <c r="F62" s="4">
        <f>Geometry!$D$12*D62</f>
        <v>15.622090909090911</v>
      </c>
      <c r="G62" s="4">
        <f t="shared" si="0"/>
        <v>0</v>
      </c>
      <c r="H62" s="4">
        <f>IF(ABS(E62*E62)&lt;=Geometry!$E$10,SQRT(Geometry!$E$10-E62*E62),0)</f>
        <v>0</v>
      </c>
      <c r="I62" s="4">
        <f t="shared" si="1"/>
        <v>0</v>
      </c>
      <c r="J62" s="5">
        <f t="shared" si="6"/>
        <v>0</v>
      </c>
      <c r="K62" s="59">
        <f>IF(C62=1,J62*Geometry!$G$21,0)+IF(C62=2,J62*Geometry!$H$21,0)+IF(C62=3,J62*Geometry!$I$21,0)+IF(C62=4,J62*Geometry!$J$21,0)+IF(C62=5,J62*Geometry!$K$21,0)</f>
        <v>0</v>
      </c>
      <c r="L62" s="59">
        <f>IF(C62=1,J62*Geometry!$G$20,0)+IF(C62=2,J62*Geometry!$H$20,0)+IF(C62=3,J62*Geometry!$I$20,0)+IF(C62=4,J62*Geometry!$J$20,0)+IF(C62=5,J62*Geometry!$K$20,0)</f>
        <v>0</v>
      </c>
      <c r="M62" s="59">
        <f>IF(C62=1,J62*Geometry!$G$19,0)+IF(C62=2,J62*Geometry!$H$19,0)+IF(C62=3,J62*Geometry!$I$19,0)+IF(C62=4,J62*Geometry!$J$19,0)+IF(C62=5,J62*Geometry!$K$19,0)</f>
        <v>0</v>
      </c>
      <c r="N62" s="59">
        <f>IF(C62=1,J62*Geometry!$G$22,0)+IF(C62=2,J62*Geometry!$H$22,0)+IF(C62=3,J62*Geometry!$I$22,0)+IF(C62=4,J62*Geometry!$J$22,0)+IF(C62=5,J62*Geometry!$K$22,0)</f>
        <v>0</v>
      </c>
      <c r="O62" s="59">
        <f>IF(C62=1,J62*Geometry!$G$23,0)+IF(C62=2,J62*Geometry!$H$23,0)+IF(C62=3,J62*Geometry!$I$23,0)+IF(C62=4,J62*Geometry!$J$23,0)+IF(C62=5,J62*Geometry!$K$23,0)</f>
        <v>0</v>
      </c>
      <c r="P62">
        <f>IF(C62=1,J62*Geometry!$G$24,0)+IF(C62=2,J62*Geometry!$H$24,0)+IF(C62=3,J62*Geometry!$I$24,0)+IF(C62=4,J62*Geometry!$J$24,0)+IF(C62=5,J62*Geometry!$K$24,0)</f>
        <v>0</v>
      </c>
    </row>
    <row r="63" spans="1:16">
      <c r="A63">
        <f t="shared" si="7"/>
        <v>57</v>
      </c>
      <c r="C63" s="7">
        <f t="shared" si="4"/>
        <v>3</v>
      </c>
      <c r="D63" s="69">
        <f>D62+Geometry!$C$15</f>
        <v>422.5</v>
      </c>
      <c r="E63" s="59">
        <f t="shared" si="5"/>
        <v>-216.25</v>
      </c>
      <c r="F63" s="4">
        <f>Geometry!$D$12*D63</f>
        <v>15.80918181818182</v>
      </c>
      <c r="G63" s="4">
        <f t="shared" si="0"/>
        <v>0</v>
      </c>
      <c r="H63" s="4">
        <f>IF(ABS(E63*E63)&lt;=Geometry!$E$10,SQRT(Geometry!$E$10-E63*E63),0)</f>
        <v>0</v>
      </c>
      <c r="I63" s="4">
        <f t="shared" si="1"/>
        <v>0</v>
      </c>
      <c r="J63" s="5">
        <f t="shared" si="6"/>
        <v>0</v>
      </c>
      <c r="K63" s="59">
        <f>IF(C63=1,J63*Geometry!$G$21,0)+IF(C63=2,J63*Geometry!$H$21,0)+IF(C63=3,J63*Geometry!$I$21,0)+IF(C63=4,J63*Geometry!$J$21,0)+IF(C63=5,J63*Geometry!$K$21,0)</f>
        <v>0</v>
      </c>
      <c r="L63" s="59">
        <f>IF(C63=1,J63*Geometry!$G$20,0)+IF(C63=2,J63*Geometry!$H$20,0)+IF(C63=3,J63*Geometry!$I$20,0)+IF(C63=4,J63*Geometry!$J$20,0)+IF(C63=5,J63*Geometry!$K$20,0)</f>
        <v>0</v>
      </c>
      <c r="M63" s="59">
        <f>IF(C63=1,J63*Geometry!$G$19,0)+IF(C63=2,J63*Geometry!$H$19,0)+IF(C63=3,J63*Geometry!$I$19,0)+IF(C63=4,J63*Geometry!$J$19,0)+IF(C63=5,J63*Geometry!$K$19,0)</f>
        <v>0</v>
      </c>
      <c r="N63" s="59">
        <f>IF(C63=1,J63*Geometry!$G$22,0)+IF(C63=2,J63*Geometry!$H$22,0)+IF(C63=3,J63*Geometry!$I$22,0)+IF(C63=4,J63*Geometry!$J$22,0)+IF(C63=5,J63*Geometry!$K$22,0)</f>
        <v>0</v>
      </c>
      <c r="O63" s="59">
        <f>IF(C63=1,J63*Geometry!$G$23,0)+IF(C63=2,J63*Geometry!$H$23,0)+IF(C63=3,J63*Geometry!$I$23,0)+IF(C63=4,J63*Geometry!$J$23,0)+IF(C63=5,J63*Geometry!$K$23,0)</f>
        <v>0</v>
      </c>
      <c r="P63">
        <f>IF(C63=1,J63*Geometry!$G$24,0)+IF(C63=2,J63*Geometry!$H$24,0)+IF(C63=3,J63*Geometry!$I$24,0)+IF(C63=4,J63*Geometry!$J$24,0)+IF(C63=5,J63*Geometry!$K$24,0)</f>
        <v>0</v>
      </c>
    </row>
    <row r="64" spans="1:16">
      <c r="A64">
        <f t="shared" si="7"/>
        <v>58</v>
      </c>
      <c r="C64" s="7">
        <f t="shared" si="4"/>
        <v>3</v>
      </c>
      <c r="D64" s="69">
        <f>D63+Geometry!$C$15</f>
        <v>427.5</v>
      </c>
      <c r="E64" s="59">
        <f t="shared" si="5"/>
        <v>-221.25</v>
      </c>
      <c r="F64" s="4">
        <f>Geometry!$D$12*D64</f>
        <v>15.996272727272729</v>
      </c>
      <c r="G64" s="4">
        <f t="shared" si="0"/>
        <v>0</v>
      </c>
      <c r="H64" s="4">
        <f>IF(ABS(E64*E64)&lt;=Geometry!$E$10,SQRT(Geometry!$E$10-E64*E64),0)</f>
        <v>0</v>
      </c>
      <c r="I64" s="4">
        <f t="shared" si="1"/>
        <v>0</v>
      </c>
      <c r="J64" s="5">
        <f t="shared" si="6"/>
        <v>0</v>
      </c>
      <c r="K64" s="59">
        <f>IF(C64=1,J64*Geometry!$G$21,0)+IF(C64=2,J64*Geometry!$H$21,0)+IF(C64=3,J64*Geometry!$I$21,0)+IF(C64=4,J64*Geometry!$J$21,0)+IF(C64=5,J64*Geometry!$K$21,0)</f>
        <v>0</v>
      </c>
      <c r="L64" s="59">
        <f>IF(C64=1,J64*Geometry!$G$20,0)+IF(C64=2,J64*Geometry!$H$20,0)+IF(C64=3,J64*Geometry!$I$20,0)+IF(C64=4,J64*Geometry!$J$20,0)+IF(C64=5,J64*Geometry!$K$20,0)</f>
        <v>0</v>
      </c>
      <c r="M64" s="59">
        <f>IF(C64=1,J64*Geometry!$G$19,0)+IF(C64=2,J64*Geometry!$H$19,0)+IF(C64=3,J64*Geometry!$I$19,0)+IF(C64=4,J64*Geometry!$J$19,0)+IF(C64=5,J64*Geometry!$K$19,0)</f>
        <v>0</v>
      </c>
      <c r="N64" s="59">
        <f>IF(C64=1,J64*Geometry!$G$22,0)+IF(C64=2,J64*Geometry!$H$22,0)+IF(C64=3,J64*Geometry!$I$22,0)+IF(C64=4,J64*Geometry!$J$22,0)+IF(C64=5,J64*Geometry!$K$22,0)</f>
        <v>0</v>
      </c>
      <c r="O64" s="59">
        <f>IF(C64=1,J64*Geometry!$G$23,0)+IF(C64=2,J64*Geometry!$H$23,0)+IF(C64=3,J64*Geometry!$I$23,0)+IF(C64=4,J64*Geometry!$J$23,0)+IF(C64=5,J64*Geometry!$K$23,0)</f>
        <v>0</v>
      </c>
      <c r="P64">
        <f>IF(C64=1,J64*Geometry!$G$24,0)+IF(C64=2,J64*Geometry!$H$24,0)+IF(C64=3,J64*Geometry!$I$24,0)+IF(C64=4,J64*Geometry!$J$24,0)+IF(C64=5,J64*Geometry!$K$24,0)</f>
        <v>0</v>
      </c>
    </row>
    <row r="65" spans="1:16">
      <c r="A65">
        <f t="shared" si="7"/>
        <v>59</v>
      </c>
      <c r="C65" s="7">
        <f t="shared" si="4"/>
        <v>3</v>
      </c>
      <c r="D65" s="69">
        <f>D64+Geometry!$C$15</f>
        <v>432.5</v>
      </c>
      <c r="E65" s="59">
        <f t="shared" si="5"/>
        <v>-226.25</v>
      </c>
      <c r="F65" s="4">
        <f>Geometry!$D$12*D65</f>
        <v>16.183363636363637</v>
      </c>
      <c r="G65" s="4">
        <f t="shared" si="0"/>
        <v>0</v>
      </c>
      <c r="H65" s="4">
        <f>IF(ABS(E65*E65)&lt;=Geometry!$E$10,SQRT(Geometry!$E$10-E65*E65),0)</f>
        <v>0</v>
      </c>
      <c r="I65" s="4">
        <f t="shared" si="1"/>
        <v>0</v>
      </c>
      <c r="J65" s="5">
        <f t="shared" si="6"/>
        <v>0</v>
      </c>
      <c r="K65" s="59">
        <f>IF(C65=1,J65*Geometry!$G$21,0)+IF(C65=2,J65*Geometry!$H$21,0)+IF(C65=3,J65*Geometry!$I$21,0)+IF(C65=4,J65*Geometry!$J$21,0)+IF(C65=5,J65*Geometry!$K$21,0)</f>
        <v>0</v>
      </c>
      <c r="L65" s="59">
        <f>IF(C65=1,J65*Geometry!$G$20,0)+IF(C65=2,J65*Geometry!$H$20,0)+IF(C65=3,J65*Geometry!$I$20,0)+IF(C65=4,J65*Geometry!$J$20,0)+IF(C65=5,J65*Geometry!$K$20,0)</f>
        <v>0</v>
      </c>
      <c r="M65" s="59">
        <f>IF(C65=1,J65*Geometry!$G$19,0)+IF(C65=2,J65*Geometry!$H$19,0)+IF(C65=3,J65*Geometry!$I$19,0)+IF(C65=4,J65*Geometry!$J$19,0)+IF(C65=5,J65*Geometry!$K$19,0)</f>
        <v>0</v>
      </c>
      <c r="N65" s="59">
        <f>IF(C65=1,J65*Geometry!$G$22,0)+IF(C65=2,J65*Geometry!$H$22,0)+IF(C65=3,J65*Geometry!$I$22,0)+IF(C65=4,J65*Geometry!$J$22,0)+IF(C65=5,J65*Geometry!$K$22,0)</f>
        <v>0</v>
      </c>
      <c r="O65" s="59">
        <f>IF(C65=1,J65*Geometry!$G$23,0)+IF(C65=2,J65*Geometry!$H$23,0)+IF(C65=3,J65*Geometry!$I$23,0)+IF(C65=4,J65*Geometry!$J$23,0)+IF(C65=5,J65*Geometry!$K$23,0)</f>
        <v>0</v>
      </c>
      <c r="P65">
        <f>IF(C65=1,J65*Geometry!$G$24,0)+IF(C65=2,J65*Geometry!$H$24,0)+IF(C65=3,J65*Geometry!$I$24,0)+IF(C65=4,J65*Geometry!$J$24,0)+IF(C65=5,J65*Geometry!$K$24,0)</f>
        <v>0</v>
      </c>
    </row>
    <row r="66" spans="1:16">
      <c r="A66">
        <f t="shared" si="7"/>
        <v>60</v>
      </c>
      <c r="C66" s="7">
        <f t="shared" si="4"/>
        <v>3</v>
      </c>
      <c r="D66" s="69">
        <f>D65+Geometry!$C$15</f>
        <v>437.5</v>
      </c>
      <c r="E66" s="59">
        <f t="shared" si="5"/>
        <v>-231.25</v>
      </c>
      <c r="F66" s="4">
        <f>Geometry!$D$12*D66</f>
        <v>16.370454545454546</v>
      </c>
      <c r="G66" s="4">
        <f t="shared" si="0"/>
        <v>0</v>
      </c>
      <c r="H66" s="4">
        <f>IF(ABS(E66*E66)&lt;=Geometry!$E$10,SQRT(Geometry!$E$10-E66*E66),0)</f>
        <v>0</v>
      </c>
      <c r="I66" s="4">
        <f t="shared" si="1"/>
        <v>0</v>
      </c>
      <c r="J66" s="5">
        <f t="shared" si="6"/>
        <v>0</v>
      </c>
      <c r="K66" s="59">
        <f>IF(C66=1,J66*Geometry!$G$21,0)+IF(C66=2,J66*Geometry!$H$21,0)+IF(C66=3,J66*Geometry!$I$21,0)+IF(C66=4,J66*Geometry!$J$21,0)+IF(C66=5,J66*Geometry!$K$21,0)</f>
        <v>0</v>
      </c>
      <c r="L66" s="59">
        <f>IF(C66=1,J66*Geometry!$G$20,0)+IF(C66=2,J66*Geometry!$H$20,0)+IF(C66=3,J66*Geometry!$I$20,0)+IF(C66=4,J66*Geometry!$J$20,0)+IF(C66=5,J66*Geometry!$K$20,0)</f>
        <v>0</v>
      </c>
      <c r="M66" s="59">
        <f>IF(C66=1,J66*Geometry!$G$19,0)+IF(C66=2,J66*Geometry!$H$19,0)+IF(C66=3,J66*Geometry!$I$19,0)+IF(C66=4,J66*Geometry!$J$19,0)+IF(C66=5,J66*Geometry!$K$19,0)</f>
        <v>0</v>
      </c>
      <c r="N66" s="59">
        <f>IF(C66=1,J66*Geometry!$G$22,0)+IF(C66=2,J66*Geometry!$H$22,0)+IF(C66=3,J66*Geometry!$I$22,0)+IF(C66=4,J66*Geometry!$J$22,0)+IF(C66=5,J66*Geometry!$K$22,0)</f>
        <v>0</v>
      </c>
      <c r="O66" s="59">
        <f>IF(C66=1,J66*Geometry!$G$23,0)+IF(C66=2,J66*Geometry!$H$23,0)+IF(C66=3,J66*Geometry!$I$23,0)+IF(C66=4,J66*Geometry!$J$23,0)+IF(C66=5,J66*Geometry!$K$23,0)</f>
        <v>0</v>
      </c>
      <c r="P66">
        <f>IF(C66=1,J66*Geometry!$G$24,0)+IF(C66=2,J66*Geometry!$H$24,0)+IF(C66=3,J66*Geometry!$I$24,0)+IF(C66=4,J66*Geometry!$J$24,0)+IF(C66=5,J66*Geometry!$K$24,0)</f>
        <v>0</v>
      </c>
    </row>
    <row r="67" spans="1:16">
      <c r="A67">
        <f t="shared" si="7"/>
        <v>61</v>
      </c>
      <c r="C67" s="7">
        <f t="shared" si="4"/>
        <v>3</v>
      </c>
      <c r="D67" s="69">
        <f>D66+Geometry!$C$15</f>
        <v>442.5</v>
      </c>
      <c r="E67" s="59">
        <f t="shared" si="5"/>
        <v>-236.25</v>
      </c>
      <c r="F67" s="4">
        <f>Geometry!$D$12*D67</f>
        <v>16.557545454545455</v>
      </c>
      <c r="G67" s="4">
        <f t="shared" si="0"/>
        <v>0</v>
      </c>
      <c r="H67" s="4">
        <f>IF(ABS(E67*E67)&lt;=Geometry!$E$10,SQRT(Geometry!$E$10-E67*E67),0)</f>
        <v>0</v>
      </c>
      <c r="I67" s="4">
        <f t="shared" si="1"/>
        <v>0</v>
      </c>
      <c r="J67" s="5">
        <f t="shared" si="6"/>
        <v>0</v>
      </c>
      <c r="K67" s="59">
        <f>IF(C67=1,J67*Geometry!$G$21,0)+IF(C67=2,J67*Geometry!$H$21,0)+IF(C67=3,J67*Geometry!$I$21,0)+IF(C67=4,J67*Geometry!$J$21,0)+IF(C67=5,J67*Geometry!$K$21,0)</f>
        <v>0</v>
      </c>
      <c r="L67" s="59">
        <f>IF(C67=1,J67*Geometry!$G$20,0)+IF(C67=2,J67*Geometry!$H$20,0)+IF(C67=3,J67*Geometry!$I$20,0)+IF(C67=4,J67*Geometry!$J$20,0)+IF(C67=5,J67*Geometry!$K$20,0)</f>
        <v>0</v>
      </c>
      <c r="M67" s="59">
        <f>IF(C67=1,J67*Geometry!$G$19,0)+IF(C67=2,J67*Geometry!$H$19,0)+IF(C67=3,J67*Geometry!$I$19,0)+IF(C67=4,J67*Geometry!$J$19,0)+IF(C67=5,J67*Geometry!$K$19,0)</f>
        <v>0</v>
      </c>
      <c r="N67" s="59">
        <f>IF(C67=1,J67*Geometry!$G$22,0)+IF(C67=2,J67*Geometry!$H$22,0)+IF(C67=3,J67*Geometry!$I$22,0)+IF(C67=4,J67*Geometry!$J$22,0)+IF(C67=5,J67*Geometry!$K$22,0)</f>
        <v>0</v>
      </c>
      <c r="O67" s="59">
        <f>IF(C67=1,J67*Geometry!$G$23,0)+IF(C67=2,J67*Geometry!$H$23,0)+IF(C67=3,J67*Geometry!$I$23,0)+IF(C67=4,J67*Geometry!$J$23,0)+IF(C67=5,J67*Geometry!$K$23,0)</f>
        <v>0</v>
      </c>
      <c r="P67">
        <f>IF(C67=1,J67*Geometry!$G$24,0)+IF(C67=2,J67*Geometry!$H$24,0)+IF(C67=3,J67*Geometry!$I$24,0)+IF(C67=4,J67*Geometry!$J$24,0)+IF(C67=5,J67*Geometry!$K$24,0)</f>
        <v>0</v>
      </c>
    </row>
    <row r="68" spans="1:16">
      <c r="A68">
        <f t="shared" si="7"/>
        <v>62</v>
      </c>
      <c r="C68" s="7">
        <f t="shared" si="4"/>
        <v>3</v>
      </c>
      <c r="D68" s="69">
        <f>D67+Geometry!$C$15</f>
        <v>447.5</v>
      </c>
      <c r="E68" s="59">
        <f t="shared" si="5"/>
        <v>-241.25</v>
      </c>
      <c r="F68" s="4">
        <f>Geometry!$D$12*D68</f>
        <v>16.744636363636367</v>
      </c>
      <c r="G68" s="4">
        <f t="shared" si="0"/>
        <v>0</v>
      </c>
      <c r="H68" s="4">
        <f>IF(ABS(E68*E68)&lt;=Geometry!$E$10,SQRT(Geometry!$E$10-E68*E68),0)</f>
        <v>0</v>
      </c>
      <c r="I68" s="4">
        <f t="shared" si="1"/>
        <v>0</v>
      </c>
      <c r="J68" s="5">
        <f t="shared" si="6"/>
        <v>0</v>
      </c>
      <c r="K68" s="59">
        <f>IF(C68=1,J68*Geometry!$G$21,0)+IF(C68=2,J68*Geometry!$H$21,0)+IF(C68=3,J68*Geometry!$I$21,0)+IF(C68=4,J68*Geometry!$J$21,0)+IF(C68=5,J68*Geometry!$K$21,0)</f>
        <v>0</v>
      </c>
      <c r="L68" s="59">
        <f>IF(C68=1,J68*Geometry!$G$20,0)+IF(C68=2,J68*Geometry!$H$20,0)+IF(C68=3,J68*Geometry!$I$20,0)+IF(C68=4,J68*Geometry!$J$20,0)+IF(C68=5,J68*Geometry!$K$20,0)</f>
        <v>0</v>
      </c>
      <c r="M68" s="59">
        <f>IF(C68=1,J68*Geometry!$G$19,0)+IF(C68=2,J68*Geometry!$H$19,0)+IF(C68=3,J68*Geometry!$I$19,0)+IF(C68=4,J68*Geometry!$J$19,0)+IF(C68=5,J68*Geometry!$K$19,0)</f>
        <v>0</v>
      </c>
      <c r="N68" s="59">
        <f>IF(C68=1,J68*Geometry!$G$22,0)+IF(C68=2,J68*Geometry!$H$22,0)+IF(C68=3,J68*Geometry!$I$22,0)+IF(C68=4,J68*Geometry!$J$22,0)+IF(C68=5,J68*Geometry!$K$22,0)</f>
        <v>0</v>
      </c>
      <c r="O68" s="59">
        <f>IF(C68=1,J68*Geometry!$G$23,0)+IF(C68=2,J68*Geometry!$H$23,0)+IF(C68=3,J68*Geometry!$I$23,0)+IF(C68=4,J68*Geometry!$J$23,0)+IF(C68=5,J68*Geometry!$K$23,0)</f>
        <v>0</v>
      </c>
      <c r="P68">
        <f>IF(C68=1,J68*Geometry!$G$24,0)+IF(C68=2,J68*Geometry!$H$24,0)+IF(C68=3,J68*Geometry!$I$24,0)+IF(C68=4,J68*Geometry!$J$24,0)+IF(C68=5,J68*Geometry!$K$24,0)</f>
        <v>0</v>
      </c>
    </row>
    <row r="69" spans="1:16">
      <c r="A69">
        <f t="shared" si="7"/>
        <v>63</v>
      </c>
      <c r="C69" s="7">
        <f t="shared" si="4"/>
        <v>3</v>
      </c>
      <c r="D69" s="69">
        <f>D68+Geometry!$C$15</f>
        <v>452.5</v>
      </c>
      <c r="E69" s="59">
        <f t="shared" si="5"/>
        <v>-246.25</v>
      </c>
      <c r="F69" s="4">
        <f>Geometry!$D$12*D69</f>
        <v>16.931727272727276</v>
      </c>
      <c r="G69" s="4">
        <f t="shared" si="0"/>
        <v>0</v>
      </c>
      <c r="H69" s="4">
        <f>IF(ABS(E69*E69)&lt;=Geometry!$E$10,SQRT(Geometry!$E$10-E69*E69),0)</f>
        <v>0</v>
      </c>
      <c r="I69" s="4">
        <f t="shared" si="1"/>
        <v>0</v>
      </c>
      <c r="J69" s="5">
        <f t="shared" si="6"/>
        <v>0</v>
      </c>
      <c r="K69" s="59">
        <f>IF(C69=1,J69*Geometry!$G$21,0)+IF(C69=2,J69*Geometry!$H$21,0)+IF(C69=3,J69*Geometry!$I$21,0)+IF(C69=4,J69*Geometry!$J$21,0)+IF(C69=5,J69*Geometry!$K$21,0)</f>
        <v>0</v>
      </c>
      <c r="L69" s="59">
        <f>IF(C69=1,J69*Geometry!$G$20,0)+IF(C69=2,J69*Geometry!$H$20,0)+IF(C69=3,J69*Geometry!$I$20,0)+IF(C69=4,J69*Geometry!$J$20,0)+IF(C69=5,J69*Geometry!$K$20,0)</f>
        <v>0</v>
      </c>
      <c r="M69" s="59">
        <f>IF(C69=1,J69*Geometry!$G$19,0)+IF(C69=2,J69*Geometry!$H$19,0)+IF(C69=3,J69*Geometry!$I$19,0)+IF(C69=4,J69*Geometry!$J$19,0)+IF(C69=5,J69*Geometry!$K$19,0)</f>
        <v>0</v>
      </c>
      <c r="N69" s="59">
        <f>IF(C69=1,J69*Geometry!$G$22,0)+IF(C69=2,J69*Geometry!$H$22,0)+IF(C69=3,J69*Geometry!$I$22,0)+IF(C69=4,J69*Geometry!$J$22,0)+IF(C69=5,J69*Geometry!$K$22,0)</f>
        <v>0</v>
      </c>
      <c r="O69" s="59">
        <f>IF(C69=1,J69*Geometry!$G$23,0)+IF(C69=2,J69*Geometry!$H$23,0)+IF(C69=3,J69*Geometry!$I$23,0)+IF(C69=4,J69*Geometry!$J$23,0)+IF(C69=5,J69*Geometry!$K$23,0)</f>
        <v>0</v>
      </c>
      <c r="P69">
        <f>IF(C69=1,J69*Geometry!$G$24,0)+IF(C69=2,J69*Geometry!$H$24,0)+IF(C69=3,J69*Geometry!$I$24,0)+IF(C69=4,J69*Geometry!$J$24,0)+IF(C69=5,J69*Geometry!$K$24,0)</f>
        <v>0</v>
      </c>
    </row>
    <row r="70" spans="1:16">
      <c r="A70">
        <f t="shared" si="7"/>
        <v>64</v>
      </c>
      <c r="C70" s="7">
        <f t="shared" si="4"/>
        <v>3</v>
      </c>
      <c r="D70" s="69">
        <f>D69+Geometry!$C$15</f>
        <v>457.5</v>
      </c>
      <c r="E70" s="59">
        <f t="shared" si="5"/>
        <v>-251.25</v>
      </c>
      <c r="F70" s="4">
        <f>Geometry!$D$12*D70</f>
        <v>17.118818181818185</v>
      </c>
      <c r="G70" s="4">
        <f t="shared" si="0"/>
        <v>0</v>
      </c>
      <c r="H70" s="4">
        <f>IF(ABS(E70*E70)&lt;=Geometry!$E$10,SQRT(Geometry!$E$10-E70*E70),0)</f>
        <v>0</v>
      </c>
      <c r="I70" s="4">
        <f t="shared" si="1"/>
        <v>0</v>
      </c>
      <c r="J70" s="5">
        <f t="shared" si="6"/>
        <v>0</v>
      </c>
      <c r="K70" s="59">
        <f>IF(C70=1,J70*Geometry!$G$21,0)+IF(C70=2,J70*Geometry!$H$21,0)+IF(C70=3,J70*Geometry!$I$21,0)+IF(C70=4,J70*Geometry!$J$21,0)+IF(C70=5,J70*Geometry!$K$21,0)</f>
        <v>0</v>
      </c>
      <c r="L70" s="59">
        <f>IF(C70=1,J70*Geometry!$G$20,0)+IF(C70=2,J70*Geometry!$H$20,0)+IF(C70=3,J70*Geometry!$I$20,0)+IF(C70=4,J70*Geometry!$J$20,0)+IF(C70=5,J70*Geometry!$K$20,0)</f>
        <v>0</v>
      </c>
      <c r="M70" s="59">
        <f>IF(C70=1,J70*Geometry!$G$19,0)+IF(C70=2,J70*Geometry!$H$19,0)+IF(C70=3,J70*Geometry!$I$19,0)+IF(C70=4,J70*Geometry!$J$19,0)+IF(C70=5,J70*Geometry!$K$19,0)</f>
        <v>0</v>
      </c>
      <c r="N70" s="59">
        <f>IF(C70=1,J70*Geometry!$G$22,0)+IF(C70=2,J70*Geometry!$H$22,0)+IF(C70=3,J70*Geometry!$I$22,0)+IF(C70=4,J70*Geometry!$J$22,0)+IF(C70=5,J70*Geometry!$K$22,0)</f>
        <v>0</v>
      </c>
      <c r="O70" s="59">
        <f>IF(C70=1,J70*Geometry!$G$23,0)+IF(C70=2,J70*Geometry!$H$23,0)+IF(C70=3,J70*Geometry!$I$23,0)+IF(C70=4,J70*Geometry!$J$23,0)+IF(C70=5,J70*Geometry!$K$23,0)</f>
        <v>0</v>
      </c>
      <c r="P70">
        <f>IF(C70=1,J70*Geometry!$G$24,0)+IF(C70=2,J70*Geometry!$H$24,0)+IF(C70=3,J70*Geometry!$I$24,0)+IF(C70=4,J70*Geometry!$J$24,0)+IF(C70=5,J70*Geometry!$K$24,0)</f>
        <v>0</v>
      </c>
    </row>
    <row r="71" spans="1:16">
      <c r="A71">
        <f t="shared" si="7"/>
        <v>65</v>
      </c>
      <c r="C71" s="7">
        <f t="shared" si="4"/>
        <v>3</v>
      </c>
      <c r="D71" s="69">
        <f>D70+Geometry!$C$15</f>
        <v>462.5</v>
      </c>
      <c r="E71" s="59">
        <f t="shared" si="5"/>
        <v>-256.25</v>
      </c>
      <c r="F71" s="4">
        <f>Geometry!$D$12*D71</f>
        <v>17.305909090909093</v>
      </c>
      <c r="G71" s="4">
        <f t="shared" ref="G71:G134" si="8">IF(H71&gt;0,F71/9.8,0)</f>
        <v>0</v>
      </c>
      <c r="H71" s="4">
        <f>IF(ABS(E71*E71)&lt;=Geometry!$E$10,SQRT(Geometry!$E$10-E71*E71),0)</f>
        <v>0</v>
      </c>
      <c r="I71" s="4">
        <f t="shared" ref="I71:I134" si="9">IF(H71&gt;0,1,0)</f>
        <v>0</v>
      </c>
      <c r="J71" s="5">
        <f t="shared" ref="J71:J95" si="10">PI()*H71*H71</f>
        <v>0</v>
      </c>
      <c r="K71" s="59">
        <f>IF(C71=1,J71*Geometry!$G$21,0)+IF(C71=2,J71*Geometry!$H$21,0)+IF(C71=3,J71*Geometry!$I$21,0)+IF(C71=4,J71*Geometry!$J$21,0)+IF(C71=5,J71*Geometry!$K$21,0)</f>
        <v>0</v>
      </c>
      <c r="L71" s="59">
        <f>IF(C71=1,J71*Geometry!$G$20,0)+IF(C71=2,J71*Geometry!$H$20,0)+IF(C71=3,J71*Geometry!$I$20,0)+IF(C71=4,J71*Geometry!$J$20,0)+IF(C71=5,J71*Geometry!$K$20,0)</f>
        <v>0</v>
      </c>
      <c r="M71" s="59">
        <f>IF(C71=1,J71*Geometry!$G$19,0)+IF(C71=2,J71*Geometry!$H$19,0)+IF(C71=3,J71*Geometry!$I$19,0)+IF(C71=4,J71*Geometry!$J$19,0)+IF(C71=5,J71*Geometry!$K$19,0)</f>
        <v>0</v>
      </c>
      <c r="N71" s="59">
        <f>IF(C71=1,J71*Geometry!$G$22,0)+IF(C71=2,J71*Geometry!$H$22,0)+IF(C71=3,J71*Geometry!$I$22,0)+IF(C71=4,J71*Geometry!$J$22,0)+IF(C71=5,J71*Geometry!$K$22,0)</f>
        <v>0</v>
      </c>
      <c r="O71" s="59">
        <f>IF(C71=1,J71*Geometry!$G$23,0)+IF(C71=2,J71*Geometry!$H$23,0)+IF(C71=3,J71*Geometry!$I$23,0)+IF(C71=4,J71*Geometry!$J$23,0)+IF(C71=5,J71*Geometry!$K$23,0)</f>
        <v>0</v>
      </c>
      <c r="P71">
        <f>IF(C71=1,J71*Geometry!$G$24,0)+IF(C71=2,J71*Geometry!$H$24,0)+IF(C71=3,J71*Geometry!$I$24,0)+IF(C71=4,J71*Geometry!$J$24,0)+IF(C71=5,J71*Geometry!$K$24,0)</f>
        <v>0</v>
      </c>
    </row>
    <row r="72" spans="1:16">
      <c r="A72">
        <f t="shared" ref="A72:A95" si="11">A71+1</f>
        <v>66</v>
      </c>
      <c r="C72" s="7">
        <f t="shared" ref="C72:C93" si="12">IF(A72&gt;$C$1-$C$4,3,IF(A72&lt;2,3,IF(A72&lt;=$D$3,1,IF(A72&gt;$E$3,1,2))))</f>
        <v>3</v>
      </c>
      <c r="D72" s="69">
        <f>D71+Geometry!$C$15</f>
        <v>467.5</v>
      </c>
      <c r="E72" s="59">
        <f t="shared" ref="E72:E135" si="13">E71-(D72-D71)</f>
        <v>-261.25</v>
      </c>
      <c r="F72" s="4">
        <f>Geometry!$D$12*D72</f>
        <v>17.493000000000002</v>
      </c>
      <c r="G72" s="4">
        <f t="shared" si="8"/>
        <v>0</v>
      </c>
      <c r="H72" s="4">
        <f>IF(ABS(E72*E72)&lt;=Geometry!$E$10,SQRT(Geometry!$E$10-E72*E72),0)</f>
        <v>0</v>
      </c>
      <c r="I72" s="4">
        <f t="shared" si="9"/>
        <v>0</v>
      </c>
      <c r="J72" s="5">
        <f t="shared" si="10"/>
        <v>0</v>
      </c>
      <c r="K72" s="59">
        <f>IF(C72=1,J72*Geometry!$G$21,0)+IF(C72=2,J72*Geometry!$H$21,0)+IF(C72=3,J72*Geometry!$I$21,0)+IF(C72=4,J72*Geometry!$J$21,0)+IF(C72=5,J72*Geometry!$K$21,0)</f>
        <v>0</v>
      </c>
      <c r="L72" s="59">
        <f>IF(C72=1,J72*Geometry!$G$20,0)+IF(C72=2,J72*Geometry!$H$20,0)+IF(C72=3,J72*Geometry!$I$20,0)+IF(C72=4,J72*Geometry!$J$20,0)+IF(C72=5,J72*Geometry!$K$20,0)</f>
        <v>0</v>
      </c>
      <c r="M72" s="59">
        <f>IF(C72=1,J72*Geometry!$G$19,0)+IF(C72=2,J72*Geometry!$H$19,0)+IF(C72=3,J72*Geometry!$I$19,0)+IF(C72=4,J72*Geometry!$J$19,0)+IF(C72=5,J72*Geometry!$K$19,0)</f>
        <v>0</v>
      </c>
      <c r="N72" s="59">
        <f>IF(C72=1,J72*Geometry!$G$22,0)+IF(C72=2,J72*Geometry!$H$22,0)+IF(C72=3,J72*Geometry!$I$22,0)+IF(C72=4,J72*Geometry!$J$22,0)+IF(C72=5,J72*Geometry!$K$22,0)</f>
        <v>0</v>
      </c>
      <c r="O72" s="59">
        <f>IF(C72=1,J72*Geometry!$G$23,0)+IF(C72=2,J72*Geometry!$H$23,0)+IF(C72=3,J72*Geometry!$I$23,0)+IF(C72=4,J72*Geometry!$J$23,0)+IF(C72=5,J72*Geometry!$K$23,0)</f>
        <v>0</v>
      </c>
      <c r="P72">
        <f>IF(C72=1,J72*Geometry!$G$24,0)+IF(C72=2,J72*Geometry!$H$24,0)+IF(C72=3,J72*Geometry!$I$24,0)+IF(C72=4,J72*Geometry!$J$24,0)+IF(C72=5,J72*Geometry!$K$24,0)</f>
        <v>0</v>
      </c>
    </row>
    <row r="73" spans="1:16">
      <c r="A73">
        <f t="shared" si="11"/>
        <v>67</v>
      </c>
      <c r="C73" s="7">
        <f t="shared" si="12"/>
        <v>3</v>
      </c>
      <c r="D73" s="69">
        <f>D72+Geometry!$C$15</f>
        <v>472.5</v>
      </c>
      <c r="E73" s="59">
        <f t="shared" si="13"/>
        <v>-266.25</v>
      </c>
      <c r="F73" s="4">
        <f>Geometry!$D$12*D73</f>
        <v>17.680090909090911</v>
      </c>
      <c r="G73" s="4">
        <f t="shared" si="8"/>
        <v>0</v>
      </c>
      <c r="H73" s="4">
        <f>IF(ABS(E73*E73)&lt;=Geometry!$E$10,SQRT(Geometry!$E$10-E73*E73),0)</f>
        <v>0</v>
      </c>
      <c r="I73" s="4">
        <f t="shared" si="9"/>
        <v>0</v>
      </c>
      <c r="J73" s="5">
        <f t="shared" si="10"/>
        <v>0</v>
      </c>
      <c r="K73" s="59">
        <f>IF(C73=1,J73*Geometry!$G$21,0)+IF(C73=2,J73*Geometry!$H$21,0)+IF(C73=3,J73*Geometry!$I$21,0)+IF(C73=4,J73*Geometry!$J$21,0)+IF(C73=5,J73*Geometry!$K$21,0)</f>
        <v>0</v>
      </c>
      <c r="L73" s="59">
        <f>IF(C73=1,J73*Geometry!$G$20,0)+IF(C73=2,J73*Geometry!$H$20,0)+IF(C73=3,J73*Geometry!$I$20,0)+IF(C73=4,J73*Geometry!$J$20,0)+IF(C73=5,J73*Geometry!$K$20,0)</f>
        <v>0</v>
      </c>
      <c r="M73" s="59">
        <f>IF(C73=1,J73*Geometry!$G$19,0)+IF(C73=2,J73*Geometry!$H$19,0)+IF(C73=3,J73*Geometry!$I$19,0)+IF(C73=4,J73*Geometry!$J$19,0)+IF(C73=5,J73*Geometry!$K$19,0)</f>
        <v>0</v>
      </c>
      <c r="N73" s="59">
        <f>IF(C73=1,J73*Geometry!$G$22,0)+IF(C73=2,J73*Geometry!$H$22,0)+IF(C73=3,J73*Geometry!$I$22,0)+IF(C73=4,J73*Geometry!$J$22,0)+IF(C73=5,J73*Geometry!$K$22,0)</f>
        <v>0</v>
      </c>
      <c r="O73" s="59">
        <f>IF(C73=1,J73*Geometry!$G$23,0)+IF(C73=2,J73*Geometry!$H$23,0)+IF(C73=3,J73*Geometry!$I$23,0)+IF(C73=4,J73*Geometry!$J$23,0)+IF(C73=5,J73*Geometry!$K$23,0)</f>
        <v>0</v>
      </c>
      <c r="P73">
        <f>IF(C73=1,J73*Geometry!$G$24,0)+IF(C73=2,J73*Geometry!$H$24,0)+IF(C73=3,J73*Geometry!$I$24,0)+IF(C73=4,J73*Geometry!$J$24,0)+IF(C73=5,J73*Geometry!$K$24,0)</f>
        <v>0</v>
      </c>
    </row>
    <row r="74" spans="1:16">
      <c r="A74">
        <f t="shared" si="11"/>
        <v>68</v>
      </c>
      <c r="C74" s="7">
        <f t="shared" si="12"/>
        <v>3</v>
      </c>
      <c r="D74" s="69">
        <f>D73+Geometry!$C$15</f>
        <v>477.5</v>
      </c>
      <c r="E74" s="59">
        <f t="shared" si="13"/>
        <v>-271.25</v>
      </c>
      <c r="F74" s="4">
        <f>Geometry!$D$12*D74</f>
        <v>17.86718181818182</v>
      </c>
      <c r="G74" s="4">
        <f t="shared" si="8"/>
        <v>0</v>
      </c>
      <c r="H74" s="4">
        <f>IF(ABS(E74*E74)&lt;=Geometry!$E$10,SQRT(Geometry!$E$10-E74*E74),0)</f>
        <v>0</v>
      </c>
      <c r="I74" s="4">
        <f t="shared" si="9"/>
        <v>0</v>
      </c>
      <c r="J74" s="5">
        <f t="shared" si="10"/>
        <v>0</v>
      </c>
      <c r="K74" s="59">
        <f>IF(C74=1,J74*Geometry!$G$21,0)+IF(C74=2,J74*Geometry!$H$21,0)+IF(C74=3,J74*Geometry!$I$21,0)+IF(C74=4,J74*Geometry!$J$21,0)+IF(C74=5,J74*Geometry!$K$21,0)</f>
        <v>0</v>
      </c>
      <c r="L74" s="59">
        <f>IF(C74=1,J74*Geometry!$G$20,0)+IF(C74=2,J74*Geometry!$H$20,0)+IF(C74=3,J74*Geometry!$I$20,0)+IF(C74=4,J74*Geometry!$J$20,0)+IF(C74=5,J74*Geometry!$K$20,0)</f>
        <v>0</v>
      </c>
      <c r="M74" s="59">
        <f>IF(C74=1,J74*Geometry!$G$19,0)+IF(C74=2,J74*Geometry!$H$19,0)+IF(C74=3,J74*Geometry!$I$19,0)+IF(C74=4,J74*Geometry!$J$19,0)+IF(C74=5,J74*Geometry!$K$19,0)</f>
        <v>0</v>
      </c>
      <c r="N74" s="59">
        <f>IF(C74=1,J74*Geometry!$G$22,0)+IF(C74=2,J74*Geometry!$H$22,0)+IF(C74=3,J74*Geometry!$I$22,0)+IF(C74=4,J74*Geometry!$J$22,0)+IF(C74=5,J74*Geometry!$K$22,0)</f>
        <v>0</v>
      </c>
      <c r="O74" s="59">
        <f>IF(C74=1,J74*Geometry!$G$23,0)+IF(C74=2,J74*Geometry!$H$23,0)+IF(C74=3,J74*Geometry!$I$23,0)+IF(C74=4,J74*Geometry!$J$23,0)+IF(C74=5,J74*Geometry!$K$23,0)</f>
        <v>0</v>
      </c>
      <c r="P74">
        <f>IF(C74=1,J74*Geometry!$G$24,0)+IF(C74=2,J74*Geometry!$H$24,0)+IF(C74=3,J74*Geometry!$I$24,0)+IF(C74=4,J74*Geometry!$J$24,0)+IF(C74=5,J74*Geometry!$K$24,0)</f>
        <v>0</v>
      </c>
    </row>
    <row r="75" spans="1:16">
      <c r="A75">
        <f t="shared" si="11"/>
        <v>69</v>
      </c>
      <c r="C75" s="7">
        <f t="shared" si="12"/>
        <v>3</v>
      </c>
      <c r="D75" s="69">
        <f>D74+Geometry!$C$15</f>
        <v>482.5</v>
      </c>
      <c r="E75" s="59">
        <f t="shared" si="13"/>
        <v>-276.25</v>
      </c>
      <c r="F75" s="4">
        <f>Geometry!$D$12*D75</f>
        <v>18.054272727272728</v>
      </c>
      <c r="G75" s="4">
        <f t="shared" si="8"/>
        <v>0</v>
      </c>
      <c r="H75" s="4">
        <f>IF(ABS(E75*E75)&lt;=Geometry!$E$10,SQRT(Geometry!$E$10-E75*E75),0)</f>
        <v>0</v>
      </c>
      <c r="I75" s="4">
        <f t="shared" si="9"/>
        <v>0</v>
      </c>
      <c r="J75" s="5">
        <f t="shared" si="10"/>
        <v>0</v>
      </c>
      <c r="K75" s="59">
        <f>IF(C75=1,J75*Geometry!$G$21,0)+IF(C75=2,J75*Geometry!$H$21,0)+IF(C75=3,J75*Geometry!$I$21,0)+IF(C75=4,J75*Geometry!$J$21,0)+IF(C75=5,J75*Geometry!$K$21,0)</f>
        <v>0</v>
      </c>
      <c r="L75" s="59">
        <f>IF(C75=1,J75*Geometry!$G$20,0)+IF(C75=2,J75*Geometry!$H$20,0)+IF(C75=3,J75*Geometry!$I$20,0)+IF(C75=4,J75*Geometry!$J$20,0)+IF(C75=5,J75*Geometry!$K$20,0)</f>
        <v>0</v>
      </c>
      <c r="M75" s="59">
        <f>IF(C75=1,J75*Geometry!$G$19,0)+IF(C75=2,J75*Geometry!$H$19,0)+IF(C75=3,J75*Geometry!$I$19,0)+IF(C75=4,J75*Geometry!$J$19,0)+IF(C75=5,J75*Geometry!$K$19,0)</f>
        <v>0</v>
      </c>
      <c r="N75" s="59">
        <f>IF(C75=1,J75*Geometry!$G$22,0)+IF(C75=2,J75*Geometry!$H$22,0)+IF(C75=3,J75*Geometry!$I$22,0)+IF(C75=4,J75*Geometry!$J$22,0)+IF(C75=5,J75*Geometry!$K$22,0)</f>
        <v>0</v>
      </c>
      <c r="O75" s="59">
        <f>IF(C75=1,J75*Geometry!$G$23,0)+IF(C75=2,J75*Geometry!$H$23,0)+IF(C75=3,J75*Geometry!$I$23,0)+IF(C75=4,J75*Geometry!$J$23,0)+IF(C75=5,J75*Geometry!$K$23,0)</f>
        <v>0</v>
      </c>
      <c r="P75">
        <f>IF(C75=1,J75*Geometry!$G$24,0)+IF(C75=2,J75*Geometry!$H$24,0)+IF(C75=3,J75*Geometry!$I$24,0)+IF(C75=4,J75*Geometry!$J$24,0)+IF(C75=5,J75*Geometry!$K$24,0)</f>
        <v>0</v>
      </c>
    </row>
    <row r="76" spans="1:16">
      <c r="A76">
        <f t="shared" si="11"/>
        <v>70</v>
      </c>
      <c r="C76" s="7">
        <f t="shared" si="12"/>
        <v>3</v>
      </c>
      <c r="D76" s="69">
        <f>D75+Geometry!$C$15</f>
        <v>487.5</v>
      </c>
      <c r="E76" s="59">
        <f t="shared" si="13"/>
        <v>-281.25</v>
      </c>
      <c r="F76" s="4">
        <f>Geometry!$D$12*D76</f>
        <v>18.241363636363637</v>
      </c>
      <c r="G76" s="4">
        <f t="shared" si="8"/>
        <v>0</v>
      </c>
      <c r="H76" s="4">
        <f>IF(ABS(E76*E76)&lt;=Geometry!$E$10,SQRT(Geometry!$E$10-E76*E76),0)</f>
        <v>0</v>
      </c>
      <c r="I76" s="4">
        <f t="shared" si="9"/>
        <v>0</v>
      </c>
      <c r="J76" s="5">
        <f t="shared" si="10"/>
        <v>0</v>
      </c>
      <c r="K76" s="59">
        <f>IF(C76=1,J76*Geometry!$G$21,0)+IF(C76=2,J76*Geometry!$H$21,0)+IF(C76=3,J76*Geometry!$I$21,0)+IF(C76=4,J76*Geometry!$J$21,0)+IF(C76=5,J76*Geometry!$K$21,0)</f>
        <v>0</v>
      </c>
      <c r="L76" s="59">
        <f>IF(C76=1,J76*Geometry!$G$20,0)+IF(C76=2,J76*Geometry!$H$20,0)+IF(C76=3,J76*Geometry!$I$20,0)+IF(C76=4,J76*Geometry!$J$20,0)+IF(C76=5,J76*Geometry!$K$20,0)</f>
        <v>0</v>
      </c>
      <c r="M76" s="59">
        <f>IF(C76=1,J76*Geometry!$G$19,0)+IF(C76=2,J76*Geometry!$H$19,0)+IF(C76=3,J76*Geometry!$I$19,0)+IF(C76=4,J76*Geometry!$J$19,0)+IF(C76=5,J76*Geometry!$K$19,0)</f>
        <v>0</v>
      </c>
      <c r="N76" s="59">
        <f>IF(C76=1,J76*Geometry!$G$22,0)+IF(C76=2,J76*Geometry!$H$22,0)+IF(C76=3,J76*Geometry!$I$22,0)+IF(C76=4,J76*Geometry!$J$22,0)+IF(C76=5,J76*Geometry!$K$22,0)</f>
        <v>0</v>
      </c>
      <c r="O76" s="59">
        <f>IF(C76=1,J76*Geometry!$G$23,0)+IF(C76=2,J76*Geometry!$H$23,0)+IF(C76=3,J76*Geometry!$I$23,0)+IF(C76=4,J76*Geometry!$J$23,0)+IF(C76=5,J76*Geometry!$K$23,0)</f>
        <v>0</v>
      </c>
      <c r="P76">
        <f>IF(C76=1,J76*Geometry!$G$24,0)+IF(C76=2,J76*Geometry!$H$24,0)+IF(C76=3,J76*Geometry!$I$24,0)+IF(C76=4,J76*Geometry!$J$24,0)+IF(C76=5,J76*Geometry!$K$24,0)</f>
        <v>0</v>
      </c>
    </row>
    <row r="77" spans="1:16">
      <c r="A77">
        <f t="shared" si="11"/>
        <v>71</v>
      </c>
      <c r="C77" s="7">
        <f t="shared" si="12"/>
        <v>3</v>
      </c>
      <c r="D77" s="69">
        <f>D76+Geometry!$C$15</f>
        <v>492.5</v>
      </c>
      <c r="E77" s="59">
        <f t="shared" si="13"/>
        <v>-286.25</v>
      </c>
      <c r="F77" s="4">
        <f>Geometry!$D$12*D77</f>
        <v>18.428454545454549</v>
      </c>
      <c r="G77" s="4">
        <f t="shared" si="8"/>
        <v>0</v>
      </c>
      <c r="H77" s="4">
        <f>IF(ABS(E77*E77)&lt;=Geometry!$E$10,SQRT(Geometry!$E$10-E77*E77),0)</f>
        <v>0</v>
      </c>
      <c r="I77" s="4">
        <f t="shared" si="9"/>
        <v>0</v>
      </c>
      <c r="J77" s="5">
        <f t="shared" si="10"/>
        <v>0</v>
      </c>
      <c r="K77" s="59">
        <f>IF(C77=1,J77*Geometry!$G$21,0)+IF(C77=2,J77*Geometry!$H$21,0)+IF(C77=3,J77*Geometry!$I$21,0)+IF(C77=4,J77*Geometry!$J$21,0)+IF(C77=5,J77*Geometry!$K$21,0)</f>
        <v>0</v>
      </c>
      <c r="L77" s="59">
        <f>IF(C77=1,J77*Geometry!$G$20,0)+IF(C77=2,J77*Geometry!$H$20,0)+IF(C77=3,J77*Geometry!$I$20,0)+IF(C77=4,J77*Geometry!$J$20,0)+IF(C77=5,J77*Geometry!$K$20,0)</f>
        <v>0</v>
      </c>
      <c r="M77" s="59">
        <f>IF(C77=1,J77*Geometry!$G$19,0)+IF(C77=2,J77*Geometry!$H$19,0)+IF(C77=3,J77*Geometry!$I$19,0)+IF(C77=4,J77*Geometry!$J$19,0)+IF(C77=5,J77*Geometry!$K$19,0)</f>
        <v>0</v>
      </c>
      <c r="N77" s="59">
        <f>IF(C77=1,J77*Geometry!$G$22,0)+IF(C77=2,J77*Geometry!$H$22,0)+IF(C77=3,J77*Geometry!$I$22,0)+IF(C77=4,J77*Geometry!$J$22,0)+IF(C77=5,J77*Geometry!$K$22,0)</f>
        <v>0</v>
      </c>
      <c r="O77" s="59">
        <f>IF(C77=1,J77*Geometry!$G$23,0)+IF(C77=2,J77*Geometry!$H$23,0)+IF(C77=3,J77*Geometry!$I$23,0)+IF(C77=4,J77*Geometry!$J$23,0)+IF(C77=5,J77*Geometry!$K$23,0)</f>
        <v>0</v>
      </c>
      <c r="P77">
        <f>IF(C77=1,J77*Geometry!$G$24,0)+IF(C77=2,J77*Geometry!$H$24,0)+IF(C77=3,J77*Geometry!$I$24,0)+IF(C77=4,J77*Geometry!$J$24,0)+IF(C77=5,J77*Geometry!$K$24,0)</f>
        <v>0</v>
      </c>
    </row>
    <row r="78" spans="1:16">
      <c r="A78">
        <f t="shared" si="11"/>
        <v>72</v>
      </c>
      <c r="C78" s="7">
        <f t="shared" si="12"/>
        <v>3</v>
      </c>
      <c r="D78" s="69">
        <f>D77+Geometry!$C$15</f>
        <v>497.5</v>
      </c>
      <c r="E78" s="59">
        <f t="shared" si="13"/>
        <v>-291.25</v>
      </c>
      <c r="F78" s="4">
        <f>Geometry!$D$12*D78</f>
        <v>18.615545454545458</v>
      </c>
      <c r="G78" s="4">
        <f t="shared" si="8"/>
        <v>0</v>
      </c>
      <c r="H78" s="4">
        <f>IF(ABS(E78*E78)&lt;=Geometry!$E$10,SQRT(Geometry!$E$10-E78*E78),0)</f>
        <v>0</v>
      </c>
      <c r="I78" s="4">
        <f t="shared" si="9"/>
        <v>0</v>
      </c>
      <c r="J78" s="5">
        <f t="shared" si="10"/>
        <v>0</v>
      </c>
      <c r="K78" s="59">
        <f>IF(C78=1,J78*Geometry!$G$21,0)+IF(C78=2,J78*Geometry!$H$21,0)+IF(C78=3,J78*Geometry!$I$21,0)+IF(C78=4,J78*Geometry!$J$21,0)+IF(C78=5,J78*Geometry!$K$21,0)</f>
        <v>0</v>
      </c>
      <c r="L78" s="59">
        <f>IF(C78=1,J78*Geometry!$G$20,0)+IF(C78=2,J78*Geometry!$H$20,0)+IF(C78=3,J78*Geometry!$I$20,0)+IF(C78=4,J78*Geometry!$J$20,0)+IF(C78=5,J78*Geometry!$K$20,0)</f>
        <v>0</v>
      </c>
      <c r="M78" s="59">
        <f>IF(C78=1,J78*Geometry!$G$19,0)+IF(C78=2,J78*Geometry!$H$19,0)+IF(C78=3,J78*Geometry!$I$19,0)+IF(C78=4,J78*Geometry!$J$19,0)+IF(C78=5,J78*Geometry!$K$19,0)</f>
        <v>0</v>
      </c>
      <c r="N78" s="59">
        <f>IF(C78=1,J78*Geometry!$G$22,0)+IF(C78=2,J78*Geometry!$H$22,0)+IF(C78=3,J78*Geometry!$I$22,0)+IF(C78=4,J78*Geometry!$J$22,0)+IF(C78=5,J78*Geometry!$K$22,0)</f>
        <v>0</v>
      </c>
      <c r="O78" s="59">
        <f>IF(C78=1,J78*Geometry!$G$23,0)+IF(C78=2,J78*Geometry!$H$23,0)+IF(C78=3,J78*Geometry!$I$23,0)+IF(C78=4,J78*Geometry!$J$23,0)+IF(C78=5,J78*Geometry!$K$23,0)</f>
        <v>0</v>
      </c>
      <c r="P78">
        <f>IF(C78=1,J78*Geometry!$G$24,0)+IF(C78=2,J78*Geometry!$H$24,0)+IF(C78=3,J78*Geometry!$I$24,0)+IF(C78=4,J78*Geometry!$J$24,0)+IF(C78=5,J78*Geometry!$K$24,0)</f>
        <v>0</v>
      </c>
    </row>
    <row r="79" spans="1:16">
      <c r="A79">
        <f t="shared" si="11"/>
        <v>73</v>
      </c>
      <c r="C79" s="7">
        <f t="shared" si="12"/>
        <v>3</v>
      </c>
      <c r="D79" s="69">
        <f>D78+Geometry!$C$15</f>
        <v>502.5</v>
      </c>
      <c r="E79" s="59">
        <f t="shared" si="13"/>
        <v>-296.25</v>
      </c>
      <c r="F79" s="4">
        <f>Geometry!$D$12*D79</f>
        <v>18.802636363636367</v>
      </c>
      <c r="G79" s="4">
        <f t="shared" si="8"/>
        <v>0</v>
      </c>
      <c r="H79" s="4">
        <f>IF(ABS(E79*E79)&lt;=Geometry!$E$10,SQRT(Geometry!$E$10-E79*E79),0)</f>
        <v>0</v>
      </c>
      <c r="I79" s="4">
        <f t="shared" si="9"/>
        <v>0</v>
      </c>
      <c r="J79" s="5">
        <f t="shared" si="10"/>
        <v>0</v>
      </c>
      <c r="K79" s="59">
        <f>IF(C79=1,J79*Geometry!$G$21,0)+IF(C79=2,J79*Geometry!$H$21,0)+IF(C79=3,J79*Geometry!$I$21,0)+IF(C79=4,J79*Geometry!$J$21,0)+IF(C79=5,J79*Geometry!$K$21,0)</f>
        <v>0</v>
      </c>
      <c r="L79" s="59">
        <f>IF(C79=1,J79*Geometry!$G$20,0)+IF(C79=2,J79*Geometry!$H$20,0)+IF(C79=3,J79*Geometry!$I$20,0)+IF(C79=4,J79*Geometry!$J$20,0)+IF(C79=5,J79*Geometry!$K$20,0)</f>
        <v>0</v>
      </c>
      <c r="M79" s="59">
        <f>IF(C79=1,J79*Geometry!$G$19,0)+IF(C79=2,J79*Geometry!$H$19,0)+IF(C79=3,J79*Geometry!$I$19,0)+IF(C79=4,J79*Geometry!$J$19,0)+IF(C79=5,J79*Geometry!$K$19,0)</f>
        <v>0</v>
      </c>
      <c r="N79" s="59">
        <f>IF(C79=1,J79*Geometry!$G$22,0)+IF(C79=2,J79*Geometry!$H$22,0)+IF(C79=3,J79*Geometry!$I$22,0)+IF(C79=4,J79*Geometry!$J$22,0)+IF(C79=5,J79*Geometry!$K$22,0)</f>
        <v>0</v>
      </c>
      <c r="O79" s="59">
        <f>IF(C79=1,J79*Geometry!$G$23,0)+IF(C79=2,J79*Geometry!$H$23,0)+IF(C79=3,J79*Geometry!$I$23,0)+IF(C79=4,J79*Geometry!$J$23,0)+IF(C79=5,J79*Geometry!$K$23,0)</f>
        <v>0</v>
      </c>
      <c r="P79">
        <f>IF(C79=1,J79*Geometry!$G$24,0)+IF(C79=2,J79*Geometry!$H$24,0)+IF(C79=3,J79*Geometry!$I$24,0)+IF(C79=4,J79*Geometry!$J$24,0)+IF(C79=5,J79*Geometry!$K$24,0)</f>
        <v>0</v>
      </c>
    </row>
    <row r="80" spans="1:16">
      <c r="A80">
        <f t="shared" si="11"/>
        <v>74</v>
      </c>
      <c r="C80" s="7">
        <f t="shared" si="12"/>
        <v>3</v>
      </c>
      <c r="D80" s="69">
        <f>D79+Geometry!$C$15</f>
        <v>507.5</v>
      </c>
      <c r="E80" s="59">
        <f t="shared" si="13"/>
        <v>-301.25</v>
      </c>
      <c r="F80" s="4">
        <f>Geometry!$D$12*D80</f>
        <v>18.989727272727276</v>
      </c>
      <c r="G80" s="4">
        <f t="shared" si="8"/>
        <v>0</v>
      </c>
      <c r="H80" s="4">
        <f>IF(ABS(E80*E80)&lt;=Geometry!$E$10,SQRT(Geometry!$E$10-E80*E80),0)</f>
        <v>0</v>
      </c>
      <c r="I80" s="4">
        <f t="shared" si="9"/>
        <v>0</v>
      </c>
      <c r="J80" s="5">
        <f t="shared" si="10"/>
        <v>0</v>
      </c>
      <c r="K80" s="59">
        <f>IF(C80=1,J80*Geometry!$G$21,0)+IF(C80=2,J80*Geometry!$H$21,0)+IF(C80=3,J80*Geometry!$I$21,0)+IF(C80=4,J80*Geometry!$J$21,0)+IF(C80=5,J80*Geometry!$K$21,0)</f>
        <v>0</v>
      </c>
      <c r="L80" s="59">
        <f>IF(C80=1,J80*Geometry!$G$20,0)+IF(C80=2,J80*Geometry!$H$20,0)+IF(C80=3,J80*Geometry!$I$20,0)+IF(C80=4,J80*Geometry!$J$20,0)+IF(C80=5,J80*Geometry!$K$20,0)</f>
        <v>0</v>
      </c>
      <c r="M80" s="59">
        <f>IF(C80=1,J80*Geometry!$G$19,0)+IF(C80=2,J80*Geometry!$H$19,0)+IF(C80=3,J80*Geometry!$I$19,0)+IF(C80=4,J80*Geometry!$J$19,0)+IF(C80=5,J80*Geometry!$K$19,0)</f>
        <v>0</v>
      </c>
      <c r="N80" s="59">
        <f>IF(C80=1,J80*Geometry!$G$22,0)+IF(C80=2,J80*Geometry!$H$22,0)+IF(C80=3,J80*Geometry!$I$22,0)+IF(C80=4,J80*Geometry!$J$22,0)+IF(C80=5,J80*Geometry!$K$22,0)</f>
        <v>0</v>
      </c>
      <c r="O80" s="59">
        <f>IF(C80=1,J80*Geometry!$G$23,0)+IF(C80=2,J80*Geometry!$H$23,0)+IF(C80=3,J80*Geometry!$I$23,0)+IF(C80=4,J80*Geometry!$J$23,0)+IF(C80=5,J80*Geometry!$K$23,0)</f>
        <v>0</v>
      </c>
      <c r="P80">
        <f>IF(C80=1,J80*Geometry!$G$24,0)+IF(C80=2,J80*Geometry!$H$24,0)+IF(C80=3,J80*Geometry!$I$24,0)+IF(C80=4,J80*Geometry!$J$24,0)+IF(C80=5,J80*Geometry!$K$24,0)</f>
        <v>0</v>
      </c>
    </row>
    <row r="81" spans="1:16">
      <c r="A81">
        <f t="shared" si="11"/>
        <v>75</v>
      </c>
      <c r="C81" s="7">
        <f t="shared" si="12"/>
        <v>3</v>
      </c>
      <c r="D81" s="69">
        <f>D80+Geometry!$C$15</f>
        <v>512.5</v>
      </c>
      <c r="E81" s="59">
        <f t="shared" si="13"/>
        <v>-306.25</v>
      </c>
      <c r="F81" s="4">
        <f>Geometry!$D$12*D81</f>
        <v>19.176818181818184</v>
      </c>
      <c r="G81" s="4">
        <f t="shared" si="8"/>
        <v>0</v>
      </c>
      <c r="H81" s="4">
        <f>IF(ABS(E81*E81)&lt;=Geometry!$E$10,SQRT(Geometry!$E$10-E81*E81),0)</f>
        <v>0</v>
      </c>
      <c r="I81" s="4">
        <f t="shared" si="9"/>
        <v>0</v>
      </c>
      <c r="J81" s="5">
        <f t="shared" si="10"/>
        <v>0</v>
      </c>
      <c r="K81" s="59">
        <f>IF(C81=1,J81*Geometry!$G$21,0)+IF(C81=2,J81*Geometry!$H$21,0)+IF(C81=3,J81*Geometry!$I$21,0)+IF(C81=4,J81*Geometry!$J$21,0)+IF(C81=5,J81*Geometry!$K$21,0)</f>
        <v>0</v>
      </c>
      <c r="L81" s="59">
        <f>IF(C81=1,J81*Geometry!$G$20,0)+IF(C81=2,J81*Geometry!$H$20,0)+IF(C81=3,J81*Geometry!$I$20,0)+IF(C81=4,J81*Geometry!$J$20,0)+IF(C81=5,J81*Geometry!$K$20,0)</f>
        <v>0</v>
      </c>
      <c r="M81" s="59">
        <f>IF(C81=1,J81*Geometry!$G$19,0)+IF(C81=2,J81*Geometry!$H$19,0)+IF(C81=3,J81*Geometry!$I$19,0)+IF(C81=4,J81*Geometry!$J$19,0)+IF(C81=5,J81*Geometry!$K$19,0)</f>
        <v>0</v>
      </c>
      <c r="N81" s="59">
        <f>IF(C81=1,J81*Geometry!$G$22,0)+IF(C81=2,J81*Geometry!$H$22,0)+IF(C81=3,J81*Geometry!$I$22,0)+IF(C81=4,J81*Geometry!$J$22,0)+IF(C81=5,J81*Geometry!$K$22,0)</f>
        <v>0</v>
      </c>
      <c r="O81" s="59">
        <f>IF(C81=1,J81*Geometry!$G$23,0)+IF(C81=2,J81*Geometry!$H$23,0)+IF(C81=3,J81*Geometry!$I$23,0)+IF(C81=4,J81*Geometry!$J$23,0)+IF(C81=5,J81*Geometry!$K$23,0)</f>
        <v>0</v>
      </c>
      <c r="P81">
        <f>IF(C81=1,J81*Geometry!$G$24,0)+IF(C81=2,J81*Geometry!$H$24,0)+IF(C81=3,J81*Geometry!$I$24,0)+IF(C81=4,J81*Geometry!$J$24,0)+IF(C81=5,J81*Geometry!$K$24,0)</f>
        <v>0</v>
      </c>
    </row>
    <row r="82" spans="1:16">
      <c r="A82">
        <f t="shared" si="11"/>
        <v>76</v>
      </c>
      <c r="C82" s="7">
        <f t="shared" si="12"/>
        <v>3</v>
      </c>
      <c r="D82" s="69">
        <f>D81+Geometry!$C$15</f>
        <v>517.5</v>
      </c>
      <c r="E82" s="59">
        <f t="shared" si="13"/>
        <v>-311.25</v>
      </c>
      <c r="F82" s="4">
        <f>Geometry!$D$12*D82</f>
        <v>19.363909090909093</v>
      </c>
      <c r="G82" s="4">
        <f t="shared" si="8"/>
        <v>0</v>
      </c>
      <c r="H82" s="4">
        <f>IF(ABS(E82*E82)&lt;=Geometry!$E$10,SQRT(Geometry!$E$10-E82*E82),0)</f>
        <v>0</v>
      </c>
      <c r="I82" s="4">
        <f t="shared" si="9"/>
        <v>0</v>
      </c>
      <c r="J82" s="5">
        <f t="shared" si="10"/>
        <v>0</v>
      </c>
      <c r="K82" s="59">
        <f>IF(C82=1,J82*Geometry!$G$21,0)+IF(C82=2,J82*Geometry!$H$21,0)+IF(C82=3,J82*Geometry!$I$21,0)+IF(C82=4,J82*Geometry!$J$21,0)+IF(C82=5,J82*Geometry!$K$21,0)</f>
        <v>0</v>
      </c>
      <c r="L82" s="59">
        <f>IF(C82=1,J82*Geometry!$G$20,0)+IF(C82=2,J82*Geometry!$H$20,0)+IF(C82=3,J82*Geometry!$I$20,0)+IF(C82=4,J82*Geometry!$J$20,0)+IF(C82=5,J82*Geometry!$K$20,0)</f>
        <v>0</v>
      </c>
      <c r="M82" s="59">
        <f>IF(C82=1,J82*Geometry!$G$19,0)+IF(C82=2,J82*Geometry!$H$19,0)+IF(C82=3,J82*Geometry!$I$19,0)+IF(C82=4,J82*Geometry!$J$19,0)+IF(C82=5,J82*Geometry!$K$19,0)</f>
        <v>0</v>
      </c>
      <c r="N82" s="59">
        <f>IF(C82=1,J82*Geometry!$G$22,0)+IF(C82=2,J82*Geometry!$H$22,0)+IF(C82=3,J82*Geometry!$I$22,0)+IF(C82=4,J82*Geometry!$J$22,0)+IF(C82=5,J82*Geometry!$K$22,0)</f>
        <v>0</v>
      </c>
      <c r="O82" s="59">
        <f>IF(C82=1,J82*Geometry!$G$23,0)+IF(C82=2,J82*Geometry!$H$23,0)+IF(C82=3,J82*Geometry!$I$23,0)+IF(C82=4,J82*Geometry!$J$23,0)+IF(C82=5,J82*Geometry!$K$23,0)</f>
        <v>0</v>
      </c>
      <c r="P82">
        <f>IF(C82=1,J82*Geometry!$G$24,0)+IF(C82=2,J82*Geometry!$H$24,0)+IF(C82=3,J82*Geometry!$I$24,0)+IF(C82=4,J82*Geometry!$J$24,0)+IF(C82=5,J82*Geometry!$K$24,0)</f>
        <v>0</v>
      </c>
    </row>
    <row r="83" spans="1:16">
      <c r="A83">
        <f t="shared" si="11"/>
        <v>77</v>
      </c>
      <c r="C83" s="7">
        <f t="shared" si="12"/>
        <v>3</v>
      </c>
      <c r="D83" s="69">
        <f>D82+Geometry!$C$15</f>
        <v>522.5</v>
      </c>
      <c r="E83" s="59">
        <f t="shared" si="13"/>
        <v>-316.25</v>
      </c>
      <c r="F83" s="4">
        <f>Geometry!$D$12*D83</f>
        <v>19.551000000000002</v>
      </c>
      <c r="G83" s="4">
        <f t="shared" si="8"/>
        <v>0</v>
      </c>
      <c r="H83" s="4">
        <f>IF(ABS(E83*E83)&lt;=Geometry!$E$10,SQRT(Geometry!$E$10-E83*E83),0)</f>
        <v>0</v>
      </c>
      <c r="I83" s="4">
        <f t="shared" si="9"/>
        <v>0</v>
      </c>
      <c r="J83" s="5">
        <f t="shared" si="10"/>
        <v>0</v>
      </c>
      <c r="K83" s="59">
        <f>IF(C83=1,J83*Geometry!$G$21,0)+IF(C83=2,J83*Geometry!$H$21,0)+IF(C83=3,J83*Geometry!$I$21,0)+IF(C83=4,J83*Geometry!$J$21,0)+IF(C83=5,J83*Geometry!$K$21,0)</f>
        <v>0</v>
      </c>
      <c r="L83" s="59">
        <f>IF(C83=1,J83*Geometry!$G$20,0)+IF(C83=2,J83*Geometry!$H$20,0)+IF(C83=3,J83*Geometry!$I$20,0)+IF(C83=4,J83*Geometry!$J$20,0)+IF(C83=5,J83*Geometry!$K$20,0)</f>
        <v>0</v>
      </c>
      <c r="M83" s="59">
        <f>IF(C83=1,J83*Geometry!$G$19,0)+IF(C83=2,J83*Geometry!$H$19,0)+IF(C83=3,J83*Geometry!$I$19,0)+IF(C83=4,J83*Geometry!$J$19,0)+IF(C83=5,J83*Geometry!$K$19,0)</f>
        <v>0</v>
      </c>
      <c r="N83" s="59">
        <f>IF(C83=1,J83*Geometry!$G$22,0)+IF(C83=2,J83*Geometry!$H$22,0)+IF(C83=3,J83*Geometry!$I$22,0)+IF(C83=4,J83*Geometry!$J$22,0)+IF(C83=5,J83*Geometry!$K$22,0)</f>
        <v>0</v>
      </c>
      <c r="O83" s="59">
        <f>IF(C83=1,J83*Geometry!$G$23,0)+IF(C83=2,J83*Geometry!$H$23,0)+IF(C83=3,J83*Geometry!$I$23,0)+IF(C83=4,J83*Geometry!$J$23,0)+IF(C83=5,J83*Geometry!$K$23,0)</f>
        <v>0</v>
      </c>
      <c r="P83">
        <f>IF(C83=1,J83*Geometry!$G$24,0)+IF(C83=2,J83*Geometry!$H$24,0)+IF(C83=3,J83*Geometry!$I$24,0)+IF(C83=4,J83*Geometry!$J$24,0)+IF(C83=5,J83*Geometry!$K$24,0)</f>
        <v>0</v>
      </c>
    </row>
    <row r="84" spans="1:16">
      <c r="A84">
        <f t="shared" si="11"/>
        <v>78</v>
      </c>
      <c r="C84" s="7">
        <f t="shared" si="12"/>
        <v>3</v>
      </c>
      <c r="D84" s="69">
        <f>D83+Geometry!$C$15</f>
        <v>527.5</v>
      </c>
      <c r="E84" s="59">
        <f t="shared" si="13"/>
        <v>-321.25</v>
      </c>
      <c r="F84" s="4">
        <f>Geometry!$D$12*D84</f>
        <v>19.738090909090911</v>
      </c>
      <c r="G84" s="4">
        <f t="shared" si="8"/>
        <v>0</v>
      </c>
      <c r="H84" s="4">
        <f>IF(ABS(E84*E84)&lt;=Geometry!$E$10,SQRT(Geometry!$E$10-E84*E84),0)</f>
        <v>0</v>
      </c>
      <c r="I84" s="4">
        <f t="shared" si="9"/>
        <v>0</v>
      </c>
      <c r="J84" s="5">
        <f t="shared" si="10"/>
        <v>0</v>
      </c>
      <c r="K84" s="59">
        <f>IF(C84=1,J84*Geometry!$G$21,0)+IF(C84=2,J84*Geometry!$H$21,0)+IF(C84=3,J84*Geometry!$I$21,0)+IF(C84=4,J84*Geometry!$J$21,0)+IF(C84=5,J84*Geometry!$K$21,0)</f>
        <v>0</v>
      </c>
      <c r="L84" s="59">
        <f>IF(C84=1,J84*Geometry!$G$20,0)+IF(C84=2,J84*Geometry!$H$20,0)+IF(C84=3,J84*Geometry!$I$20,0)+IF(C84=4,J84*Geometry!$J$20,0)+IF(C84=5,J84*Geometry!$K$20,0)</f>
        <v>0</v>
      </c>
      <c r="M84" s="59">
        <f>IF(C84=1,J84*Geometry!$G$19,0)+IF(C84=2,J84*Geometry!$H$19,0)+IF(C84=3,J84*Geometry!$I$19,0)+IF(C84=4,J84*Geometry!$J$19,0)+IF(C84=5,J84*Geometry!$K$19,0)</f>
        <v>0</v>
      </c>
      <c r="N84" s="59">
        <f>IF(C84=1,J84*Geometry!$G$22,0)+IF(C84=2,J84*Geometry!$H$22,0)+IF(C84=3,J84*Geometry!$I$22,0)+IF(C84=4,J84*Geometry!$J$22,0)+IF(C84=5,J84*Geometry!$K$22,0)</f>
        <v>0</v>
      </c>
      <c r="O84" s="59">
        <f>IF(C84=1,J84*Geometry!$G$23,0)+IF(C84=2,J84*Geometry!$H$23,0)+IF(C84=3,J84*Geometry!$I$23,0)+IF(C84=4,J84*Geometry!$J$23,0)+IF(C84=5,J84*Geometry!$K$23,0)</f>
        <v>0</v>
      </c>
      <c r="P84">
        <f>IF(C84=1,J84*Geometry!$G$24,0)+IF(C84=2,J84*Geometry!$H$24,0)+IF(C84=3,J84*Geometry!$I$24,0)+IF(C84=4,J84*Geometry!$J$24,0)+IF(C84=5,J84*Geometry!$K$24,0)</f>
        <v>0</v>
      </c>
    </row>
    <row r="85" spans="1:16">
      <c r="A85">
        <f t="shared" si="11"/>
        <v>79</v>
      </c>
      <c r="C85" s="7">
        <f t="shared" si="12"/>
        <v>3</v>
      </c>
      <c r="D85" s="69">
        <f>D84+Geometry!$C$15</f>
        <v>532.5</v>
      </c>
      <c r="E85" s="59">
        <f t="shared" si="13"/>
        <v>-326.25</v>
      </c>
      <c r="F85" s="4">
        <f>Geometry!$D$12*D85</f>
        <v>19.925181818181819</v>
      </c>
      <c r="G85" s="4">
        <f t="shared" si="8"/>
        <v>0</v>
      </c>
      <c r="H85" s="4">
        <f>IF(ABS(E85*E85)&lt;=Geometry!$E$10,SQRT(Geometry!$E$10-E85*E85),0)</f>
        <v>0</v>
      </c>
      <c r="I85" s="4">
        <f t="shared" si="9"/>
        <v>0</v>
      </c>
      <c r="J85" s="5">
        <f t="shared" si="10"/>
        <v>0</v>
      </c>
      <c r="K85" s="59">
        <f>IF(C85=1,J85*Geometry!$G$21,0)+IF(C85=2,J85*Geometry!$H$21,0)+IF(C85=3,J85*Geometry!$I$21,0)+IF(C85=4,J85*Geometry!$J$21,0)+IF(C85=5,J85*Geometry!$K$21,0)</f>
        <v>0</v>
      </c>
      <c r="L85" s="59">
        <f>IF(C85=1,J85*Geometry!$G$20,0)+IF(C85=2,J85*Geometry!$H$20,0)+IF(C85=3,J85*Geometry!$I$20,0)+IF(C85=4,J85*Geometry!$J$20,0)+IF(C85=5,J85*Geometry!$K$20,0)</f>
        <v>0</v>
      </c>
      <c r="M85" s="59">
        <f>IF(C85=1,J85*Geometry!$G$19,0)+IF(C85=2,J85*Geometry!$H$19,0)+IF(C85=3,J85*Geometry!$I$19,0)+IF(C85=4,J85*Geometry!$J$19,0)+IF(C85=5,J85*Geometry!$K$19,0)</f>
        <v>0</v>
      </c>
      <c r="N85" s="59">
        <f>IF(C85=1,J85*Geometry!$G$22,0)+IF(C85=2,J85*Geometry!$H$22,0)+IF(C85=3,J85*Geometry!$I$22,0)+IF(C85=4,J85*Geometry!$J$22,0)+IF(C85=5,J85*Geometry!$K$22,0)</f>
        <v>0</v>
      </c>
      <c r="O85" s="59">
        <f>IF(C85=1,J85*Geometry!$G$23,0)+IF(C85=2,J85*Geometry!$H$23,0)+IF(C85=3,J85*Geometry!$I$23,0)+IF(C85=4,J85*Geometry!$J$23,0)+IF(C85=5,J85*Geometry!$K$23,0)</f>
        <v>0</v>
      </c>
      <c r="P85">
        <f>IF(C85=1,J85*Geometry!$G$24,0)+IF(C85=2,J85*Geometry!$H$24,0)+IF(C85=3,J85*Geometry!$I$24,0)+IF(C85=4,J85*Geometry!$J$24,0)+IF(C85=5,J85*Geometry!$K$24,0)</f>
        <v>0</v>
      </c>
    </row>
    <row r="86" spans="1:16">
      <c r="A86">
        <f t="shared" si="11"/>
        <v>80</v>
      </c>
      <c r="C86" s="7">
        <f t="shared" si="12"/>
        <v>3</v>
      </c>
      <c r="D86" s="69">
        <f>D85+Geometry!$C$15</f>
        <v>537.5</v>
      </c>
      <c r="E86" s="59">
        <f t="shared" si="13"/>
        <v>-331.25</v>
      </c>
      <c r="F86" s="4">
        <f>Geometry!$D$12*D86</f>
        <v>20.112272727272728</v>
      </c>
      <c r="G86" s="4">
        <f t="shared" si="8"/>
        <v>0</v>
      </c>
      <c r="H86" s="4">
        <f>IF(ABS(E86*E86)&lt;=Geometry!$E$10,SQRT(Geometry!$E$10-E86*E86),0)</f>
        <v>0</v>
      </c>
      <c r="I86" s="4">
        <f t="shared" si="9"/>
        <v>0</v>
      </c>
      <c r="J86" s="5">
        <f t="shared" si="10"/>
        <v>0</v>
      </c>
      <c r="K86" s="59">
        <f>IF(C86=1,J86*Geometry!$G$21,0)+IF(C86=2,J86*Geometry!$H$21,0)+IF(C86=3,J86*Geometry!$I$21,0)+IF(C86=4,J86*Geometry!$J$21,0)+IF(C86=5,J86*Geometry!$K$21,0)</f>
        <v>0</v>
      </c>
      <c r="L86" s="59">
        <f>IF(C86=1,J86*Geometry!$G$20,0)+IF(C86=2,J86*Geometry!$H$20,0)+IF(C86=3,J86*Geometry!$I$20,0)+IF(C86=4,J86*Geometry!$J$20,0)+IF(C86=5,J86*Geometry!$K$20,0)</f>
        <v>0</v>
      </c>
      <c r="M86" s="59">
        <f>IF(C86=1,J86*Geometry!$G$19,0)+IF(C86=2,J86*Geometry!$H$19,0)+IF(C86=3,J86*Geometry!$I$19,0)+IF(C86=4,J86*Geometry!$J$19,0)+IF(C86=5,J86*Geometry!$K$19,0)</f>
        <v>0</v>
      </c>
      <c r="N86" s="59">
        <f>IF(C86=1,J86*Geometry!$G$22,0)+IF(C86=2,J86*Geometry!$H$22,0)+IF(C86=3,J86*Geometry!$I$22,0)+IF(C86=4,J86*Geometry!$J$22,0)+IF(C86=5,J86*Geometry!$K$22,0)</f>
        <v>0</v>
      </c>
      <c r="O86" s="59">
        <f>IF(C86=1,J86*Geometry!$G$23,0)+IF(C86=2,J86*Geometry!$H$23,0)+IF(C86=3,J86*Geometry!$I$23,0)+IF(C86=4,J86*Geometry!$J$23,0)+IF(C86=5,J86*Geometry!$K$23,0)</f>
        <v>0</v>
      </c>
      <c r="P86">
        <f>IF(C86=1,J86*Geometry!$G$24,0)+IF(C86=2,J86*Geometry!$H$24,0)+IF(C86=3,J86*Geometry!$I$24,0)+IF(C86=4,J86*Geometry!$J$24,0)+IF(C86=5,J86*Geometry!$K$24,0)</f>
        <v>0</v>
      </c>
    </row>
    <row r="87" spans="1:16">
      <c r="A87">
        <f t="shared" si="11"/>
        <v>81</v>
      </c>
      <c r="C87" s="7">
        <f t="shared" si="12"/>
        <v>3</v>
      </c>
      <c r="D87" s="69">
        <f>D86+Geometry!$C$15</f>
        <v>542.5</v>
      </c>
      <c r="E87" s="59">
        <f t="shared" si="13"/>
        <v>-336.25</v>
      </c>
      <c r="F87" s="4">
        <f>Geometry!$D$12*D87</f>
        <v>20.29936363636364</v>
      </c>
      <c r="G87" s="4">
        <f t="shared" si="8"/>
        <v>0</v>
      </c>
      <c r="H87" s="4">
        <f>IF(ABS(E87*E87)&lt;=Geometry!$E$10,SQRT(Geometry!$E$10-E87*E87),0)</f>
        <v>0</v>
      </c>
      <c r="I87" s="4">
        <f t="shared" si="9"/>
        <v>0</v>
      </c>
      <c r="J87" s="5">
        <f t="shared" si="10"/>
        <v>0</v>
      </c>
      <c r="K87" s="59">
        <f>IF(C87=1,J87*Geometry!$G$21,0)+IF(C87=2,J87*Geometry!$H$21,0)+IF(C87=3,J87*Geometry!$I$21,0)+IF(C87=4,J87*Geometry!$J$21,0)+IF(C87=5,J87*Geometry!$K$21,0)</f>
        <v>0</v>
      </c>
      <c r="L87" s="59">
        <f>IF(C87=1,J87*Geometry!$G$20,0)+IF(C87=2,J87*Geometry!$H$20,0)+IF(C87=3,J87*Geometry!$I$20,0)+IF(C87=4,J87*Geometry!$J$20,0)+IF(C87=5,J87*Geometry!$K$20,0)</f>
        <v>0</v>
      </c>
      <c r="M87" s="59">
        <f>IF(C87=1,J87*Geometry!$G$19,0)+IF(C87=2,J87*Geometry!$H$19,0)+IF(C87=3,J87*Geometry!$I$19,0)+IF(C87=4,J87*Geometry!$J$19,0)+IF(C87=5,J87*Geometry!$K$19,0)</f>
        <v>0</v>
      </c>
      <c r="N87" s="59">
        <f>IF(C87=1,J87*Geometry!$G$22,0)+IF(C87=2,J87*Geometry!$H$22,0)+IF(C87=3,J87*Geometry!$I$22,0)+IF(C87=4,J87*Geometry!$J$22,0)+IF(C87=5,J87*Geometry!$K$22,0)</f>
        <v>0</v>
      </c>
      <c r="O87" s="59">
        <f>IF(C87=1,J87*Geometry!$G$23,0)+IF(C87=2,J87*Geometry!$H$23,0)+IF(C87=3,J87*Geometry!$I$23,0)+IF(C87=4,J87*Geometry!$J$23,0)+IF(C87=5,J87*Geometry!$K$23,0)</f>
        <v>0</v>
      </c>
      <c r="P87">
        <f>IF(C87=1,J87*Geometry!$G$24,0)+IF(C87=2,J87*Geometry!$H$24,0)+IF(C87=3,J87*Geometry!$I$24,0)+IF(C87=4,J87*Geometry!$J$24,0)+IF(C87=5,J87*Geometry!$K$24,0)</f>
        <v>0</v>
      </c>
    </row>
    <row r="88" spans="1:16">
      <c r="A88">
        <f t="shared" si="11"/>
        <v>82</v>
      </c>
      <c r="C88" s="7">
        <f t="shared" si="12"/>
        <v>3</v>
      </c>
      <c r="D88" s="69">
        <f>D87+Geometry!$C$15</f>
        <v>547.5</v>
      </c>
      <c r="E88" s="59">
        <f t="shared" si="13"/>
        <v>-341.25</v>
      </c>
      <c r="F88" s="4">
        <f>Geometry!$D$12*D88</f>
        <v>20.486454545454549</v>
      </c>
      <c r="G88" s="4">
        <f t="shared" si="8"/>
        <v>0</v>
      </c>
      <c r="H88" s="4">
        <f>IF(ABS(E88*E88)&lt;=Geometry!$E$10,SQRT(Geometry!$E$10-E88*E88),0)</f>
        <v>0</v>
      </c>
      <c r="I88" s="4">
        <f t="shared" si="9"/>
        <v>0</v>
      </c>
      <c r="J88" s="5">
        <f t="shared" si="10"/>
        <v>0</v>
      </c>
      <c r="K88" s="59">
        <f>IF(C88=1,J88*Geometry!$G$21,0)+IF(C88=2,J88*Geometry!$H$21,0)+IF(C88=3,J88*Geometry!$I$21,0)+IF(C88=4,J88*Geometry!$J$21,0)+IF(C88=5,J88*Geometry!$K$21,0)</f>
        <v>0</v>
      </c>
      <c r="L88" s="59">
        <f>IF(C88=1,J88*Geometry!$G$20,0)+IF(C88=2,J88*Geometry!$H$20,0)+IF(C88=3,J88*Geometry!$I$20,0)+IF(C88=4,J88*Geometry!$J$20,0)+IF(C88=5,J88*Geometry!$K$20,0)</f>
        <v>0</v>
      </c>
      <c r="M88" s="59">
        <f>IF(C88=1,J88*Geometry!$G$19,0)+IF(C88=2,J88*Geometry!$H$19,0)+IF(C88=3,J88*Geometry!$I$19,0)+IF(C88=4,J88*Geometry!$J$19,0)+IF(C88=5,J88*Geometry!$K$19,0)</f>
        <v>0</v>
      </c>
      <c r="N88" s="59">
        <f>IF(C88=1,J88*Geometry!$G$22,0)+IF(C88=2,J88*Geometry!$H$22,0)+IF(C88=3,J88*Geometry!$I$22,0)+IF(C88=4,J88*Geometry!$J$22,0)+IF(C88=5,J88*Geometry!$K$22,0)</f>
        <v>0</v>
      </c>
      <c r="O88" s="59">
        <f>IF(C88=1,J88*Geometry!$G$23,0)+IF(C88=2,J88*Geometry!$H$23,0)+IF(C88=3,J88*Geometry!$I$23,0)+IF(C88=4,J88*Geometry!$J$23,0)+IF(C88=5,J88*Geometry!$K$23,0)</f>
        <v>0</v>
      </c>
      <c r="P88">
        <f>IF(C88=1,J88*Geometry!$G$24,0)+IF(C88=2,J88*Geometry!$H$24,0)+IF(C88=3,J88*Geometry!$I$24,0)+IF(C88=4,J88*Geometry!$J$24,0)+IF(C88=5,J88*Geometry!$K$24,0)</f>
        <v>0</v>
      </c>
    </row>
    <row r="89" spans="1:16">
      <c r="A89">
        <f t="shared" si="11"/>
        <v>83</v>
      </c>
      <c r="C89" s="7">
        <f t="shared" si="12"/>
        <v>3</v>
      </c>
      <c r="D89" s="69">
        <f>D88+Geometry!$C$15</f>
        <v>552.5</v>
      </c>
      <c r="E89" s="59">
        <f t="shared" si="13"/>
        <v>-346.25</v>
      </c>
      <c r="F89" s="4">
        <f>Geometry!$D$12*D89</f>
        <v>20.673545454545458</v>
      </c>
      <c r="G89" s="4">
        <f t="shared" si="8"/>
        <v>0</v>
      </c>
      <c r="H89" s="4">
        <f>IF(ABS(E89*E89)&lt;=Geometry!$E$10,SQRT(Geometry!$E$10-E89*E89),0)</f>
        <v>0</v>
      </c>
      <c r="I89" s="4">
        <f t="shared" si="9"/>
        <v>0</v>
      </c>
      <c r="J89" s="5">
        <f t="shared" si="10"/>
        <v>0</v>
      </c>
      <c r="K89" s="59">
        <f>IF(C89=1,J89*Geometry!$G$21,0)+IF(C89=2,J89*Geometry!$H$21,0)+IF(C89=3,J89*Geometry!$I$21,0)+IF(C89=4,J89*Geometry!$J$21,0)+IF(C89=5,J89*Geometry!$K$21,0)</f>
        <v>0</v>
      </c>
      <c r="L89" s="59">
        <f>IF(C89=1,J89*Geometry!$G$20,0)+IF(C89=2,J89*Geometry!$H$20,0)+IF(C89=3,J89*Geometry!$I$20,0)+IF(C89=4,J89*Geometry!$J$20,0)+IF(C89=5,J89*Geometry!$K$20,0)</f>
        <v>0</v>
      </c>
      <c r="M89" s="59">
        <f>IF(C89=1,J89*Geometry!$G$19,0)+IF(C89=2,J89*Geometry!$H$19,0)+IF(C89=3,J89*Geometry!$I$19,0)+IF(C89=4,J89*Geometry!$J$19,0)+IF(C89=5,J89*Geometry!$K$19,0)</f>
        <v>0</v>
      </c>
      <c r="N89" s="59">
        <f>IF(C89=1,J89*Geometry!$G$22,0)+IF(C89=2,J89*Geometry!$H$22,0)+IF(C89=3,J89*Geometry!$I$22,0)+IF(C89=4,J89*Geometry!$J$22,0)+IF(C89=5,J89*Geometry!$K$22,0)</f>
        <v>0</v>
      </c>
      <c r="O89" s="59">
        <f>IF(C89=1,J89*Geometry!$G$23,0)+IF(C89=2,J89*Geometry!$H$23,0)+IF(C89=3,J89*Geometry!$I$23,0)+IF(C89=4,J89*Geometry!$J$23,0)+IF(C89=5,J89*Geometry!$K$23,0)</f>
        <v>0</v>
      </c>
      <c r="P89">
        <f>IF(C89=1,J89*Geometry!$G$24,0)+IF(C89=2,J89*Geometry!$H$24,0)+IF(C89=3,J89*Geometry!$I$24,0)+IF(C89=4,J89*Geometry!$J$24,0)+IF(C89=5,J89*Geometry!$K$24,0)</f>
        <v>0</v>
      </c>
    </row>
    <row r="90" spans="1:16">
      <c r="A90">
        <f t="shared" si="11"/>
        <v>84</v>
      </c>
      <c r="C90" s="7">
        <f t="shared" si="12"/>
        <v>3</v>
      </c>
      <c r="D90" s="69">
        <f>D89+Geometry!$C$15</f>
        <v>557.5</v>
      </c>
      <c r="E90" s="59">
        <f t="shared" si="13"/>
        <v>-351.25</v>
      </c>
      <c r="F90" s="4">
        <f>Geometry!$D$12*D90</f>
        <v>20.860636363636367</v>
      </c>
      <c r="G90" s="4">
        <f t="shared" si="8"/>
        <v>0</v>
      </c>
      <c r="H90" s="4">
        <f>IF(ABS(E90*E90)&lt;=Geometry!$E$10,SQRT(Geometry!$E$10-E90*E90),0)</f>
        <v>0</v>
      </c>
      <c r="I90" s="4">
        <f t="shared" si="9"/>
        <v>0</v>
      </c>
      <c r="J90" s="5">
        <f t="shared" si="10"/>
        <v>0</v>
      </c>
      <c r="K90" s="59">
        <f>IF(C90=1,J90*Geometry!$G$21,0)+IF(C90=2,J90*Geometry!$H$21,0)+IF(C90=3,J90*Geometry!$I$21,0)+IF(C90=4,J90*Geometry!$J$21,0)+IF(C90=5,J90*Geometry!$K$21,0)</f>
        <v>0</v>
      </c>
      <c r="L90" s="59">
        <f>IF(C90=1,J90*Geometry!$G$20,0)+IF(C90=2,J90*Geometry!$H$20,0)+IF(C90=3,J90*Geometry!$I$20,0)+IF(C90=4,J90*Geometry!$J$20,0)+IF(C90=5,J90*Geometry!$K$20,0)</f>
        <v>0</v>
      </c>
      <c r="M90" s="59">
        <f>IF(C90=1,J90*Geometry!$G$19,0)+IF(C90=2,J90*Geometry!$H$19,0)+IF(C90=3,J90*Geometry!$I$19,0)+IF(C90=4,J90*Geometry!$J$19,0)+IF(C90=5,J90*Geometry!$K$19,0)</f>
        <v>0</v>
      </c>
      <c r="N90" s="59">
        <f>IF(C90=1,J90*Geometry!$G$22,0)+IF(C90=2,J90*Geometry!$H$22,0)+IF(C90=3,J90*Geometry!$I$22,0)+IF(C90=4,J90*Geometry!$J$22,0)+IF(C90=5,J90*Geometry!$K$22,0)</f>
        <v>0</v>
      </c>
      <c r="O90" s="59">
        <f>IF(C90=1,J90*Geometry!$G$23,0)+IF(C90=2,J90*Geometry!$H$23,0)+IF(C90=3,J90*Geometry!$I$23,0)+IF(C90=4,J90*Geometry!$J$23,0)+IF(C90=5,J90*Geometry!$K$23,0)</f>
        <v>0</v>
      </c>
      <c r="P90">
        <f>IF(C90=1,J90*Geometry!$G$24,0)+IF(C90=2,J90*Geometry!$H$24,0)+IF(C90=3,J90*Geometry!$I$24,0)+IF(C90=4,J90*Geometry!$J$24,0)+IF(C90=5,J90*Geometry!$K$24,0)</f>
        <v>0</v>
      </c>
    </row>
    <row r="91" spans="1:16">
      <c r="A91">
        <f t="shared" si="11"/>
        <v>85</v>
      </c>
      <c r="C91" s="7">
        <f t="shared" si="12"/>
        <v>3</v>
      </c>
      <c r="D91" s="69">
        <f>D90+Geometry!$C$15</f>
        <v>562.5</v>
      </c>
      <c r="E91" s="59">
        <f t="shared" si="13"/>
        <v>-356.25</v>
      </c>
      <c r="F91" s="4">
        <f>Geometry!$D$12*D91</f>
        <v>21.047727272727276</v>
      </c>
      <c r="G91" s="4">
        <f t="shared" si="8"/>
        <v>0</v>
      </c>
      <c r="H91" s="4">
        <f>IF(ABS(E91*E91)&lt;=Geometry!$E$10,SQRT(Geometry!$E$10-E91*E91),0)</f>
        <v>0</v>
      </c>
      <c r="I91" s="4">
        <f t="shared" si="9"/>
        <v>0</v>
      </c>
      <c r="J91" s="5">
        <f t="shared" si="10"/>
        <v>0</v>
      </c>
      <c r="K91" s="59">
        <f>IF(C91=1,J91*Geometry!$G$21,0)+IF(C91=2,J91*Geometry!$H$21,0)+IF(C91=3,J91*Geometry!$I$21,0)+IF(C91=4,J91*Geometry!$J$21,0)+IF(C91=5,J91*Geometry!$K$21,0)</f>
        <v>0</v>
      </c>
      <c r="L91" s="59">
        <f>IF(C91=1,J91*Geometry!$G$20,0)+IF(C91=2,J91*Geometry!$H$20,0)+IF(C91=3,J91*Geometry!$I$20,0)+IF(C91=4,J91*Geometry!$J$20,0)+IF(C91=5,J91*Geometry!$K$20,0)</f>
        <v>0</v>
      </c>
      <c r="M91" s="59">
        <f>IF(C91=1,J91*Geometry!$G$19,0)+IF(C91=2,J91*Geometry!$H$19,0)+IF(C91=3,J91*Geometry!$I$19,0)+IF(C91=4,J91*Geometry!$J$19,0)+IF(C91=5,J91*Geometry!$K$19,0)</f>
        <v>0</v>
      </c>
      <c r="N91" s="59">
        <f>IF(C91=1,J91*Geometry!$G$22,0)+IF(C91=2,J91*Geometry!$H$22,0)+IF(C91=3,J91*Geometry!$I$22,0)+IF(C91=4,J91*Geometry!$J$22,0)+IF(C91=5,J91*Geometry!$K$22,0)</f>
        <v>0</v>
      </c>
      <c r="O91" s="59">
        <f>IF(C91=1,J91*Geometry!$G$23,0)+IF(C91=2,J91*Geometry!$H$23,0)+IF(C91=3,J91*Geometry!$I$23,0)+IF(C91=4,J91*Geometry!$J$23,0)+IF(C91=5,J91*Geometry!$K$23,0)</f>
        <v>0</v>
      </c>
      <c r="P91">
        <f>IF(C91=1,J91*Geometry!$G$24,0)+IF(C91=2,J91*Geometry!$H$24,0)+IF(C91=3,J91*Geometry!$I$24,0)+IF(C91=4,J91*Geometry!$J$24,0)+IF(C91=5,J91*Geometry!$K$24,0)</f>
        <v>0</v>
      </c>
    </row>
    <row r="92" spans="1:16">
      <c r="A92">
        <f t="shared" si="11"/>
        <v>86</v>
      </c>
      <c r="C92" s="7">
        <f t="shared" si="12"/>
        <v>3</v>
      </c>
      <c r="D92" s="69">
        <f>D91+Geometry!$C$15</f>
        <v>567.5</v>
      </c>
      <c r="E92" s="59">
        <f t="shared" si="13"/>
        <v>-361.25</v>
      </c>
      <c r="F92" s="4">
        <f>Geometry!$D$12*D92</f>
        <v>21.234818181818184</v>
      </c>
      <c r="G92" s="4">
        <f t="shared" si="8"/>
        <v>0</v>
      </c>
      <c r="H92" s="4">
        <f>IF(ABS(E92*E92)&lt;=Geometry!$E$10,SQRT(Geometry!$E$10-E92*E92),0)</f>
        <v>0</v>
      </c>
      <c r="I92" s="4">
        <f t="shared" si="9"/>
        <v>0</v>
      </c>
      <c r="J92" s="5">
        <f t="shared" si="10"/>
        <v>0</v>
      </c>
      <c r="K92" s="59">
        <f>IF(C92=1,J92*Geometry!$G$21,0)+IF(C92=2,J92*Geometry!$H$21,0)+IF(C92=3,J92*Geometry!$I$21,0)+IF(C92=4,J92*Geometry!$J$21,0)+IF(C92=5,J92*Geometry!$K$21,0)</f>
        <v>0</v>
      </c>
      <c r="L92" s="59">
        <f>IF(C92=1,J92*Geometry!$G$20,0)+IF(C92=2,J92*Geometry!$H$20,0)+IF(C92=3,J92*Geometry!$I$20,0)+IF(C92=4,J92*Geometry!$J$20,0)+IF(C92=5,J92*Geometry!$K$20,0)</f>
        <v>0</v>
      </c>
      <c r="M92" s="59">
        <f>IF(C92=1,J92*Geometry!$G$19,0)+IF(C92=2,J92*Geometry!$H$19,0)+IF(C92=3,J92*Geometry!$I$19,0)+IF(C92=4,J92*Geometry!$J$19,0)+IF(C92=5,J92*Geometry!$K$19,0)</f>
        <v>0</v>
      </c>
      <c r="N92" s="59">
        <f>IF(C92=1,J92*Geometry!$G$22,0)+IF(C92=2,J92*Geometry!$H$22,0)+IF(C92=3,J92*Geometry!$I$22,0)+IF(C92=4,J92*Geometry!$J$22,0)+IF(C92=5,J92*Geometry!$K$22,0)</f>
        <v>0</v>
      </c>
      <c r="O92" s="59">
        <f>IF(C92=1,J92*Geometry!$G$23,0)+IF(C92=2,J92*Geometry!$H$23,0)+IF(C92=3,J92*Geometry!$I$23,0)+IF(C92=4,J92*Geometry!$J$23,0)+IF(C92=5,J92*Geometry!$K$23,0)</f>
        <v>0</v>
      </c>
      <c r="P92">
        <f>IF(C92=1,J92*Geometry!$G$24,0)+IF(C92=2,J92*Geometry!$H$24,0)+IF(C92=3,J92*Geometry!$I$24,0)+IF(C92=4,J92*Geometry!$J$24,0)+IF(C92=5,J92*Geometry!$K$24,0)</f>
        <v>0</v>
      </c>
    </row>
    <row r="93" spans="1:16">
      <c r="A93">
        <f t="shared" si="11"/>
        <v>87</v>
      </c>
      <c r="C93" s="7">
        <f t="shared" si="12"/>
        <v>3</v>
      </c>
      <c r="D93" s="69">
        <f>D92+Geometry!$C$15</f>
        <v>572.5</v>
      </c>
      <c r="E93" s="59">
        <f t="shared" si="13"/>
        <v>-366.25</v>
      </c>
      <c r="F93" s="4">
        <f>Geometry!$D$12*D93</f>
        <v>21.421909090909093</v>
      </c>
      <c r="G93" s="4">
        <f t="shared" si="8"/>
        <v>0</v>
      </c>
      <c r="H93" s="4">
        <f>IF(ABS(E93*E93)&lt;=Geometry!$E$10,SQRT(Geometry!$E$10-E93*E93),0)</f>
        <v>0</v>
      </c>
      <c r="I93" s="4">
        <f t="shared" si="9"/>
        <v>0</v>
      </c>
      <c r="J93" s="5">
        <f t="shared" si="10"/>
        <v>0</v>
      </c>
      <c r="K93" s="59">
        <f>IF(C93=1,J93*Geometry!$G$21,0)+IF(C93=2,J93*Geometry!$H$21,0)+IF(C93=3,J93*Geometry!$I$21,0)+IF(C93=4,J93*Geometry!$J$21,0)+IF(C93=5,J93*Geometry!$K$21,0)</f>
        <v>0</v>
      </c>
      <c r="L93" s="59">
        <f>IF(C93=1,J93*Geometry!$G$20,0)+IF(C93=2,J93*Geometry!$H$20,0)+IF(C93=3,J93*Geometry!$I$20,0)+IF(C93=4,J93*Geometry!$J$20,0)+IF(C93=5,J93*Geometry!$K$20,0)</f>
        <v>0</v>
      </c>
      <c r="M93" s="59">
        <f>IF(C93=1,J93*Geometry!$G$19,0)+IF(C93=2,J93*Geometry!$H$19,0)+IF(C93=3,J93*Geometry!$I$19,0)+IF(C93=4,J93*Geometry!$J$19,0)+IF(C93=5,J93*Geometry!$K$19,0)</f>
        <v>0</v>
      </c>
      <c r="N93" s="59">
        <f>IF(C93=1,J93*Geometry!$G$22,0)+IF(C93=2,J93*Geometry!$H$22,0)+IF(C93=3,J93*Geometry!$I$22,0)+IF(C93=4,J93*Geometry!$J$22,0)+IF(C93=5,J93*Geometry!$K$22,0)</f>
        <v>0</v>
      </c>
      <c r="O93" s="59">
        <f>IF(C93=1,J93*Geometry!$G$23,0)+IF(C93=2,J93*Geometry!$H$23,0)+IF(C93=3,J93*Geometry!$I$23,0)+IF(C93=4,J93*Geometry!$J$23,0)+IF(C93=5,J93*Geometry!$K$23,0)</f>
        <v>0</v>
      </c>
      <c r="P93">
        <f>IF(C93=1,J93*Geometry!$G$24,0)+IF(C93=2,J93*Geometry!$H$24,0)+IF(C93=3,J93*Geometry!$I$24,0)+IF(C93=4,J93*Geometry!$J$24,0)+IF(C93=5,J93*Geometry!$K$24,0)</f>
        <v>0</v>
      </c>
    </row>
    <row r="94" spans="1:16">
      <c r="A94">
        <f t="shared" si="11"/>
        <v>88</v>
      </c>
      <c r="C94" s="7">
        <f t="shared" ref="C94:C100" si="14">IF(A94&gt;$C$1-$C$4,3,IF(A94&lt;2,3,IF(A94&lt;=$C$2-$C$3/2,1,IF(A94&gt;$C$2+$C$3/2,1,2))))</f>
        <v>3</v>
      </c>
      <c r="D94" s="69">
        <f>D93+Geometry!$C$15</f>
        <v>577.5</v>
      </c>
      <c r="E94" s="59">
        <f t="shared" si="13"/>
        <v>-371.25</v>
      </c>
      <c r="F94" s="4">
        <f>Geometry!$D$12*D94</f>
        <v>21.609000000000002</v>
      </c>
      <c r="G94" s="4">
        <f t="shared" si="8"/>
        <v>0</v>
      </c>
      <c r="H94" s="4">
        <f>IF(ABS(E94*E94)&lt;=Geometry!$E$10,SQRT(Geometry!$E$10-E94*E94),0)</f>
        <v>0</v>
      </c>
      <c r="I94" s="4">
        <f t="shared" si="9"/>
        <v>0</v>
      </c>
      <c r="J94" s="5">
        <f t="shared" si="10"/>
        <v>0</v>
      </c>
      <c r="K94" s="59">
        <f>IF(C94=1,J94*Geometry!$G$21,0)+IF(C94=2,J94*Geometry!$H$21,0)+IF(C94=3,J94*Geometry!$I$21,0)+IF(C94=4,J94*Geometry!$J$21,0)+IF(C94=5,J94*Geometry!$K$21,0)</f>
        <v>0</v>
      </c>
      <c r="L94" s="59">
        <f>IF(C94=1,J94*Geometry!$G$20,0)+IF(C94=2,J94*Geometry!$H$20,0)+IF(C94=3,J94*Geometry!$I$20,0)+IF(C94=4,J94*Geometry!$J$20,0)+IF(C94=5,J94*Geometry!$K$20,0)</f>
        <v>0</v>
      </c>
      <c r="M94" s="59">
        <f>IF(C94=1,J94*Geometry!$G$19,0)+IF(C94=2,J94*Geometry!$H$19,0)+IF(C94=3,J94*Geometry!$I$19,0)+IF(C94=4,J94*Geometry!$J$19,0)+IF(C94=5,J94*Geometry!$K$19,0)</f>
        <v>0</v>
      </c>
      <c r="N94" s="59">
        <f>IF(C94=1,J94*Geometry!$G$22,0)+IF(C94=2,J94*Geometry!$H$22,0)+IF(C94=3,J94*Geometry!$I$22,0)+IF(C94=4,J94*Geometry!$J$22,0)+IF(C94=5,J94*Geometry!$K$22,0)</f>
        <v>0</v>
      </c>
      <c r="O94" s="59">
        <f>IF(C94=1,J94*Geometry!$G$23,0)+IF(C94=2,J94*Geometry!$H$23,0)+IF(C94=3,J94*Geometry!$I$23,0)+IF(C94=4,J94*Geometry!$J$23,0)+IF(C94=5,J94*Geometry!$K$23,0)</f>
        <v>0</v>
      </c>
      <c r="P94">
        <f>IF(C94=1,J94*Geometry!$G$24,0)+IF(C94=2,J94*Geometry!$H$24,0)+IF(C94=3,J94*Geometry!$I$24,0)+IF(C94=4,J94*Geometry!$J$24,0)+IF(C94=5,J94*Geometry!$K$24,0)</f>
        <v>0</v>
      </c>
    </row>
    <row r="95" spans="1:16">
      <c r="A95">
        <f t="shared" si="11"/>
        <v>89</v>
      </c>
      <c r="C95" s="7">
        <f t="shared" si="14"/>
        <v>3</v>
      </c>
      <c r="D95" s="69">
        <f>D94+Geometry!$C$15</f>
        <v>582.5</v>
      </c>
      <c r="E95" s="59">
        <f t="shared" si="13"/>
        <v>-376.25</v>
      </c>
      <c r="F95" s="4">
        <f>Geometry!$D$12*D95</f>
        <v>21.796090909090911</v>
      </c>
      <c r="G95" s="4">
        <f t="shared" si="8"/>
        <v>0</v>
      </c>
      <c r="H95" s="4">
        <f>IF(ABS(E95*E95)&lt;=Geometry!$E$10,SQRT(Geometry!$E$10-E95*E95),0)</f>
        <v>0</v>
      </c>
      <c r="I95" s="4">
        <f t="shared" si="9"/>
        <v>0</v>
      </c>
      <c r="J95" s="5">
        <f t="shared" si="10"/>
        <v>0</v>
      </c>
      <c r="K95" s="59">
        <f>IF(C95=1,J95*Geometry!$G$21,0)+IF(C95=2,J95*Geometry!$H$21,0)+IF(C95=3,J95*Geometry!$I$21,0)+IF(C95=4,J95*Geometry!$J$21,0)+IF(C95=5,J95*Geometry!$K$21,0)</f>
        <v>0</v>
      </c>
      <c r="L95" s="59">
        <f>IF(C95=1,J95*Geometry!$G$20,0)+IF(C95=2,J95*Geometry!$H$20,0)+IF(C95=3,J95*Geometry!$I$20,0)+IF(C95=4,J95*Geometry!$J$20,0)+IF(C95=5,J95*Geometry!$K$20,0)</f>
        <v>0</v>
      </c>
      <c r="M95" s="59">
        <f>IF(C95=1,J95*Geometry!$G$19,0)+IF(C95=2,J95*Geometry!$H$19,0)+IF(C95=3,J95*Geometry!$I$19,0)+IF(C95=4,J95*Geometry!$J$19,0)+IF(C95=5,J95*Geometry!$K$19,0)</f>
        <v>0</v>
      </c>
      <c r="N95" s="59">
        <f>IF(C95=1,J95*Geometry!$G$22,0)+IF(C95=2,J95*Geometry!$H$22,0)+IF(C95=3,J95*Geometry!$I$22,0)+IF(C95=4,J95*Geometry!$J$22,0)+IF(C95=5,J95*Geometry!$K$22,0)</f>
        <v>0</v>
      </c>
      <c r="O95" s="59">
        <f>IF(C95=1,J95*Geometry!$G$23,0)+IF(C95=2,J95*Geometry!$H$23,0)+IF(C95=3,J95*Geometry!$I$23,0)+IF(C95=4,J95*Geometry!$J$23,0)+IF(C95=5,J95*Geometry!$K$23,0)</f>
        <v>0</v>
      </c>
      <c r="P95">
        <f>IF(C95=1,J95*Geometry!$G$24,0)+IF(C95=2,J95*Geometry!$H$24,0)+IF(C95=3,J95*Geometry!$I$24,0)+IF(C95=4,J95*Geometry!$J$24,0)+IF(C95=5,J95*Geometry!$K$24,0)</f>
        <v>0</v>
      </c>
    </row>
    <row r="96" spans="1:16">
      <c r="A96">
        <f t="shared" ref="A96:A110" si="15">A95+1</f>
        <v>90</v>
      </c>
      <c r="C96" s="7">
        <f t="shared" si="14"/>
        <v>3</v>
      </c>
      <c r="D96" s="69">
        <f>D95+Geometry!$C$15</f>
        <v>587.5</v>
      </c>
      <c r="E96" s="59">
        <f t="shared" si="13"/>
        <v>-381.25</v>
      </c>
      <c r="F96" s="4">
        <f>Geometry!$D$12*D96</f>
        <v>21.983181818181819</v>
      </c>
      <c r="G96" s="4">
        <f t="shared" si="8"/>
        <v>0</v>
      </c>
      <c r="H96" s="4">
        <f>IF(ABS(E96*E96)&lt;=Geometry!$E$10,SQRT(Geometry!$E$10-E96*E96),0)</f>
        <v>0</v>
      </c>
      <c r="I96" s="4">
        <f t="shared" si="9"/>
        <v>0</v>
      </c>
      <c r="J96" s="5">
        <f t="shared" ref="J96:J116" si="16">PI()*H96*H96</f>
        <v>0</v>
      </c>
      <c r="K96" s="59">
        <f>IF(C96=1,J96*Geometry!$G$21,0)+IF(C96=2,J96*Geometry!$H$21,0)+IF(C96=3,J96*Geometry!$I$21,0)+IF(C96=4,J96*Geometry!$J$21,0)+IF(C96=5,J96*Geometry!$K$21,0)</f>
        <v>0</v>
      </c>
      <c r="L96" s="59">
        <f>IF(C96=1,J96*Geometry!$G$20,0)+IF(C96=2,J96*Geometry!$H$20,0)+IF(C96=3,J96*Geometry!$I$20,0)+IF(C96=4,J96*Geometry!$J$20,0)+IF(C96=5,J96*Geometry!$K$20,0)</f>
        <v>0</v>
      </c>
      <c r="M96" s="59">
        <f>IF(C96=1,J96*Geometry!$G$19,0)+IF(C96=2,J96*Geometry!$H$19,0)+IF(C96=3,J96*Geometry!$I$19,0)+IF(C96=4,J96*Geometry!$J$19,0)+IF(C96=5,J96*Geometry!$K$19,0)</f>
        <v>0</v>
      </c>
      <c r="N96" s="59">
        <f>IF(C96=1,J96*Geometry!$G$22,0)+IF(C96=2,J96*Geometry!$H$22,0)+IF(C96=3,J96*Geometry!$I$22,0)+IF(C96=4,J96*Geometry!$J$22,0)+IF(C96=5,J96*Geometry!$K$22,0)</f>
        <v>0</v>
      </c>
      <c r="O96" s="59">
        <f>IF(C96=1,J96*Geometry!$G$23,0)+IF(C96=2,J96*Geometry!$H$23,0)+IF(C96=3,J96*Geometry!$I$23,0)+IF(C96=4,J96*Geometry!$J$23,0)+IF(C96=5,J96*Geometry!$K$23,0)</f>
        <v>0</v>
      </c>
      <c r="P96">
        <f>IF(C96=1,J96*Geometry!$G$24,0)+IF(C96=2,J96*Geometry!$H$24,0)+IF(C96=3,J96*Geometry!$I$24,0)+IF(C96=4,J96*Geometry!$J$24,0)+IF(C96=5,J96*Geometry!$K$24,0)</f>
        <v>0</v>
      </c>
    </row>
    <row r="97" spans="1:16">
      <c r="A97">
        <f t="shared" si="15"/>
        <v>91</v>
      </c>
      <c r="C97" s="7">
        <f t="shared" si="14"/>
        <v>3</v>
      </c>
      <c r="D97" s="69">
        <f>D96+Geometry!$C$15</f>
        <v>592.5</v>
      </c>
      <c r="E97" s="59">
        <f t="shared" si="13"/>
        <v>-386.25</v>
      </c>
      <c r="F97" s="4">
        <f>Geometry!$D$12*D97</f>
        <v>22.170272727272732</v>
      </c>
      <c r="G97" s="4">
        <f t="shared" si="8"/>
        <v>0</v>
      </c>
      <c r="H97" s="4">
        <f>IF(ABS(E97*E97)&lt;=Geometry!$E$10,SQRT(Geometry!$E$10-E97*E97),0)</f>
        <v>0</v>
      </c>
      <c r="I97" s="4">
        <f t="shared" si="9"/>
        <v>0</v>
      </c>
      <c r="J97" s="5">
        <f t="shared" si="16"/>
        <v>0</v>
      </c>
      <c r="K97" s="59">
        <f>IF(C97=1,J97*Geometry!$G$21,0)+IF(C97=2,J97*Geometry!$H$21,0)+IF(C97=3,J97*Geometry!$I$21,0)+IF(C97=4,J97*Geometry!$J$21,0)+IF(C97=5,J97*Geometry!$K$21,0)</f>
        <v>0</v>
      </c>
      <c r="L97" s="59">
        <f>IF(C97=1,J97*Geometry!$G$20,0)+IF(C97=2,J97*Geometry!$H$20,0)+IF(C97=3,J97*Geometry!$I$20,0)+IF(C97=4,J97*Geometry!$J$20,0)+IF(C97=5,J97*Geometry!$K$20,0)</f>
        <v>0</v>
      </c>
      <c r="M97" s="59">
        <f>IF(C97=1,J97*Geometry!$G$19,0)+IF(C97=2,J97*Geometry!$H$19,0)+IF(C97=3,J97*Geometry!$I$19,0)+IF(C97=4,J97*Geometry!$J$19,0)+IF(C97=5,J97*Geometry!$K$19,0)</f>
        <v>0</v>
      </c>
      <c r="N97" s="59">
        <f>IF(C97=1,J97*Geometry!$G$22,0)+IF(C97=2,J97*Geometry!$H$22,0)+IF(C97=3,J97*Geometry!$I$22,0)+IF(C97=4,J97*Geometry!$J$22,0)+IF(C97=5,J97*Geometry!$K$22,0)</f>
        <v>0</v>
      </c>
      <c r="O97" s="59">
        <f>IF(C97=1,J97*Geometry!$G$23,0)+IF(C97=2,J97*Geometry!$H$23,0)+IF(C97=3,J97*Geometry!$I$23,0)+IF(C97=4,J97*Geometry!$J$23,0)+IF(C97=5,J97*Geometry!$K$23,0)</f>
        <v>0</v>
      </c>
      <c r="P97">
        <f>IF(C97=1,J97*Geometry!$G$24,0)+IF(C97=2,J97*Geometry!$H$24,0)+IF(C97=3,J97*Geometry!$I$24,0)+IF(C97=4,J97*Geometry!$J$24,0)+IF(C97=5,J97*Geometry!$K$24,0)</f>
        <v>0</v>
      </c>
    </row>
    <row r="98" spans="1:16">
      <c r="A98">
        <f t="shared" si="15"/>
        <v>92</v>
      </c>
      <c r="C98" s="7">
        <f t="shared" si="14"/>
        <v>3</v>
      </c>
      <c r="D98" s="69">
        <f>D97+Geometry!$C$15</f>
        <v>597.5</v>
      </c>
      <c r="E98" s="59">
        <f t="shared" si="13"/>
        <v>-391.25</v>
      </c>
      <c r="F98" s="4">
        <f>Geometry!$D$12*D98</f>
        <v>22.35736363636364</v>
      </c>
      <c r="G98" s="4">
        <f t="shared" si="8"/>
        <v>0</v>
      </c>
      <c r="H98" s="4">
        <f>IF(ABS(E98*E98)&lt;=Geometry!$E$10,SQRT(Geometry!$E$10-E98*E98),0)</f>
        <v>0</v>
      </c>
      <c r="I98" s="4">
        <f t="shared" si="9"/>
        <v>0</v>
      </c>
      <c r="J98" s="5">
        <f t="shared" si="16"/>
        <v>0</v>
      </c>
      <c r="K98" s="59">
        <f>IF(C98=1,J98*Geometry!$G$21,0)+IF(C98=2,J98*Geometry!$H$21,0)+IF(C98=3,J98*Geometry!$I$21,0)+IF(C98=4,J98*Geometry!$J$21,0)+IF(C98=5,J98*Geometry!$K$21,0)</f>
        <v>0</v>
      </c>
      <c r="L98" s="59">
        <f>IF(C98=1,J98*Geometry!$G$20,0)+IF(C98=2,J98*Geometry!$H$20,0)+IF(C98=3,J98*Geometry!$I$20,0)+IF(C98=4,J98*Geometry!$J$20,0)+IF(C98=5,J98*Geometry!$K$20,0)</f>
        <v>0</v>
      </c>
      <c r="M98" s="59">
        <f>IF(C98=1,J98*Geometry!$G$19,0)+IF(C98=2,J98*Geometry!$H$19,0)+IF(C98=3,J98*Geometry!$I$19,0)+IF(C98=4,J98*Geometry!$J$19,0)+IF(C98=5,J98*Geometry!$K$19,0)</f>
        <v>0</v>
      </c>
      <c r="N98" s="59">
        <f>IF(C98=1,J98*Geometry!$G$22,0)+IF(C98=2,J98*Geometry!$H$22,0)+IF(C98=3,J98*Geometry!$I$22,0)+IF(C98=4,J98*Geometry!$J$22,0)+IF(C98=5,J98*Geometry!$K$22,0)</f>
        <v>0</v>
      </c>
      <c r="O98" s="59">
        <f>IF(C98=1,J98*Geometry!$G$23,0)+IF(C98=2,J98*Geometry!$H$23,0)+IF(C98=3,J98*Geometry!$I$23,0)+IF(C98=4,J98*Geometry!$J$23,0)+IF(C98=5,J98*Geometry!$K$23,0)</f>
        <v>0</v>
      </c>
      <c r="P98">
        <f>IF(C98=1,J98*Geometry!$G$24,0)+IF(C98=2,J98*Geometry!$H$24,0)+IF(C98=3,J98*Geometry!$I$24,0)+IF(C98=4,J98*Geometry!$J$24,0)+IF(C98=5,J98*Geometry!$K$24,0)</f>
        <v>0</v>
      </c>
    </row>
    <row r="99" spans="1:16">
      <c r="A99">
        <f t="shared" si="15"/>
        <v>93</v>
      </c>
      <c r="C99" s="7">
        <f t="shared" si="14"/>
        <v>3</v>
      </c>
      <c r="D99" s="69">
        <f>D98+Geometry!$C$15</f>
        <v>602.5</v>
      </c>
      <c r="E99" s="59">
        <f t="shared" si="13"/>
        <v>-396.25</v>
      </c>
      <c r="F99" s="4">
        <f>Geometry!$D$12*D99</f>
        <v>22.544454545454549</v>
      </c>
      <c r="G99" s="4">
        <f t="shared" si="8"/>
        <v>0</v>
      </c>
      <c r="H99" s="4">
        <f>IF(ABS(E99*E99)&lt;=Geometry!$E$10,SQRT(Geometry!$E$10-E99*E99),0)</f>
        <v>0</v>
      </c>
      <c r="I99" s="4">
        <f t="shared" si="9"/>
        <v>0</v>
      </c>
      <c r="J99" s="5">
        <f t="shared" si="16"/>
        <v>0</v>
      </c>
      <c r="K99" s="59">
        <f>IF(C99=1,J99*Geometry!$G$21,0)+IF(C99=2,J99*Geometry!$H$21,0)+IF(C99=3,J99*Geometry!$I$21,0)+IF(C99=4,J99*Geometry!$J$21,0)+IF(C99=5,J99*Geometry!$K$21,0)</f>
        <v>0</v>
      </c>
      <c r="L99" s="59">
        <f>IF(C99=1,J99*Geometry!$G$20,0)+IF(C99=2,J99*Geometry!$H$20,0)+IF(C99=3,J99*Geometry!$I$20,0)+IF(C99=4,J99*Geometry!$J$20,0)+IF(C99=5,J99*Geometry!$K$20,0)</f>
        <v>0</v>
      </c>
      <c r="M99" s="59">
        <f>IF(C99=1,J99*Geometry!$G$19,0)+IF(C99=2,J99*Geometry!$H$19,0)+IF(C99=3,J99*Geometry!$I$19,0)+IF(C99=4,J99*Geometry!$J$19,0)+IF(C99=5,J99*Geometry!$K$19,0)</f>
        <v>0</v>
      </c>
      <c r="N99" s="59">
        <f>IF(C99=1,J99*Geometry!$G$22,0)+IF(C99=2,J99*Geometry!$H$22,0)+IF(C99=3,J99*Geometry!$I$22,0)+IF(C99=4,J99*Geometry!$J$22,0)+IF(C99=5,J99*Geometry!$K$22,0)</f>
        <v>0</v>
      </c>
      <c r="O99" s="59">
        <f>IF(C99=1,J99*Geometry!$G$23,0)+IF(C99=2,J99*Geometry!$H$23,0)+IF(C99=3,J99*Geometry!$I$23,0)+IF(C99=4,J99*Geometry!$J$23,0)+IF(C99=5,J99*Geometry!$K$23,0)</f>
        <v>0</v>
      </c>
      <c r="P99">
        <f>IF(C99=1,J99*Geometry!$G$24,0)+IF(C99=2,J99*Geometry!$H$24,0)+IF(C99=3,J99*Geometry!$I$24,0)+IF(C99=4,J99*Geometry!$J$24,0)+IF(C99=5,J99*Geometry!$K$24,0)</f>
        <v>0</v>
      </c>
    </row>
    <row r="100" spans="1:16">
      <c r="A100">
        <f t="shared" si="15"/>
        <v>94</v>
      </c>
      <c r="C100" s="7">
        <f t="shared" si="14"/>
        <v>3</v>
      </c>
      <c r="D100" s="69">
        <f>D99+Geometry!$C$15</f>
        <v>607.5</v>
      </c>
      <c r="E100" s="59">
        <f t="shared" si="13"/>
        <v>-401.25</v>
      </c>
      <c r="F100" s="4">
        <f>Geometry!$D$12*D100</f>
        <v>22.731545454545458</v>
      </c>
      <c r="G100" s="4">
        <f t="shared" si="8"/>
        <v>0</v>
      </c>
      <c r="H100" s="4">
        <f>IF(ABS(E100*E100)&lt;=Geometry!$E$10,SQRT(Geometry!$E$10-E100*E100),0)</f>
        <v>0</v>
      </c>
      <c r="I100" s="4">
        <f t="shared" si="9"/>
        <v>0</v>
      </c>
      <c r="J100" s="5">
        <f t="shared" si="16"/>
        <v>0</v>
      </c>
      <c r="K100" s="59">
        <f>IF(C100=1,J100*Geometry!$G$21,0)+IF(C100=2,J100*Geometry!$H$21,0)+IF(C100=3,J100*Geometry!$I$21,0)+IF(C100=4,J100*Geometry!$J$21,0)+IF(C100=5,J100*Geometry!$K$21,0)</f>
        <v>0</v>
      </c>
      <c r="L100" s="59">
        <f>IF(C100=1,J100*Geometry!$G$20,0)+IF(C100=2,J100*Geometry!$H$20,0)+IF(C100=3,J100*Geometry!$I$20,0)+IF(C100=4,J100*Geometry!$J$20,0)+IF(C100=5,J100*Geometry!$K$20,0)</f>
        <v>0</v>
      </c>
      <c r="M100" s="59">
        <f>IF(C100=1,J100*Geometry!$G$19,0)+IF(C100=2,J100*Geometry!$H$19,0)+IF(C100=3,J100*Geometry!$I$19,0)+IF(C100=4,J100*Geometry!$J$19,0)+IF(C100=5,J100*Geometry!$K$19,0)</f>
        <v>0</v>
      </c>
      <c r="N100" s="59">
        <f>IF(C100=1,J100*Geometry!$G$22,0)+IF(C100=2,J100*Geometry!$H$22,0)+IF(C100=3,J100*Geometry!$I$22,0)+IF(C100=4,J100*Geometry!$J$22,0)+IF(C100=5,J100*Geometry!$K$22,0)</f>
        <v>0</v>
      </c>
      <c r="O100" s="59">
        <f>IF(C100=1,J100*Geometry!$G$23,0)+IF(C100=2,J100*Geometry!$H$23,0)+IF(C100=3,J100*Geometry!$I$23,0)+IF(C100=4,J100*Geometry!$J$23,0)+IF(C100=5,J100*Geometry!$K$23,0)</f>
        <v>0</v>
      </c>
      <c r="P100">
        <f>IF(C100=1,J100*Geometry!$G$24,0)+IF(C100=2,J100*Geometry!$H$24,0)+IF(C100=3,J100*Geometry!$I$24,0)+IF(C100=4,J100*Geometry!$J$24,0)+IF(C100=5,J100*Geometry!$K$24,0)</f>
        <v>0</v>
      </c>
    </row>
    <row r="101" spans="1:16">
      <c r="A101">
        <f t="shared" si="15"/>
        <v>95</v>
      </c>
      <c r="C101" s="7">
        <f t="shared" ref="C101:C135" si="17">IF(A101&gt;$C$1-$C$4,3,IF(A101&lt;2,3,IF(A101&lt;=$C$2-$C$3,1,IF(A101&gt;$C$2,1,2))))</f>
        <v>3</v>
      </c>
      <c r="D101" s="69">
        <f>D100+Geometry!$C$15</f>
        <v>612.5</v>
      </c>
      <c r="E101" s="59">
        <f t="shared" si="13"/>
        <v>-406.25</v>
      </c>
      <c r="F101" s="4">
        <f>Geometry!$D$12*D101</f>
        <v>22.918636363636367</v>
      </c>
      <c r="G101" s="4">
        <f t="shared" si="8"/>
        <v>0</v>
      </c>
      <c r="H101" s="4">
        <f>IF(ABS(E101*E101)&lt;=Geometry!$E$10,SQRT(Geometry!$E$10-E101*E101),0)</f>
        <v>0</v>
      </c>
      <c r="I101" s="4">
        <f t="shared" si="9"/>
        <v>0</v>
      </c>
      <c r="J101" s="5">
        <f t="shared" si="16"/>
        <v>0</v>
      </c>
      <c r="K101" s="59">
        <f>IF(C101=1,J101*Geometry!$G$21,0)+IF(C101=2,J101*Geometry!$H$21,0)+IF(C101=3,J101*Geometry!$I$21,0)+IF(C101=4,J101*Geometry!$J$21,0)+IF(C101=5,J101*Geometry!$K$21,0)</f>
        <v>0</v>
      </c>
      <c r="L101" s="59">
        <f>IF(C101=1,J101*Geometry!$G$20,0)+IF(C101=2,J101*Geometry!$H$20,0)+IF(C101=3,J101*Geometry!$I$20,0)+IF(C101=4,J101*Geometry!$J$20,0)+IF(C101=5,J101*Geometry!$K$20,0)</f>
        <v>0</v>
      </c>
      <c r="M101" s="59">
        <f>IF(C101=1,J101*Geometry!$G$19,0)+IF(C101=2,J101*Geometry!$H$19,0)+IF(C101=3,J101*Geometry!$I$19,0)+IF(C101=4,J101*Geometry!$J$19,0)+IF(C101=5,J101*Geometry!$K$19,0)</f>
        <v>0</v>
      </c>
      <c r="N101" s="59">
        <f>IF(C101=1,J101*Geometry!$G$22,0)+IF(C101=2,J101*Geometry!$H$22,0)+IF(C101=3,J101*Geometry!$I$22,0)+IF(C101=4,J101*Geometry!$J$22,0)+IF(C101=5,J101*Geometry!$K$22,0)</f>
        <v>0</v>
      </c>
      <c r="O101" s="59">
        <f>IF(C101=1,J101*Geometry!$G$23,0)+IF(C101=2,J101*Geometry!$H$23,0)+IF(C101=3,J101*Geometry!$I$23,0)+IF(C101=4,J101*Geometry!$J$23,0)+IF(C101=5,J101*Geometry!$K$23,0)</f>
        <v>0</v>
      </c>
      <c r="P101">
        <f>IF(C101=1,J101*Geometry!$G$24,0)+IF(C101=2,J101*Geometry!$H$24,0)+IF(C101=3,J101*Geometry!$I$24,0)+IF(C101=4,J101*Geometry!$J$24,0)+IF(C101=5,J101*Geometry!$K$24,0)</f>
        <v>0</v>
      </c>
    </row>
    <row r="102" spans="1:16">
      <c r="A102">
        <f t="shared" si="15"/>
        <v>96</v>
      </c>
      <c r="C102" s="7">
        <f t="shared" si="17"/>
        <v>3</v>
      </c>
      <c r="D102" s="69">
        <f>D101+Geometry!$C$15</f>
        <v>617.5</v>
      </c>
      <c r="E102" s="59">
        <f t="shared" si="13"/>
        <v>-411.25</v>
      </c>
      <c r="F102" s="4">
        <f>Geometry!$D$12*D102</f>
        <v>23.105727272727275</v>
      </c>
      <c r="G102" s="4">
        <f t="shared" si="8"/>
        <v>0</v>
      </c>
      <c r="H102" s="4">
        <f>IF(ABS(E102*E102)&lt;=Geometry!$E$10,SQRT(Geometry!$E$10-E102*E102),0)</f>
        <v>0</v>
      </c>
      <c r="I102" s="4">
        <f t="shared" si="9"/>
        <v>0</v>
      </c>
      <c r="J102" s="5">
        <f t="shared" si="16"/>
        <v>0</v>
      </c>
      <c r="K102" s="59">
        <f>IF(C102=1,J102*Geometry!$G$21,0)+IF(C102=2,J102*Geometry!$H$21,0)+IF(C102=3,J102*Geometry!$I$21,0)+IF(C102=4,J102*Geometry!$J$21,0)+IF(C102=5,J102*Geometry!$K$21,0)</f>
        <v>0</v>
      </c>
      <c r="L102" s="59">
        <f>IF(C102=1,J102*Geometry!$G$20,0)+IF(C102=2,J102*Geometry!$H$20,0)+IF(C102=3,J102*Geometry!$I$20,0)+IF(C102=4,J102*Geometry!$J$20,0)+IF(C102=5,J102*Geometry!$K$20,0)</f>
        <v>0</v>
      </c>
      <c r="M102" s="59">
        <f>IF(C102=1,J102*Geometry!$G$19,0)+IF(C102=2,J102*Geometry!$H$19,0)+IF(C102=3,J102*Geometry!$I$19,0)+IF(C102=4,J102*Geometry!$J$19,0)+IF(C102=5,J102*Geometry!$K$19,0)</f>
        <v>0</v>
      </c>
      <c r="N102" s="59">
        <f>IF(C102=1,J102*Geometry!$G$22,0)+IF(C102=2,J102*Geometry!$H$22,0)+IF(C102=3,J102*Geometry!$I$22,0)+IF(C102=4,J102*Geometry!$J$22,0)+IF(C102=5,J102*Geometry!$K$22,0)</f>
        <v>0</v>
      </c>
      <c r="O102" s="59">
        <f>IF(C102=1,J102*Geometry!$G$23,0)+IF(C102=2,J102*Geometry!$H$23,0)+IF(C102=3,J102*Geometry!$I$23,0)+IF(C102=4,J102*Geometry!$J$23,0)+IF(C102=5,J102*Geometry!$K$23,0)</f>
        <v>0</v>
      </c>
      <c r="P102">
        <f>IF(C102=1,J102*Geometry!$G$24,0)+IF(C102=2,J102*Geometry!$H$24,0)+IF(C102=3,J102*Geometry!$I$24,0)+IF(C102=4,J102*Geometry!$J$24,0)+IF(C102=5,J102*Geometry!$K$24,0)</f>
        <v>0</v>
      </c>
    </row>
    <row r="103" spans="1:16">
      <c r="A103">
        <f t="shared" si="15"/>
        <v>97</v>
      </c>
      <c r="C103" s="7">
        <f t="shared" si="17"/>
        <v>3</v>
      </c>
      <c r="D103" s="69">
        <f>D102+Geometry!$C$15</f>
        <v>622.5</v>
      </c>
      <c r="E103" s="59">
        <f t="shared" si="13"/>
        <v>-416.25</v>
      </c>
      <c r="F103" s="4">
        <f>Geometry!$D$12*D103</f>
        <v>23.292818181818184</v>
      </c>
      <c r="G103" s="4">
        <f t="shared" si="8"/>
        <v>0</v>
      </c>
      <c r="H103" s="4">
        <f>IF(ABS(E103*E103)&lt;=Geometry!$E$10,SQRT(Geometry!$E$10-E103*E103),0)</f>
        <v>0</v>
      </c>
      <c r="I103" s="4">
        <f t="shared" si="9"/>
        <v>0</v>
      </c>
      <c r="J103" s="5">
        <f t="shared" si="16"/>
        <v>0</v>
      </c>
      <c r="K103" s="59">
        <f>IF(C103=1,J103*Geometry!$G$21,0)+IF(C103=2,J103*Geometry!$H$21,0)+IF(C103=3,J103*Geometry!$I$21,0)+IF(C103=4,J103*Geometry!$J$21,0)+IF(C103=5,J103*Geometry!$K$21,0)</f>
        <v>0</v>
      </c>
      <c r="L103" s="59">
        <f>IF(C103=1,J103*Geometry!$G$20,0)+IF(C103=2,J103*Geometry!$H$20,0)+IF(C103=3,J103*Geometry!$I$20,0)+IF(C103=4,J103*Geometry!$J$20,0)+IF(C103=5,J103*Geometry!$K$20,0)</f>
        <v>0</v>
      </c>
      <c r="M103" s="59">
        <f>IF(C103=1,J103*Geometry!$G$19,0)+IF(C103=2,J103*Geometry!$H$19,0)+IF(C103=3,J103*Geometry!$I$19,0)+IF(C103=4,J103*Geometry!$J$19,0)+IF(C103=5,J103*Geometry!$K$19,0)</f>
        <v>0</v>
      </c>
      <c r="N103" s="59">
        <f>IF(C103=1,J103*Geometry!$G$22,0)+IF(C103=2,J103*Geometry!$H$22,0)+IF(C103=3,J103*Geometry!$I$22,0)+IF(C103=4,J103*Geometry!$J$22,0)+IF(C103=5,J103*Geometry!$K$22,0)</f>
        <v>0</v>
      </c>
      <c r="O103" s="59">
        <f>IF(C103=1,J103*Geometry!$G$23,0)+IF(C103=2,J103*Geometry!$H$23,0)+IF(C103=3,J103*Geometry!$I$23,0)+IF(C103=4,J103*Geometry!$J$23,0)+IF(C103=5,J103*Geometry!$K$23,0)</f>
        <v>0</v>
      </c>
      <c r="P103">
        <f>IF(C103=1,J103*Geometry!$G$24,0)+IF(C103=2,J103*Geometry!$H$24,0)+IF(C103=3,J103*Geometry!$I$24,0)+IF(C103=4,J103*Geometry!$J$24,0)+IF(C103=5,J103*Geometry!$K$24,0)</f>
        <v>0</v>
      </c>
    </row>
    <row r="104" spans="1:16">
      <c r="A104">
        <f t="shared" si="15"/>
        <v>98</v>
      </c>
      <c r="C104" s="7">
        <f t="shared" si="17"/>
        <v>3</v>
      </c>
      <c r="D104" s="69">
        <f>D103+Geometry!$C$15</f>
        <v>627.5</v>
      </c>
      <c r="E104" s="59">
        <f t="shared" si="13"/>
        <v>-421.25</v>
      </c>
      <c r="F104" s="4">
        <f>Geometry!$D$12*D104</f>
        <v>23.479909090909093</v>
      </c>
      <c r="G104" s="4">
        <f t="shared" si="8"/>
        <v>0</v>
      </c>
      <c r="H104" s="4">
        <f>IF(ABS(E104*E104)&lt;=Geometry!$E$10,SQRT(Geometry!$E$10-E104*E104),0)</f>
        <v>0</v>
      </c>
      <c r="I104" s="4">
        <f t="shared" si="9"/>
        <v>0</v>
      </c>
      <c r="J104" s="5">
        <f t="shared" si="16"/>
        <v>0</v>
      </c>
      <c r="K104" s="59">
        <f>IF(C104=1,J104*Geometry!$G$21,0)+IF(C104=2,J104*Geometry!$H$21,0)+IF(C104=3,J104*Geometry!$I$21,0)+IF(C104=4,J104*Geometry!$J$21,0)+IF(C104=5,J104*Geometry!$K$21,0)</f>
        <v>0</v>
      </c>
      <c r="L104" s="59">
        <f>IF(C104=1,J104*Geometry!$G$20,0)+IF(C104=2,J104*Geometry!$H$20,0)+IF(C104=3,J104*Geometry!$I$20,0)+IF(C104=4,J104*Geometry!$J$20,0)+IF(C104=5,J104*Geometry!$K$20,0)</f>
        <v>0</v>
      </c>
      <c r="M104" s="59">
        <f>IF(C104=1,J104*Geometry!$G$19,0)+IF(C104=2,J104*Geometry!$H$19,0)+IF(C104=3,J104*Geometry!$I$19,0)+IF(C104=4,J104*Geometry!$J$19,0)+IF(C104=5,J104*Geometry!$K$19,0)</f>
        <v>0</v>
      </c>
      <c r="N104" s="59">
        <f>IF(C104=1,J104*Geometry!$G$22,0)+IF(C104=2,J104*Geometry!$H$22,0)+IF(C104=3,J104*Geometry!$I$22,0)+IF(C104=4,J104*Geometry!$J$22,0)+IF(C104=5,J104*Geometry!$K$22,0)</f>
        <v>0</v>
      </c>
      <c r="O104" s="59">
        <f>IF(C104=1,J104*Geometry!$G$23,0)+IF(C104=2,J104*Geometry!$H$23,0)+IF(C104=3,J104*Geometry!$I$23,0)+IF(C104=4,J104*Geometry!$J$23,0)+IF(C104=5,J104*Geometry!$K$23,0)</f>
        <v>0</v>
      </c>
      <c r="P104">
        <f>IF(C104=1,J104*Geometry!$G$24,0)+IF(C104=2,J104*Geometry!$H$24,0)+IF(C104=3,J104*Geometry!$I$24,0)+IF(C104=4,J104*Geometry!$J$24,0)+IF(C104=5,J104*Geometry!$K$24,0)</f>
        <v>0</v>
      </c>
    </row>
    <row r="105" spans="1:16">
      <c r="A105">
        <f t="shared" si="15"/>
        <v>99</v>
      </c>
      <c r="C105" s="7">
        <f t="shared" si="17"/>
        <v>3</v>
      </c>
      <c r="D105" s="69">
        <f>D104+Geometry!$C$15</f>
        <v>632.5</v>
      </c>
      <c r="E105" s="59">
        <f t="shared" si="13"/>
        <v>-426.25</v>
      </c>
      <c r="F105" s="4">
        <f>Geometry!$D$12*D105</f>
        <v>23.667000000000002</v>
      </c>
      <c r="G105" s="4">
        <f t="shared" si="8"/>
        <v>0</v>
      </c>
      <c r="H105" s="4">
        <f>IF(ABS(E105*E105)&lt;=Geometry!$E$10,SQRT(Geometry!$E$10-E105*E105),0)</f>
        <v>0</v>
      </c>
      <c r="I105" s="4">
        <f t="shared" si="9"/>
        <v>0</v>
      </c>
      <c r="J105" s="5">
        <f t="shared" si="16"/>
        <v>0</v>
      </c>
      <c r="K105" s="59">
        <f>IF(C105=1,J105*Geometry!$G$21,0)+IF(C105=2,J105*Geometry!$H$21,0)+IF(C105=3,J105*Geometry!$I$21,0)+IF(C105=4,J105*Geometry!$J$21,0)+IF(C105=5,J105*Geometry!$K$21,0)</f>
        <v>0</v>
      </c>
      <c r="L105" s="59">
        <f>IF(C105=1,J105*Geometry!$G$20,0)+IF(C105=2,J105*Geometry!$H$20,0)+IF(C105=3,J105*Geometry!$I$20,0)+IF(C105=4,J105*Geometry!$J$20,0)+IF(C105=5,J105*Geometry!$K$20,0)</f>
        <v>0</v>
      </c>
      <c r="M105" s="59">
        <f>IF(C105=1,J105*Geometry!$G$19,0)+IF(C105=2,J105*Geometry!$H$19,0)+IF(C105=3,J105*Geometry!$I$19,0)+IF(C105=4,J105*Geometry!$J$19,0)+IF(C105=5,J105*Geometry!$K$19,0)</f>
        <v>0</v>
      </c>
      <c r="N105" s="59">
        <f>IF(C105=1,J105*Geometry!$G$22,0)+IF(C105=2,J105*Geometry!$H$22,0)+IF(C105=3,J105*Geometry!$I$22,0)+IF(C105=4,J105*Geometry!$J$22,0)+IF(C105=5,J105*Geometry!$K$22,0)</f>
        <v>0</v>
      </c>
      <c r="O105" s="59">
        <f>IF(C105=1,J105*Geometry!$G$23,0)+IF(C105=2,J105*Geometry!$H$23,0)+IF(C105=3,J105*Geometry!$I$23,0)+IF(C105=4,J105*Geometry!$J$23,0)+IF(C105=5,J105*Geometry!$K$23,0)</f>
        <v>0</v>
      </c>
      <c r="P105">
        <f>IF(C105=1,J105*Geometry!$G$24,0)+IF(C105=2,J105*Geometry!$H$24,0)+IF(C105=3,J105*Geometry!$I$24,0)+IF(C105=4,J105*Geometry!$J$24,0)+IF(C105=5,J105*Geometry!$K$24,0)</f>
        <v>0</v>
      </c>
    </row>
    <row r="106" spans="1:16">
      <c r="A106">
        <f t="shared" si="15"/>
        <v>100</v>
      </c>
      <c r="C106" s="7">
        <f t="shared" si="17"/>
        <v>3</v>
      </c>
      <c r="D106" s="69">
        <f>D105+Geometry!$C$15</f>
        <v>637.5</v>
      </c>
      <c r="E106" s="59">
        <f t="shared" si="13"/>
        <v>-431.25</v>
      </c>
      <c r="F106" s="4">
        <f>Geometry!$D$12*D106</f>
        <v>23.85409090909091</v>
      </c>
      <c r="G106" s="4">
        <f t="shared" si="8"/>
        <v>0</v>
      </c>
      <c r="H106" s="4">
        <f>IF(ABS(E106*E106)&lt;=Geometry!$E$10,SQRT(Geometry!$E$10-E106*E106),0)</f>
        <v>0</v>
      </c>
      <c r="I106" s="4">
        <f t="shared" si="9"/>
        <v>0</v>
      </c>
      <c r="J106" s="5">
        <f t="shared" si="16"/>
        <v>0</v>
      </c>
      <c r="K106" s="59">
        <f>IF(C106=1,J106*Geometry!$G$21,0)+IF(C106=2,J106*Geometry!$H$21,0)+IF(C106=3,J106*Geometry!$I$21,0)+IF(C106=4,J106*Geometry!$J$21,0)+IF(C106=5,J106*Geometry!$K$21,0)</f>
        <v>0</v>
      </c>
      <c r="L106" s="59">
        <f>IF(C106=1,J106*Geometry!$G$20,0)+IF(C106=2,J106*Geometry!$H$20,0)+IF(C106=3,J106*Geometry!$I$20,0)+IF(C106=4,J106*Geometry!$J$20,0)+IF(C106=5,J106*Geometry!$K$20,0)</f>
        <v>0</v>
      </c>
      <c r="M106" s="59">
        <f>IF(C106=1,J106*Geometry!$G$19,0)+IF(C106=2,J106*Geometry!$H$19,0)+IF(C106=3,J106*Geometry!$I$19,0)+IF(C106=4,J106*Geometry!$J$19,0)+IF(C106=5,J106*Geometry!$K$19,0)</f>
        <v>0</v>
      </c>
      <c r="N106" s="59">
        <f>IF(C106=1,J106*Geometry!$G$22,0)+IF(C106=2,J106*Geometry!$H$22,0)+IF(C106=3,J106*Geometry!$I$22,0)+IF(C106=4,J106*Geometry!$J$22,0)+IF(C106=5,J106*Geometry!$K$22,0)</f>
        <v>0</v>
      </c>
      <c r="O106" s="59">
        <f>IF(C106=1,J106*Geometry!$G$23,0)+IF(C106=2,J106*Geometry!$H$23,0)+IF(C106=3,J106*Geometry!$I$23,0)+IF(C106=4,J106*Geometry!$J$23,0)+IF(C106=5,J106*Geometry!$K$23,0)</f>
        <v>0</v>
      </c>
      <c r="P106">
        <f>IF(C106=1,J106*Geometry!$G$24,0)+IF(C106=2,J106*Geometry!$H$24,0)+IF(C106=3,J106*Geometry!$I$24,0)+IF(C106=4,J106*Geometry!$J$24,0)+IF(C106=5,J106*Geometry!$K$24,0)</f>
        <v>0</v>
      </c>
    </row>
    <row r="107" spans="1:16">
      <c r="A107">
        <f t="shared" si="15"/>
        <v>101</v>
      </c>
      <c r="C107" s="7">
        <f t="shared" si="17"/>
        <v>3</v>
      </c>
      <c r="D107" s="69">
        <f>D106+Geometry!$C$15</f>
        <v>642.5</v>
      </c>
      <c r="E107" s="59">
        <f t="shared" si="13"/>
        <v>-436.25</v>
      </c>
      <c r="F107" s="4">
        <f>Geometry!$D$12*D107</f>
        <v>24.041181818181823</v>
      </c>
      <c r="G107" s="4">
        <f t="shared" si="8"/>
        <v>0</v>
      </c>
      <c r="H107" s="4">
        <f>IF(ABS(E107*E107)&lt;=Geometry!$E$10,SQRT(Geometry!$E$10-E107*E107),0)</f>
        <v>0</v>
      </c>
      <c r="I107" s="4">
        <f t="shared" si="9"/>
        <v>0</v>
      </c>
      <c r="J107" s="5">
        <f t="shared" si="16"/>
        <v>0</v>
      </c>
      <c r="K107" s="59">
        <f>IF(C107=1,J107*Geometry!$G$21,0)+IF(C107=2,J107*Geometry!$H$21,0)+IF(C107=3,J107*Geometry!$I$21,0)+IF(C107=4,J107*Geometry!$J$21,0)+IF(C107=5,J107*Geometry!$K$21,0)</f>
        <v>0</v>
      </c>
      <c r="L107" s="59">
        <f>IF(C107=1,J107*Geometry!$G$20,0)+IF(C107=2,J107*Geometry!$H$20,0)+IF(C107=3,J107*Geometry!$I$20,0)+IF(C107=4,J107*Geometry!$J$20,0)+IF(C107=5,J107*Geometry!$K$20,0)</f>
        <v>0</v>
      </c>
      <c r="M107" s="59">
        <f>IF(C107=1,J107*Geometry!$G$19,0)+IF(C107=2,J107*Geometry!$H$19,0)+IF(C107=3,J107*Geometry!$I$19,0)+IF(C107=4,J107*Geometry!$J$19,0)+IF(C107=5,J107*Geometry!$K$19,0)</f>
        <v>0</v>
      </c>
      <c r="N107" s="59">
        <f>IF(C107=1,J107*Geometry!$G$22,0)+IF(C107=2,J107*Geometry!$H$22,0)+IF(C107=3,J107*Geometry!$I$22,0)+IF(C107=4,J107*Geometry!$J$22,0)+IF(C107=5,J107*Geometry!$K$22,0)</f>
        <v>0</v>
      </c>
      <c r="O107" s="59">
        <f>IF(C107=1,J107*Geometry!$G$23,0)+IF(C107=2,J107*Geometry!$H$23,0)+IF(C107=3,J107*Geometry!$I$23,0)+IF(C107=4,J107*Geometry!$J$23,0)+IF(C107=5,J107*Geometry!$K$23,0)</f>
        <v>0</v>
      </c>
      <c r="P107">
        <f>IF(C107=1,J107*Geometry!$G$24,0)+IF(C107=2,J107*Geometry!$H$24,0)+IF(C107=3,J107*Geometry!$I$24,0)+IF(C107=4,J107*Geometry!$J$24,0)+IF(C107=5,J107*Geometry!$K$24,0)</f>
        <v>0</v>
      </c>
    </row>
    <row r="108" spans="1:16">
      <c r="A108">
        <f t="shared" si="15"/>
        <v>102</v>
      </c>
      <c r="C108" s="7">
        <f t="shared" si="17"/>
        <v>3</v>
      </c>
      <c r="D108" s="69">
        <f>D107+Geometry!$C$15</f>
        <v>647.5</v>
      </c>
      <c r="E108" s="59">
        <f t="shared" si="13"/>
        <v>-441.25</v>
      </c>
      <c r="F108" s="4">
        <f>Geometry!$D$12*D108</f>
        <v>24.228272727272731</v>
      </c>
      <c r="G108" s="4">
        <f t="shared" si="8"/>
        <v>0</v>
      </c>
      <c r="H108" s="4">
        <f>IF(ABS(E108*E108)&lt;=Geometry!$E$10,SQRT(Geometry!$E$10-E108*E108),0)</f>
        <v>0</v>
      </c>
      <c r="I108" s="4">
        <f t="shared" si="9"/>
        <v>0</v>
      </c>
      <c r="J108" s="5">
        <f t="shared" si="16"/>
        <v>0</v>
      </c>
      <c r="K108" s="59">
        <f>IF(C108=1,J108*Geometry!$G$21,0)+IF(C108=2,J108*Geometry!$H$21,0)+IF(C108=3,J108*Geometry!$I$21,0)+IF(C108=4,J108*Geometry!$J$21,0)+IF(C108=5,J108*Geometry!$K$21,0)</f>
        <v>0</v>
      </c>
      <c r="L108" s="59">
        <f>IF(C108=1,J108*Geometry!$G$20,0)+IF(C108=2,J108*Geometry!$H$20,0)+IF(C108=3,J108*Geometry!$I$20,0)+IF(C108=4,J108*Geometry!$J$20,0)+IF(C108=5,J108*Geometry!$K$20,0)</f>
        <v>0</v>
      </c>
      <c r="M108" s="59">
        <f>IF(C108=1,J108*Geometry!$G$19,0)+IF(C108=2,J108*Geometry!$H$19,0)+IF(C108=3,J108*Geometry!$I$19,0)+IF(C108=4,J108*Geometry!$J$19,0)+IF(C108=5,J108*Geometry!$K$19,0)</f>
        <v>0</v>
      </c>
      <c r="N108" s="59">
        <f>IF(C108=1,J108*Geometry!$G$22,0)+IF(C108=2,J108*Geometry!$H$22,0)+IF(C108=3,J108*Geometry!$I$22,0)+IF(C108=4,J108*Geometry!$J$22,0)+IF(C108=5,J108*Geometry!$K$22,0)</f>
        <v>0</v>
      </c>
      <c r="O108" s="59">
        <f>IF(C108=1,J108*Geometry!$G$23,0)+IF(C108=2,J108*Geometry!$H$23,0)+IF(C108=3,J108*Geometry!$I$23,0)+IF(C108=4,J108*Geometry!$J$23,0)+IF(C108=5,J108*Geometry!$K$23,0)</f>
        <v>0</v>
      </c>
      <c r="P108">
        <f>IF(C108=1,J108*Geometry!$G$24,0)+IF(C108=2,J108*Geometry!$H$24,0)+IF(C108=3,J108*Geometry!$I$24,0)+IF(C108=4,J108*Geometry!$J$24,0)+IF(C108=5,J108*Geometry!$K$24,0)</f>
        <v>0</v>
      </c>
    </row>
    <row r="109" spans="1:16">
      <c r="A109">
        <f t="shared" si="15"/>
        <v>103</v>
      </c>
      <c r="C109" s="7">
        <f t="shared" si="17"/>
        <v>3</v>
      </c>
      <c r="D109" s="69">
        <f>D108+Geometry!$C$15</f>
        <v>652.5</v>
      </c>
      <c r="E109" s="59">
        <f t="shared" si="13"/>
        <v>-446.25</v>
      </c>
      <c r="F109" s="4">
        <f>Geometry!$D$12*D109</f>
        <v>24.41536363636364</v>
      </c>
      <c r="G109" s="4">
        <f t="shared" si="8"/>
        <v>0</v>
      </c>
      <c r="H109" s="4">
        <f>IF(ABS(E109*E109)&lt;=Geometry!$E$10,SQRT(Geometry!$E$10-E109*E109),0)</f>
        <v>0</v>
      </c>
      <c r="I109" s="4">
        <f t="shared" si="9"/>
        <v>0</v>
      </c>
      <c r="J109" s="5">
        <f t="shared" si="16"/>
        <v>0</v>
      </c>
      <c r="K109" s="59">
        <f>IF(C109=1,J109*Geometry!$G$21,0)+IF(C109=2,J109*Geometry!$H$21,0)+IF(C109=3,J109*Geometry!$I$21,0)+IF(C109=4,J109*Geometry!$J$21,0)+IF(C109=5,J109*Geometry!$K$21,0)</f>
        <v>0</v>
      </c>
      <c r="L109" s="59">
        <f>IF(C109=1,J109*Geometry!$G$20,0)+IF(C109=2,J109*Geometry!$H$20,0)+IF(C109=3,J109*Geometry!$I$20,0)+IF(C109=4,J109*Geometry!$J$20,0)+IF(C109=5,J109*Geometry!$K$20,0)</f>
        <v>0</v>
      </c>
      <c r="M109" s="59">
        <f>IF(C109=1,J109*Geometry!$G$19,0)+IF(C109=2,J109*Geometry!$H$19,0)+IF(C109=3,J109*Geometry!$I$19,0)+IF(C109=4,J109*Geometry!$J$19,0)+IF(C109=5,J109*Geometry!$K$19,0)</f>
        <v>0</v>
      </c>
      <c r="N109" s="59">
        <f>IF(C109=1,J109*Geometry!$G$22,0)+IF(C109=2,J109*Geometry!$H$22,0)+IF(C109=3,J109*Geometry!$I$22,0)+IF(C109=4,J109*Geometry!$J$22,0)+IF(C109=5,J109*Geometry!$K$22,0)</f>
        <v>0</v>
      </c>
      <c r="O109" s="59">
        <f>IF(C109=1,J109*Geometry!$G$23,0)+IF(C109=2,J109*Geometry!$H$23,0)+IF(C109=3,J109*Geometry!$I$23,0)+IF(C109=4,J109*Geometry!$J$23,0)+IF(C109=5,J109*Geometry!$K$23,0)</f>
        <v>0</v>
      </c>
      <c r="P109">
        <f>IF(C109=1,J109*Geometry!$G$24,0)+IF(C109=2,J109*Geometry!$H$24,0)+IF(C109=3,J109*Geometry!$I$24,0)+IF(C109=4,J109*Geometry!$J$24,0)+IF(C109=5,J109*Geometry!$K$24,0)</f>
        <v>0</v>
      </c>
    </row>
    <row r="110" spans="1:16">
      <c r="A110">
        <f t="shared" si="15"/>
        <v>104</v>
      </c>
      <c r="C110" s="7">
        <f t="shared" si="17"/>
        <v>3</v>
      </c>
      <c r="D110" s="69">
        <f>D109+Geometry!$C$15</f>
        <v>657.5</v>
      </c>
      <c r="E110" s="59">
        <f t="shared" si="13"/>
        <v>-451.25</v>
      </c>
      <c r="F110" s="4">
        <f>Geometry!$D$12*D110</f>
        <v>24.602454545454549</v>
      </c>
      <c r="G110" s="4">
        <f t="shared" si="8"/>
        <v>0</v>
      </c>
      <c r="H110" s="4">
        <f>IF(ABS(E110*E110)&lt;=Geometry!$E$10,SQRT(Geometry!$E$10-E110*E110),0)</f>
        <v>0</v>
      </c>
      <c r="I110" s="4">
        <f t="shared" si="9"/>
        <v>0</v>
      </c>
      <c r="J110" s="5">
        <f t="shared" si="16"/>
        <v>0</v>
      </c>
      <c r="K110" s="59">
        <f>IF(C110=1,J110*Geometry!$G$21,0)+IF(C110=2,J110*Geometry!$H$21,0)+IF(C110=3,J110*Geometry!$I$21,0)+IF(C110=4,J110*Geometry!$J$21,0)+IF(C110=5,J110*Geometry!$K$21,0)</f>
        <v>0</v>
      </c>
      <c r="L110" s="59">
        <f>IF(C110=1,J110*Geometry!$G$20,0)+IF(C110=2,J110*Geometry!$H$20,0)+IF(C110=3,J110*Geometry!$I$20,0)+IF(C110=4,J110*Geometry!$J$20,0)+IF(C110=5,J110*Geometry!$K$20,0)</f>
        <v>0</v>
      </c>
      <c r="M110" s="59">
        <f>IF(C110=1,J110*Geometry!$G$19,0)+IF(C110=2,J110*Geometry!$H$19,0)+IF(C110=3,J110*Geometry!$I$19,0)+IF(C110=4,J110*Geometry!$J$19,0)+IF(C110=5,J110*Geometry!$K$19,0)</f>
        <v>0</v>
      </c>
      <c r="N110" s="59">
        <f>IF(C110=1,J110*Geometry!$G$22,0)+IF(C110=2,J110*Geometry!$H$22,0)+IF(C110=3,J110*Geometry!$I$22,0)+IF(C110=4,J110*Geometry!$J$22,0)+IF(C110=5,J110*Geometry!$K$22,0)</f>
        <v>0</v>
      </c>
      <c r="O110" s="59">
        <f>IF(C110=1,J110*Geometry!$G$23,0)+IF(C110=2,J110*Geometry!$H$23,0)+IF(C110=3,J110*Geometry!$I$23,0)+IF(C110=4,J110*Geometry!$J$23,0)+IF(C110=5,J110*Geometry!$K$23,0)</f>
        <v>0</v>
      </c>
      <c r="P110">
        <f>IF(C110=1,J110*Geometry!$G$24,0)+IF(C110=2,J110*Geometry!$H$24,0)+IF(C110=3,J110*Geometry!$I$24,0)+IF(C110=4,J110*Geometry!$J$24,0)+IF(C110=5,J110*Geometry!$K$24,0)</f>
        <v>0</v>
      </c>
    </row>
    <row r="111" spans="1:16">
      <c r="A111">
        <f t="shared" ref="A111:A124" si="18">A110+1</f>
        <v>105</v>
      </c>
      <c r="C111" s="7">
        <f t="shared" si="17"/>
        <v>3</v>
      </c>
      <c r="D111" s="69">
        <f>D110+Geometry!$C$15</f>
        <v>662.5</v>
      </c>
      <c r="E111" s="59">
        <f t="shared" si="13"/>
        <v>-456.25</v>
      </c>
      <c r="F111" s="4">
        <f>Geometry!$D$12*D111</f>
        <v>24.789545454545458</v>
      </c>
      <c r="G111" s="4">
        <f t="shared" si="8"/>
        <v>0</v>
      </c>
      <c r="H111" s="4">
        <f>IF(ABS(E111*E111)&lt;=Geometry!$E$10,SQRT(Geometry!$E$10-E111*E111),0)</f>
        <v>0</v>
      </c>
      <c r="I111" s="4">
        <f t="shared" si="9"/>
        <v>0</v>
      </c>
      <c r="J111" s="5">
        <f t="shared" si="16"/>
        <v>0</v>
      </c>
      <c r="K111" s="59">
        <f>IF(C111=1,J111*Geometry!$G$21,0)+IF(C111=2,J111*Geometry!$H$21,0)+IF(C111=3,J111*Geometry!$I$21,0)+IF(C111=4,J111*Geometry!$J$21,0)+IF(C111=5,J111*Geometry!$K$21,0)</f>
        <v>0</v>
      </c>
      <c r="L111" s="59">
        <f>IF(C111=1,J111*Geometry!$G$20,0)+IF(C111=2,J111*Geometry!$H$20,0)+IF(C111=3,J111*Geometry!$I$20,0)+IF(C111=4,J111*Geometry!$J$20,0)+IF(C111=5,J111*Geometry!$K$20,0)</f>
        <v>0</v>
      </c>
      <c r="M111" s="59">
        <f>IF(C111=1,J111*Geometry!$G$19,0)+IF(C111=2,J111*Geometry!$H$19,0)+IF(C111=3,J111*Geometry!$I$19,0)+IF(C111=4,J111*Geometry!$J$19,0)+IF(C111=5,J111*Geometry!$K$19,0)</f>
        <v>0</v>
      </c>
      <c r="N111" s="59">
        <f>IF(C111=1,J111*Geometry!$G$22,0)+IF(C111=2,J111*Geometry!$H$22,0)+IF(C111=3,J111*Geometry!$I$22,0)+IF(C111=4,J111*Geometry!$J$22,0)+IF(C111=5,J111*Geometry!$K$22,0)</f>
        <v>0</v>
      </c>
      <c r="O111" s="59">
        <f>IF(C111=1,J111*Geometry!$G$23,0)+IF(C111=2,J111*Geometry!$H$23,0)+IF(C111=3,J111*Geometry!$I$23,0)+IF(C111=4,J111*Geometry!$J$23,0)+IF(C111=5,J111*Geometry!$K$23,0)</f>
        <v>0</v>
      </c>
      <c r="P111">
        <f>IF(C111=1,J111*Geometry!$G$24,0)+IF(C111=2,J111*Geometry!$H$24,0)+IF(C111=3,J111*Geometry!$I$24,0)+IF(C111=4,J111*Geometry!$J$24,0)+IF(C111=5,J111*Geometry!$K$24,0)</f>
        <v>0</v>
      </c>
    </row>
    <row r="112" spans="1:16">
      <c r="A112">
        <f t="shared" si="18"/>
        <v>106</v>
      </c>
      <c r="C112" s="7">
        <f t="shared" si="17"/>
        <v>3</v>
      </c>
      <c r="D112" s="69">
        <f>D111+Geometry!$C$15</f>
        <v>667.5</v>
      </c>
      <c r="E112" s="59">
        <f t="shared" si="13"/>
        <v>-461.25</v>
      </c>
      <c r="F112" s="4">
        <f>Geometry!$D$12*D112</f>
        <v>24.976636363636366</v>
      </c>
      <c r="G112" s="4">
        <f t="shared" si="8"/>
        <v>0</v>
      </c>
      <c r="H112" s="4">
        <f>IF(ABS(E112*E112)&lt;=Geometry!$E$10,SQRT(Geometry!$E$10-E112*E112),0)</f>
        <v>0</v>
      </c>
      <c r="I112" s="4">
        <f t="shared" si="9"/>
        <v>0</v>
      </c>
      <c r="J112" s="5">
        <f t="shared" si="16"/>
        <v>0</v>
      </c>
      <c r="K112" s="59">
        <f>IF(C112=1,J112*Geometry!$G$21,0)+IF(C112=2,J112*Geometry!$H$21,0)+IF(C112=3,J112*Geometry!$I$21,0)+IF(C112=4,J112*Geometry!$J$21,0)+IF(C112=5,J112*Geometry!$K$21,0)</f>
        <v>0</v>
      </c>
      <c r="L112" s="59">
        <f>IF(C112=1,J112*Geometry!$G$20,0)+IF(C112=2,J112*Geometry!$H$20,0)+IF(C112=3,J112*Geometry!$I$20,0)+IF(C112=4,J112*Geometry!$J$20,0)+IF(C112=5,J112*Geometry!$K$20,0)</f>
        <v>0</v>
      </c>
      <c r="M112" s="59">
        <f>IF(C112=1,J112*Geometry!$G$19,0)+IF(C112=2,J112*Geometry!$H$19,0)+IF(C112=3,J112*Geometry!$I$19,0)+IF(C112=4,J112*Geometry!$J$19,0)+IF(C112=5,J112*Geometry!$K$19,0)</f>
        <v>0</v>
      </c>
      <c r="N112" s="59">
        <f>IF(C112=1,J112*Geometry!$G$22,0)+IF(C112=2,J112*Geometry!$H$22,0)+IF(C112=3,J112*Geometry!$I$22,0)+IF(C112=4,J112*Geometry!$J$22,0)+IF(C112=5,J112*Geometry!$K$22,0)</f>
        <v>0</v>
      </c>
      <c r="O112" s="59">
        <f>IF(C112=1,J112*Geometry!$G$23,0)+IF(C112=2,J112*Geometry!$H$23,0)+IF(C112=3,J112*Geometry!$I$23,0)+IF(C112=4,J112*Geometry!$J$23,0)+IF(C112=5,J112*Geometry!$K$23,0)</f>
        <v>0</v>
      </c>
      <c r="P112">
        <f>IF(C112=1,J112*Geometry!$G$24,0)+IF(C112=2,J112*Geometry!$H$24,0)+IF(C112=3,J112*Geometry!$I$24,0)+IF(C112=4,J112*Geometry!$J$24,0)+IF(C112=5,J112*Geometry!$K$24,0)</f>
        <v>0</v>
      </c>
    </row>
    <row r="113" spans="1:16">
      <c r="A113">
        <f t="shared" si="18"/>
        <v>107</v>
      </c>
      <c r="C113" s="7">
        <f t="shared" si="17"/>
        <v>3</v>
      </c>
      <c r="D113" s="69">
        <f>D112+Geometry!$C$15</f>
        <v>672.5</v>
      </c>
      <c r="E113" s="59">
        <f t="shared" si="13"/>
        <v>-466.25</v>
      </c>
      <c r="F113" s="4">
        <f>Geometry!$D$12*D113</f>
        <v>25.163727272727275</v>
      </c>
      <c r="G113" s="4">
        <f t="shared" si="8"/>
        <v>0</v>
      </c>
      <c r="H113" s="4">
        <f>IF(ABS(E113*E113)&lt;=Geometry!$E$10,SQRT(Geometry!$E$10-E113*E113),0)</f>
        <v>0</v>
      </c>
      <c r="I113" s="4">
        <f t="shared" si="9"/>
        <v>0</v>
      </c>
      <c r="J113" s="5">
        <f t="shared" si="16"/>
        <v>0</v>
      </c>
      <c r="K113" s="59">
        <f>IF(C113=1,J113*Geometry!$G$21,0)+IF(C113=2,J113*Geometry!$H$21,0)+IF(C113=3,J113*Geometry!$I$21,0)+IF(C113=4,J113*Geometry!$J$21,0)+IF(C113=5,J113*Geometry!$K$21,0)</f>
        <v>0</v>
      </c>
      <c r="L113" s="59">
        <f>IF(C113=1,J113*Geometry!$G$20,0)+IF(C113=2,J113*Geometry!$H$20,0)+IF(C113=3,J113*Geometry!$I$20,0)+IF(C113=4,J113*Geometry!$J$20,0)+IF(C113=5,J113*Geometry!$K$20,0)</f>
        <v>0</v>
      </c>
      <c r="M113" s="59">
        <f>IF(C113=1,J113*Geometry!$G$19,0)+IF(C113=2,J113*Geometry!$H$19,0)+IF(C113=3,J113*Geometry!$I$19,0)+IF(C113=4,J113*Geometry!$J$19,0)+IF(C113=5,J113*Geometry!$K$19,0)</f>
        <v>0</v>
      </c>
      <c r="N113" s="59">
        <f>IF(C113=1,J113*Geometry!$G$22,0)+IF(C113=2,J113*Geometry!$H$22,0)+IF(C113=3,J113*Geometry!$I$22,0)+IF(C113=4,J113*Geometry!$J$22,0)+IF(C113=5,J113*Geometry!$K$22,0)</f>
        <v>0</v>
      </c>
      <c r="O113" s="59">
        <f>IF(C113=1,J113*Geometry!$G$23,0)+IF(C113=2,J113*Geometry!$H$23,0)+IF(C113=3,J113*Geometry!$I$23,0)+IF(C113=4,J113*Geometry!$J$23,0)+IF(C113=5,J113*Geometry!$K$23,0)</f>
        <v>0</v>
      </c>
      <c r="P113">
        <f>IF(C113=1,J113*Geometry!$G$24,0)+IF(C113=2,J113*Geometry!$H$24,0)+IF(C113=3,J113*Geometry!$I$24,0)+IF(C113=4,J113*Geometry!$J$24,0)+IF(C113=5,J113*Geometry!$K$24,0)</f>
        <v>0</v>
      </c>
    </row>
    <row r="114" spans="1:16">
      <c r="A114">
        <f t="shared" si="18"/>
        <v>108</v>
      </c>
      <c r="C114" s="7">
        <f t="shared" si="17"/>
        <v>3</v>
      </c>
      <c r="D114" s="69">
        <f>D113+Geometry!$C$15</f>
        <v>677.5</v>
      </c>
      <c r="E114" s="59">
        <f t="shared" si="13"/>
        <v>-471.25</v>
      </c>
      <c r="F114" s="4">
        <f>Geometry!$D$12*D114</f>
        <v>25.350818181818184</v>
      </c>
      <c r="G114" s="4">
        <f t="shared" si="8"/>
        <v>0</v>
      </c>
      <c r="H114" s="4">
        <f>IF(ABS(E114*E114)&lt;=Geometry!$E$10,SQRT(Geometry!$E$10-E114*E114),0)</f>
        <v>0</v>
      </c>
      <c r="I114" s="4">
        <f t="shared" si="9"/>
        <v>0</v>
      </c>
      <c r="J114" s="5">
        <f t="shared" si="16"/>
        <v>0</v>
      </c>
      <c r="K114" s="59">
        <f>IF(C114=1,J114*Geometry!$G$21,0)+IF(C114=2,J114*Geometry!$H$21,0)+IF(C114=3,J114*Geometry!$I$21,0)+IF(C114=4,J114*Geometry!$J$21,0)+IF(C114=5,J114*Geometry!$K$21,0)</f>
        <v>0</v>
      </c>
      <c r="L114" s="59">
        <f>IF(C114=1,J114*Geometry!$G$20,0)+IF(C114=2,J114*Geometry!$H$20,0)+IF(C114=3,J114*Geometry!$I$20,0)+IF(C114=4,J114*Geometry!$J$20,0)+IF(C114=5,J114*Geometry!$K$20,0)</f>
        <v>0</v>
      </c>
      <c r="M114" s="59">
        <f>IF(C114=1,J114*Geometry!$G$19,0)+IF(C114=2,J114*Geometry!$H$19,0)+IF(C114=3,J114*Geometry!$I$19,0)+IF(C114=4,J114*Geometry!$J$19,0)+IF(C114=5,J114*Geometry!$K$19,0)</f>
        <v>0</v>
      </c>
      <c r="N114" s="59">
        <f>IF(C114=1,J114*Geometry!$G$22,0)+IF(C114=2,J114*Geometry!$H$22,0)+IF(C114=3,J114*Geometry!$I$22,0)+IF(C114=4,J114*Geometry!$J$22,0)+IF(C114=5,J114*Geometry!$K$22,0)</f>
        <v>0</v>
      </c>
      <c r="O114" s="59">
        <f>IF(C114=1,J114*Geometry!$G$23,0)+IF(C114=2,J114*Geometry!$H$23,0)+IF(C114=3,J114*Geometry!$I$23,0)+IF(C114=4,J114*Geometry!$J$23,0)+IF(C114=5,J114*Geometry!$K$23,0)</f>
        <v>0</v>
      </c>
      <c r="P114">
        <f>IF(C114=1,J114*Geometry!$G$24,0)+IF(C114=2,J114*Geometry!$H$24,0)+IF(C114=3,J114*Geometry!$I$24,0)+IF(C114=4,J114*Geometry!$J$24,0)+IF(C114=5,J114*Geometry!$K$24,0)</f>
        <v>0</v>
      </c>
    </row>
    <row r="115" spans="1:16">
      <c r="A115">
        <f t="shared" si="18"/>
        <v>109</v>
      </c>
      <c r="C115" s="7">
        <f t="shared" si="17"/>
        <v>3</v>
      </c>
      <c r="D115" s="69">
        <f>D114+Geometry!$C$15</f>
        <v>682.5</v>
      </c>
      <c r="E115" s="59">
        <f t="shared" si="13"/>
        <v>-476.25</v>
      </c>
      <c r="F115" s="4">
        <f>Geometry!$D$12*D115</f>
        <v>25.537909090909093</v>
      </c>
      <c r="G115" s="4">
        <f t="shared" si="8"/>
        <v>0</v>
      </c>
      <c r="H115" s="4">
        <f>IF(ABS(E115*E115)&lt;=Geometry!$E$10,SQRT(Geometry!$E$10-E115*E115),0)</f>
        <v>0</v>
      </c>
      <c r="I115" s="4">
        <f t="shared" si="9"/>
        <v>0</v>
      </c>
      <c r="J115" s="5">
        <f t="shared" si="16"/>
        <v>0</v>
      </c>
      <c r="K115" s="59">
        <f>IF(C115=1,J115*Geometry!$G$21,0)+IF(C115=2,J115*Geometry!$H$21,0)+IF(C115=3,J115*Geometry!$I$21,0)+IF(C115=4,J115*Geometry!$J$21,0)+IF(C115=5,J115*Geometry!$K$21,0)</f>
        <v>0</v>
      </c>
      <c r="L115" s="59">
        <f>IF(C115=1,J115*Geometry!$G$20,0)+IF(C115=2,J115*Geometry!$H$20,0)+IF(C115=3,J115*Geometry!$I$20,0)+IF(C115=4,J115*Geometry!$J$20,0)+IF(C115=5,J115*Geometry!$K$20,0)</f>
        <v>0</v>
      </c>
      <c r="M115" s="59">
        <f>IF(C115=1,J115*Geometry!$G$19,0)+IF(C115=2,J115*Geometry!$H$19,0)+IF(C115=3,J115*Geometry!$I$19,0)+IF(C115=4,J115*Geometry!$J$19,0)+IF(C115=5,J115*Geometry!$K$19,0)</f>
        <v>0</v>
      </c>
      <c r="N115" s="59">
        <f>IF(C115=1,J115*Geometry!$G$22,0)+IF(C115=2,J115*Geometry!$H$22,0)+IF(C115=3,J115*Geometry!$I$22,0)+IF(C115=4,J115*Geometry!$J$22,0)+IF(C115=5,J115*Geometry!$K$22,0)</f>
        <v>0</v>
      </c>
      <c r="O115" s="59">
        <f>IF(C115=1,J115*Geometry!$G$23,0)+IF(C115=2,J115*Geometry!$H$23,0)+IF(C115=3,J115*Geometry!$I$23,0)+IF(C115=4,J115*Geometry!$J$23,0)+IF(C115=5,J115*Geometry!$K$23,0)</f>
        <v>0</v>
      </c>
      <c r="P115">
        <f>IF(C115=1,J115*Geometry!$G$24,0)+IF(C115=2,J115*Geometry!$H$24,0)+IF(C115=3,J115*Geometry!$I$24,0)+IF(C115=4,J115*Geometry!$J$24,0)+IF(C115=5,J115*Geometry!$K$24,0)</f>
        <v>0</v>
      </c>
    </row>
    <row r="116" spans="1:16">
      <c r="A116">
        <f t="shared" si="18"/>
        <v>110</v>
      </c>
      <c r="C116" s="7">
        <f t="shared" si="17"/>
        <v>3</v>
      </c>
      <c r="D116" s="69">
        <f>D115+Geometry!$C$15</f>
        <v>687.5</v>
      </c>
      <c r="E116" s="59">
        <f t="shared" si="13"/>
        <v>-481.25</v>
      </c>
      <c r="F116" s="4">
        <f>Geometry!$D$12*D116</f>
        <v>25.725000000000001</v>
      </c>
      <c r="G116" s="4">
        <f t="shared" si="8"/>
        <v>0</v>
      </c>
      <c r="H116" s="4">
        <f>IF(ABS(E116*E116)&lt;=Geometry!$E$10,SQRT(Geometry!$E$10-E116*E116),0)</f>
        <v>0</v>
      </c>
      <c r="I116" s="4">
        <f t="shared" si="9"/>
        <v>0</v>
      </c>
      <c r="J116" s="5">
        <f t="shared" si="16"/>
        <v>0</v>
      </c>
      <c r="K116" s="59">
        <f>IF(C116=1,J116*Geometry!$G$21,0)+IF(C116=2,J116*Geometry!$H$21,0)+IF(C116=3,J116*Geometry!$I$21,0)+IF(C116=4,J116*Geometry!$J$21,0)+IF(C116=5,J116*Geometry!$K$21,0)</f>
        <v>0</v>
      </c>
      <c r="L116" s="59">
        <f>IF(C116=1,J116*Geometry!$G$20,0)+IF(C116=2,J116*Geometry!$H$20,0)+IF(C116=3,J116*Geometry!$I$20,0)+IF(C116=4,J116*Geometry!$J$20,0)+IF(C116=5,J116*Geometry!$K$20,0)</f>
        <v>0</v>
      </c>
      <c r="M116" s="59">
        <f>IF(C116=1,J116*Geometry!$G$19,0)+IF(C116=2,J116*Geometry!$H$19,0)+IF(C116=3,J116*Geometry!$I$19,0)+IF(C116=4,J116*Geometry!$J$19,0)+IF(C116=5,J116*Geometry!$K$19,0)</f>
        <v>0</v>
      </c>
      <c r="N116" s="59">
        <f>IF(C116=1,J116*Geometry!$G$22,0)+IF(C116=2,J116*Geometry!$H$22,0)+IF(C116=3,J116*Geometry!$I$22,0)+IF(C116=4,J116*Geometry!$J$22,0)+IF(C116=5,J116*Geometry!$K$22,0)</f>
        <v>0</v>
      </c>
      <c r="O116" s="59">
        <f>IF(C116=1,J116*Geometry!$G$23,0)+IF(C116=2,J116*Geometry!$H$23,0)+IF(C116=3,J116*Geometry!$I$23,0)+IF(C116=4,J116*Geometry!$J$23,0)+IF(C116=5,J116*Geometry!$K$23,0)</f>
        <v>0</v>
      </c>
      <c r="P116">
        <f>IF(C116=1,J116*Geometry!$G$24,0)+IF(C116=2,J116*Geometry!$H$24,0)+IF(C116=3,J116*Geometry!$I$24,0)+IF(C116=4,J116*Geometry!$J$24,0)+IF(C116=5,J116*Geometry!$K$24,0)</f>
        <v>0</v>
      </c>
    </row>
    <row r="117" spans="1:16">
      <c r="A117">
        <f t="shared" si="18"/>
        <v>111</v>
      </c>
      <c r="C117" s="7">
        <f t="shared" si="17"/>
        <v>3</v>
      </c>
      <c r="D117" s="69">
        <f>D116+Geometry!$C$15</f>
        <v>692.5</v>
      </c>
      <c r="E117" s="59">
        <f t="shared" si="13"/>
        <v>-486.25</v>
      </c>
      <c r="F117" s="4">
        <f>Geometry!$D$12*D117</f>
        <v>25.912090909090914</v>
      </c>
      <c r="G117" s="4">
        <f t="shared" si="8"/>
        <v>0</v>
      </c>
      <c r="H117" s="4">
        <f>IF(ABS(E117*E117)&lt;=Geometry!$E$10,SQRT(Geometry!$E$10-E117*E117),0)</f>
        <v>0</v>
      </c>
      <c r="I117" s="4">
        <f t="shared" si="9"/>
        <v>0</v>
      </c>
      <c r="J117">
        <f t="shared" ref="J117:J158" si="19">PI()*H117*H117</f>
        <v>0</v>
      </c>
      <c r="K117" s="59">
        <f>IF(C117=1,J117*Geometry!$G$21,0)+IF(C117=2,J117*Geometry!$H$21,0)+IF(C117=3,J117*Geometry!$I$21,0)+IF(C117=4,J117*Geometry!$J$21,0)+IF(C117=5,J117*Geometry!$K$21,0)</f>
        <v>0</v>
      </c>
      <c r="L117" s="59">
        <f>IF(C117=1,J117*Geometry!$G$20,0)+IF(C117=2,J117*Geometry!$H$20,0)+IF(C117=3,J117*Geometry!$I$20,0)+IF(C117=4,J117*Geometry!$J$20,0)+IF(C117=5,J117*Geometry!$K$20,0)</f>
        <v>0</v>
      </c>
      <c r="M117" s="59">
        <f>IF(C117=1,J117*Geometry!$G$19,0)+IF(C117=2,J117*Geometry!$H$19,0)+IF(C117=3,J117*Geometry!$I$19,0)+IF(C117=4,J117*Geometry!$J$19,0)+IF(C117=5,J117*Geometry!$K$19,0)</f>
        <v>0</v>
      </c>
      <c r="N117" s="59">
        <f>IF(C117=1,J117*Geometry!$G$22,0)+IF(C117=2,J117*Geometry!$H$22,0)+IF(C117=3,J117*Geometry!$I$22,0)+IF(C117=4,J117*Geometry!$J$22,0)+IF(C117=5,J117*Geometry!$K$22,0)</f>
        <v>0</v>
      </c>
      <c r="O117" s="59">
        <f>IF(C117=1,J117*Geometry!$G$23,0)+IF(C117=2,J117*Geometry!$H$23,0)+IF(C117=3,J117*Geometry!$I$23,0)+IF(C117=4,J117*Geometry!$J$23,0)+IF(C117=5,J117*Geometry!$K$23,0)</f>
        <v>0</v>
      </c>
      <c r="P117">
        <f>IF(C117=1,J117*Geometry!$G$24,0)+IF(C117=2,J117*Geometry!$H$24,0)+IF(C117=3,J117*Geometry!$I$24,0)+IF(C117=4,J117*Geometry!$J$24,0)+IF(C117=5,J117*Geometry!$K$24,0)</f>
        <v>0</v>
      </c>
    </row>
    <row r="118" spans="1:16">
      <c r="A118">
        <f t="shared" si="18"/>
        <v>112</v>
      </c>
      <c r="C118" s="7">
        <f t="shared" si="17"/>
        <v>3</v>
      </c>
      <c r="D118" s="69">
        <f>D117+Geometry!$C$15</f>
        <v>697.5</v>
      </c>
      <c r="E118" s="59">
        <f t="shared" si="13"/>
        <v>-491.25</v>
      </c>
      <c r="F118" s="4">
        <f>Geometry!$D$12*D118</f>
        <v>26.099181818181822</v>
      </c>
      <c r="G118" s="4">
        <f t="shared" si="8"/>
        <v>0</v>
      </c>
      <c r="H118" s="4">
        <f>IF(ABS(E118*E118)&lt;=Geometry!$E$10,SQRT(Geometry!$E$10-E118*E118),0)</f>
        <v>0</v>
      </c>
      <c r="I118" s="4">
        <f t="shared" si="9"/>
        <v>0</v>
      </c>
      <c r="J118">
        <f t="shared" si="19"/>
        <v>0</v>
      </c>
      <c r="K118" s="59">
        <f>IF(C118=1,J118*Geometry!$G$21,0)+IF(C118=2,J118*Geometry!$H$21,0)+IF(C118=3,J118*Geometry!$I$21,0)+IF(C118=4,J118*Geometry!$J$21,0)+IF(C118=5,J118*Geometry!$K$21,0)</f>
        <v>0</v>
      </c>
      <c r="L118" s="59">
        <f>IF(C118=1,J118*Geometry!$G$20,0)+IF(C118=2,J118*Geometry!$H$20,0)+IF(C118=3,J118*Geometry!$I$20,0)+IF(C118=4,J118*Geometry!$J$20,0)+IF(C118=5,J118*Geometry!$K$20,0)</f>
        <v>0</v>
      </c>
      <c r="M118" s="59">
        <f>IF(C118=1,J118*Geometry!$G$19,0)+IF(C118=2,J118*Geometry!$H$19,0)+IF(C118=3,J118*Geometry!$I$19,0)+IF(C118=4,J118*Geometry!$J$19,0)+IF(C118=5,J118*Geometry!$K$19,0)</f>
        <v>0</v>
      </c>
      <c r="N118" s="59">
        <f>IF(C118=1,J118*Geometry!$G$22,0)+IF(C118=2,J118*Geometry!$H$22,0)+IF(C118=3,J118*Geometry!$I$22,0)+IF(C118=4,J118*Geometry!$J$22,0)+IF(C118=5,J118*Geometry!$K$22,0)</f>
        <v>0</v>
      </c>
      <c r="O118" s="59">
        <f>IF(C118=1,J118*Geometry!$G$23,0)+IF(C118=2,J118*Geometry!$H$23,0)+IF(C118=3,J118*Geometry!$I$23,0)+IF(C118=4,J118*Geometry!$J$23,0)+IF(C118=5,J118*Geometry!$K$23,0)</f>
        <v>0</v>
      </c>
      <c r="P118">
        <f>IF(C118=1,J118*Geometry!$G$24,0)+IF(C118=2,J118*Geometry!$H$24,0)+IF(C118=3,J118*Geometry!$I$24,0)+IF(C118=4,J118*Geometry!$J$24,0)+IF(C118=5,J118*Geometry!$K$24,0)</f>
        <v>0</v>
      </c>
    </row>
    <row r="119" spans="1:16">
      <c r="A119">
        <f t="shared" si="18"/>
        <v>113</v>
      </c>
      <c r="C119" s="7">
        <f t="shared" si="17"/>
        <v>3</v>
      </c>
      <c r="D119" s="69">
        <f>D118+Geometry!$C$15</f>
        <v>702.5</v>
      </c>
      <c r="E119" s="59">
        <f t="shared" si="13"/>
        <v>-496.25</v>
      </c>
      <c r="F119" s="4">
        <f>Geometry!$D$12*D119</f>
        <v>26.286272727272731</v>
      </c>
      <c r="G119" s="4">
        <f t="shared" si="8"/>
        <v>0</v>
      </c>
      <c r="H119" s="4">
        <f>IF(ABS(E119*E119)&lt;=Geometry!$E$10,SQRT(Geometry!$E$10-E119*E119),0)</f>
        <v>0</v>
      </c>
      <c r="I119" s="4">
        <f t="shared" si="9"/>
        <v>0</v>
      </c>
      <c r="J119">
        <f t="shared" si="19"/>
        <v>0</v>
      </c>
      <c r="K119" s="59">
        <f>IF(C119=1,J119*Geometry!$G$21,0)+IF(C119=2,J119*Geometry!$H$21,0)+IF(C119=3,J119*Geometry!$I$21,0)+IF(C119=4,J119*Geometry!$J$21,0)+IF(C119=5,J119*Geometry!$K$21,0)</f>
        <v>0</v>
      </c>
      <c r="L119" s="59">
        <f>IF(C119=1,J119*Geometry!$G$20,0)+IF(C119=2,J119*Geometry!$H$20,0)+IF(C119=3,J119*Geometry!$I$20,0)+IF(C119=4,J119*Geometry!$J$20,0)+IF(C119=5,J119*Geometry!$K$20,0)</f>
        <v>0</v>
      </c>
      <c r="M119" s="59">
        <f>IF(C119=1,J119*Geometry!$G$19,0)+IF(C119=2,J119*Geometry!$H$19,0)+IF(C119=3,J119*Geometry!$I$19,0)+IF(C119=4,J119*Geometry!$J$19,0)+IF(C119=5,J119*Geometry!$K$19,0)</f>
        <v>0</v>
      </c>
      <c r="N119" s="59">
        <f>IF(C119=1,J119*Geometry!$G$22,0)+IF(C119=2,J119*Geometry!$H$22,0)+IF(C119=3,J119*Geometry!$I$22,0)+IF(C119=4,J119*Geometry!$J$22,0)+IF(C119=5,J119*Geometry!$K$22,0)</f>
        <v>0</v>
      </c>
      <c r="O119" s="59">
        <f>IF(C119=1,J119*Geometry!$G$23,0)+IF(C119=2,J119*Geometry!$H$23,0)+IF(C119=3,J119*Geometry!$I$23,0)+IF(C119=4,J119*Geometry!$J$23,0)+IF(C119=5,J119*Geometry!$K$23,0)</f>
        <v>0</v>
      </c>
      <c r="P119">
        <f>IF(C119=1,J119*Geometry!$G$24,0)+IF(C119=2,J119*Geometry!$H$24,0)+IF(C119=3,J119*Geometry!$I$24,0)+IF(C119=4,J119*Geometry!$J$24,0)+IF(C119=5,J119*Geometry!$K$24,0)</f>
        <v>0</v>
      </c>
    </row>
    <row r="120" spans="1:16">
      <c r="A120">
        <f t="shared" si="18"/>
        <v>114</v>
      </c>
      <c r="C120" s="7">
        <f t="shared" si="17"/>
        <v>3</v>
      </c>
      <c r="D120" s="69">
        <f>D119+Geometry!$C$15</f>
        <v>707.5</v>
      </c>
      <c r="E120" s="59">
        <f t="shared" si="13"/>
        <v>-501.25</v>
      </c>
      <c r="F120" s="4">
        <f>Geometry!$D$12*D120</f>
        <v>26.47336363636364</v>
      </c>
      <c r="G120" s="4">
        <f t="shared" si="8"/>
        <v>0</v>
      </c>
      <c r="H120" s="4">
        <f>IF(ABS(E120*E120)&lt;=Geometry!$E$10,SQRT(Geometry!$E$10-E120*E120),0)</f>
        <v>0</v>
      </c>
      <c r="I120" s="4">
        <f t="shared" si="9"/>
        <v>0</v>
      </c>
      <c r="J120">
        <f t="shared" si="19"/>
        <v>0</v>
      </c>
      <c r="K120" s="59">
        <f>IF(C120=1,J120*Geometry!$G$21,0)+IF(C120=2,J120*Geometry!$H$21,0)+IF(C120=3,J120*Geometry!$I$21,0)+IF(C120=4,J120*Geometry!$J$21,0)+IF(C120=5,J120*Geometry!$K$21,0)</f>
        <v>0</v>
      </c>
      <c r="L120" s="59">
        <f>IF(C120=1,J120*Geometry!$G$20,0)+IF(C120=2,J120*Geometry!$H$20,0)+IF(C120=3,J120*Geometry!$I$20,0)+IF(C120=4,J120*Geometry!$J$20,0)+IF(C120=5,J120*Geometry!$K$20,0)</f>
        <v>0</v>
      </c>
      <c r="M120" s="59">
        <f>IF(C120=1,J120*Geometry!$G$19,0)+IF(C120=2,J120*Geometry!$H$19,0)+IF(C120=3,J120*Geometry!$I$19,0)+IF(C120=4,J120*Geometry!$J$19,0)+IF(C120=5,J120*Geometry!$K$19,0)</f>
        <v>0</v>
      </c>
      <c r="N120" s="59">
        <f>IF(C120=1,J120*Geometry!$G$22,0)+IF(C120=2,J120*Geometry!$H$22,0)+IF(C120=3,J120*Geometry!$I$22,0)+IF(C120=4,J120*Geometry!$J$22,0)+IF(C120=5,J120*Geometry!$K$22,0)</f>
        <v>0</v>
      </c>
      <c r="O120" s="59">
        <f>IF(C120=1,J120*Geometry!$G$23,0)+IF(C120=2,J120*Geometry!$H$23,0)+IF(C120=3,J120*Geometry!$I$23,0)+IF(C120=4,J120*Geometry!$J$23,0)+IF(C120=5,J120*Geometry!$K$23,0)</f>
        <v>0</v>
      </c>
      <c r="P120">
        <f>IF(C120=1,J120*Geometry!$G$24,0)+IF(C120=2,J120*Geometry!$H$24,0)+IF(C120=3,J120*Geometry!$I$24,0)+IF(C120=4,J120*Geometry!$J$24,0)+IF(C120=5,J120*Geometry!$K$24,0)</f>
        <v>0</v>
      </c>
    </row>
    <row r="121" spans="1:16">
      <c r="A121">
        <f t="shared" si="18"/>
        <v>115</v>
      </c>
      <c r="C121" s="7">
        <f t="shared" si="17"/>
        <v>3</v>
      </c>
      <c r="D121" s="69">
        <f>D120+Geometry!$C$15</f>
        <v>712.5</v>
      </c>
      <c r="E121" s="59">
        <f t="shared" si="13"/>
        <v>-506.25</v>
      </c>
      <c r="F121" s="4">
        <f>Geometry!$D$12*D121</f>
        <v>26.660454545454549</v>
      </c>
      <c r="G121" s="4">
        <f t="shared" si="8"/>
        <v>0</v>
      </c>
      <c r="H121" s="4">
        <f>IF(ABS(E121*E121)&lt;=Geometry!$E$10,SQRT(Geometry!$E$10-E121*E121),0)</f>
        <v>0</v>
      </c>
      <c r="I121" s="4">
        <f t="shared" si="9"/>
        <v>0</v>
      </c>
      <c r="J121">
        <f t="shared" si="19"/>
        <v>0</v>
      </c>
      <c r="K121" s="59">
        <f>IF(C121=1,J121*Geometry!$G$21,0)+IF(C121=2,J121*Geometry!$H$21,0)+IF(C121=3,J121*Geometry!$I$21,0)+IF(C121=4,J121*Geometry!$J$21,0)+IF(C121=5,J121*Geometry!$K$21,0)</f>
        <v>0</v>
      </c>
      <c r="L121" s="59">
        <f>IF(C121=1,J121*Geometry!$G$20,0)+IF(C121=2,J121*Geometry!$H$20,0)+IF(C121=3,J121*Geometry!$I$20,0)+IF(C121=4,J121*Geometry!$J$20,0)+IF(C121=5,J121*Geometry!$K$20,0)</f>
        <v>0</v>
      </c>
      <c r="M121" s="59">
        <f>IF(C121=1,J121*Geometry!$G$19,0)+IF(C121=2,J121*Geometry!$H$19,0)+IF(C121=3,J121*Geometry!$I$19,0)+IF(C121=4,J121*Geometry!$J$19,0)+IF(C121=5,J121*Geometry!$K$19,0)</f>
        <v>0</v>
      </c>
      <c r="N121" s="59">
        <f>IF(C121=1,J121*Geometry!$G$22,0)+IF(C121=2,J121*Geometry!$H$22,0)+IF(C121=3,J121*Geometry!$I$22,0)+IF(C121=4,J121*Geometry!$J$22,0)+IF(C121=5,J121*Geometry!$K$22,0)</f>
        <v>0</v>
      </c>
      <c r="O121" s="59">
        <f>IF(C121=1,J121*Geometry!$G$23,0)+IF(C121=2,J121*Geometry!$H$23,0)+IF(C121=3,J121*Geometry!$I$23,0)+IF(C121=4,J121*Geometry!$J$23,0)+IF(C121=5,J121*Geometry!$K$23,0)</f>
        <v>0</v>
      </c>
      <c r="P121">
        <f>IF(C121=1,J121*Geometry!$G$24,0)+IF(C121=2,J121*Geometry!$H$24,0)+IF(C121=3,J121*Geometry!$I$24,0)+IF(C121=4,J121*Geometry!$J$24,0)+IF(C121=5,J121*Geometry!$K$24,0)</f>
        <v>0</v>
      </c>
    </row>
    <row r="122" spans="1:16">
      <c r="A122">
        <f t="shared" si="18"/>
        <v>116</v>
      </c>
      <c r="C122" s="7">
        <f t="shared" si="17"/>
        <v>3</v>
      </c>
      <c r="D122" s="69">
        <f>D121+Geometry!$C$15</f>
        <v>717.5</v>
      </c>
      <c r="E122" s="59">
        <f t="shared" si="13"/>
        <v>-511.25</v>
      </c>
      <c r="F122" s="4">
        <f>Geometry!$D$12*D122</f>
        <v>26.847545454545457</v>
      </c>
      <c r="G122" s="4">
        <f t="shared" si="8"/>
        <v>0</v>
      </c>
      <c r="H122" s="4">
        <f>IF(ABS(E122*E122)&lt;=Geometry!$E$10,SQRT(Geometry!$E$10-E122*E122),0)</f>
        <v>0</v>
      </c>
      <c r="I122" s="4">
        <f t="shared" si="9"/>
        <v>0</v>
      </c>
      <c r="J122">
        <f t="shared" si="19"/>
        <v>0</v>
      </c>
      <c r="K122" s="59">
        <f>IF(C122=1,J122*Geometry!$G$21,0)+IF(C122=2,J122*Geometry!$H$21,0)+IF(C122=3,J122*Geometry!$I$21,0)+IF(C122=4,J122*Geometry!$J$21,0)+IF(C122=5,J122*Geometry!$K$21,0)</f>
        <v>0</v>
      </c>
      <c r="L122" s="59">
        <f>IF(C122=1,J122*Geometry!$G$20,0)+IF(C122=2,J122*Geometry!$H$20,0)+IF(C122=3,J122*Geometry!$I$20,0)+IF(C122=4,J122*Geometry!$J$20,0)+IF(C122=5,J122*Geometry!$K$20,0)</f>
        <v>0</v>
      </c>
      <c r="M122" s="59">
        <f>IF(C122=1,J122*Geometry!$G$19,0)+IF(C122=2,J122*Geometry!$H$19,0)+IF(C122=3,J122*Geometry!$I$19,0)+IF(C122=4,J122*Geometry!$J$19,0)+IF(C122=5,J122*Geometry!$K$19,0)</f>
        <v>0</v>
      </c>
      <c r="N122" s="59">
        <f>IF(C122=1,J122*Geometry!$G$22,0)+IF(C122=2,J122*Geometry!$H$22,0)+IF(C122=3,J122*Geometry!$I$22,0)+IF(C122=4,J122*Geometry!$J$22,0)+IF(C122=5,J122*Geometry!$K$22,0)</f>
        <v>0</v>
      </c>
      <c r="O122" s="59">
        <f>IF(C122=1,J122*Geometry!$G$23,0)+IF(C122=2,J122*Geometry!$H$23,0)+IF(C122=3,J122*Geometry!$I$23,0)+IF(C122=4,J122*Geometry!$J$23,0)+IF(C122=5,J122*Geometry!$K$23,0)</f>
        <v>0</v>
      </c>
      <c r="P122">
        <f>IF(C122=1,J122*Geometry!$G$24,0)+IF(C122=2,J122*Geometry!$H$24,0)+IF(C122=3,J122*Geometry!$I$24,0)+IF(C122=4,J122*Geometry!$J$24,0)+IF(C122=5,J122*Geometry!$K$24,0)</f>
        <v>0</v>
      </c>
    </row>
    <row r="123" spans="1:16">
      <c r="A123">
        <f t="shared" si="18"/>
        <v>117</v>
      </c>
      <c r="C123" s="7">
        <f t="shared" si="17"/>
        <v>3</v>
      </c>
      <c r="D123" s="69">
        <f>D122+Geometry!$C$15</f>
        <v>722.5</v>
      </c>
      <c r="E123" s="59">
        <f t="shared" si="13"/>
        <v>-516.25</v>
      </c>
      <c r="F123" s="4">
        <f>Geometry!$D$12*D123</f>
        <v>27.034636363636366</v>
      </c>
      <c r="G123" s="4">
        <f t="shared" si="8"/>
        <v>0</v>
      </c>
      <c r="H123" s="4">
        <f>IF(ABS(E123*E123)&lt;=Geometry!$E$10,SQRT(Geometry!$E$10-E123*E123),0)</f>
        <v>0</v>
      </c>
      <c r="I123" s="4">
        <f t="shared" si="9"/>
        <v>0</v>
      </c>
      <c r="J123">
        <f t="shared" si="19"/>
        <v>0</v>
      </c>
      <c r="K123" s="59">
        <f>IF(C123=1,J123*Geometry!$G$21,0)+IF(C123=2,J123*Geometry!$H$21,0)+IF(C123=3,J123*Geometry!$I$21,0)+IF(C123=4,J123*Geometry!$J$21,0)+IF(C123=5,J123*Geometry!$K$21,0)</f>
        <v>0</v>
      </c>
      <c r="L123" s="59">
        <f>IF(C123=1,J123*Geometry!$G$20,0)+IF(C123=2,J123*Geometry!$H$20,0)+IF(C123=3,J123*Geometry!$I$20,0)+IF(C123=4,J123*Geometry!$J$20,0)+IF(C123=5,J123*Geometry!$K$20,0)</f>
        <v>0</v>
      </c>
      <c r="M123" s="59">
        <f>IF(C123=1,J123*Geometry!$G$19,0)+IF(C123=2,J123*Geometry!$H$19,0)+IF(C123=3,J123*Geometry!$I$19,0)+IF(C123=4,J123*Geometry!$J$19,0)+IF(C123=5,J123*Geometry!$K$19,0)</f>
        <v>0</v>
      </c>
      <c r="N123" s="59">
        <f>IF(C123=1,J123*Geometry!$G$22,0)+IF(C123=2,J123*Geometry!$H$22,0)+IF(C123=3,J123*Geometry!$I$22,0)+IF(C123=4,J123*Geometry!$J$22,0)+IF(C123=5,J123*Geometry!$K$22,0)</f>
        <v>0</v>
      </c>
      <c r="O123" s="59">
        <f>IF(C123=1,J123*Geometry!$G$23,0)+IF(C123=2,J123*Geometry!$H$23,0)+IF(C123=3,J123*Geometry!$I$23,0)+IF(C123=4,J123*Geometry!$J$23,0)+IF(C123=5,J123*Geometry!$K$23,0)</f>
        <v>0</v>
      </c>
      <c r="P123">
        <f>IF(C123=1,J123*Geometry!$G$24,0)+IF(C123=2,J123*Geometry!$H$24,0)+IF(C123=3,J123*Geometry!$I$24,0)+IF(C123=4,J123*Geometry!$J$24,0)+IF(C123=5,J123*Geometry!$K$24,0)</f>
        <v>0</v>
      </c>
    </row>
    <row r="124" spans="1:16">
      <c r="A124">
        <f t="shared" si="18"/>
        <v>118</v>
      </c>
      <c r="C124" s="7">
        <f t="shared" si="17"/>
        <v>3</v>
      </c>
      <c r="D124" s="69">
        <f>D123+Geometry!$C$15</f>
        <v>727.5</v>
      </c>
      <c r="E124" s="59">
        <f t="shared" si="13"/>
        <v>-521.25</v>
      </c>
      <c r="F124" s="4">
        <f>Geometry!$D$12*D124</f>
        <v>27.221727272727275</v>
      </c>
      <c r="G124" s="4">
        <f t="shared" si="8"/>
        <v>0</v>
      </c>
      <c r="H124" s="4">
        <f>IF(ABS(E124*E124)&lt;=Geometry!$E$10,SQRT(Geometry!$E$10-E124*E124),0)</f>
        <v>0</v>
      </c>
      <c r="I124" s="4">
        <f t="shared" si="9"/>
        <v>0</v>
      </c>
      <c r="J124">
        <f t="shared" si="19"/>
        <v>0</v>
      </c>
      <c r="K124" s="59">
        <f>IF(C124=1,J124*Geometry!$G$21,0)+IF(C124=2,J124*Geometry!$H$21,0)+IF(C124=3,J124*Geometry!$I$21,0)+IF(C124=4,J124*Geometry!$J$21,0)+IF(C124=5,J124*Geometry!$K$21,0)</f>
        <v>0</v>
      </c>
      <c r="L124" s="59">
        <f>IF(C124=1,J124*Geometry!$G$20,0)+IF(C124=2,J124*Geometry!$H$20,0)+IF(C124=3,J124*Geometry!$I$20,0)+IF(C124=4,J124*Geometry!$J$20,0)+IF(C124=5,J124*Geometry!$K$20,0)</f>
        <v>0</v>
      </c>
      <c r="M124" s="59">
        <f>IF(C124=1,J124*Geometry!$G$19,0)+IF(C124=2,J124*Geometry!$H$19,0)+IF(C124=3,J124*Geometry!$I$19,0)+IF(C124=4,J124*Geometry!$J$19,0)+IF(C124=5,J124*Geometry!$K$19,0)</f>
        <v>0</v>
      </c>
      <c r="N124" s="59">
        <f>IF(C124=1,J124*Geometry!$G$22,0)+IF(C124=2,J124*Geometry!$H$22,0)+IF(C124=3,J124*Geometry!$I$22,0)+IF(C124=4,J124*Geometry!$J$22,0)+IF(C124=5,J124*Geometry!$K$22,0)</f>
        <v>0</v>
      </c>
      <c r="O124" s="59">
        <f>IF(C124=1,J124*Geometry!$G$23,0)+IF(C124=2,J124*Geometry!$H$23,0)+IF(C124=3,J124*Geometry!$I$23,0)+IF(C124=4,J124*Geometry!$J$23,0)+IF(C124=5,J124*Geometry!$K$23,0)</f>
        <v>0</v>
      </c>
      <c r="P124">
        <f>IF(C124=1,J124*Geometry!$G$24,0)+IF(C124=2,J124*Geometry!$H$24,0)+IF(C124=3,J124*Geometry!$I$24,0)+IF(C124=4,J124*Geometry!$J$24,0)+IF(C124=5,J124*Geometry!$K$24,0)</f>
        <v>0</v>
      </c>
    </row>
    <row r="125" spans="1:16">
      <c r="A125">
        <f t="shared" ref="A125:A133" si="20">A124+1</f>
        <v>119</v>
      </c>
      <c r="C125" s="7">
        <f t="shared" si="17"/>
        <v>3</v>
      </c>
      <c r="D125" s="69">
        <f>D124+Geometry!$C$15</f>
        <v>732.5</v>
      </c>
      <c r="E125" s="59">
        <f t="shared" si="13"/>
        <v>-526.25</v>
      </c>
      <c r="F125" s="4">
        <f>Geometry!$D$12*D125</f>
        <v>27.408818181818184</v>
      </c>
      <c r="G125" s="4">
        <f t="shared" si="8"/>
        <v>0</v>
      </c>
      <c r="H125" s="4">
        <f>IF(ABS(E125*E125)&lt;=Geometry!$E$10,SQRT(Geometry!$E$10-E125*E125),0)</f>
        <v>0</v>
      </c>
      <c r="I125" s="4">
        <f t="shared" si="9"/>
        <v>0</v>
      </c>
      <c r="J125">
        <f t="shared" si="19"/>
        <v>0</v>
      </c>
      <c r="K125" s="59">
        <f>IF(C125=1,J125*Geometry!$G$21,0)+IF(C125=2,J125*Geometry!$H$21,0)+IF(C125=3,J125*Geometry!$I$21,0)+IF(C125=4,J125*Geometry!$J$21,0)+IF(C125=5,J125*Geometry!$K$21,0)</f>
        <v>0</v>
      </c>
      <c r="L125" s="59">
        <f>IF(C125=1,J125*Geometry!$G$20,0)+IF(C125=2,J125*Geometry!$H$20,0)+IF(C125=3,J125*Geometry!$I$20,0)+IF(C125=4,J125*Geometry!$J$20,0)+IF(C125=5,J125*Geometry!$K$20,0)</f>
        <v>0</v>
      </c>
      <c r="M125" s="59">
        <f>IF(C125=1,J125*Geometry!$G$19,0)+IF(C125=2,J125*Geometry!$H$19,0)+IF(C125=3,J125*Geometry!$I$19,0)+IF(C125=4,J125*Geometry!$J$19,0)+IF(C125=5,J125*Geometry!$K$19,0)</f>
        <v>0</v>
      </c>
      <c r="N125" s="59">
        <f>IF(C125=1,J125*Geometry!$G$22,0)+IF(C125=2,J125*Geometry!$H$22,0)+IF(C125=3,J125*Geometry!$I$22,0)+IF(C125=4,J125*Geometry!$J$22,0)+IF(C125=5,J125*Geometry!$K$22,0)</f>
        <v>0</v>
      </c>
      <c r="O125" s="59">
        <f>IF(C125=1,J125*Geometry!$G$23,0)+IF(C125=2,J125*Geometry!$H$23,0)+IF(C125=3,J125*Geometry!$I$23,0)+IF(C125=4,J125*Geometry!$J$23,0)+IF(C125=5,J125*Geometry!$K$23,0)</f>
        <v>0</v>
      </c>
      <c r="P125">
        <f>IF(C125=1,J125*Geometry!$G$24,0)+IF(C125=2,J125*Geometry!$H$24,0)+IF(C125=3,J125*Geometry!$I$24,0)+IF(C125=4,J125*Geometry!$J$24,0)+IF(C125=5,J125*Geometry!$K$24,0)</f>
        <v>0</v>
      </c>
    </row>
    <row r="126" spans="1:16">
      <c r="A126">
        <f t="shared" si="20"/>
        <v>120</v>
      </c>
      <c r="C126" s="7">
        <f t="shared" si="17"/>
        <v>3</v>
      </c>
      <c r="D126" s="69">
        <f>D125+Geometry!$C$15</f>
        <v>737.5</v>
      </c>
      <c r="E126" s="59">
        <f t="shared" si="13"/>
        <v>-531.25</v>
      </c>
      <c r="F126" s="4">
        <f>Geometry!$D$12*D126</f>
        <v>27.595909090909092</v>
      </c>
      <c r="G126" s="4">
        <f t="shared" si="8"/>
        <v>0</v>
      </c>
      <c r="H126" s="4">
        <f>IF(ABS(E126*E126)&lt;=Geometry!$E$10,SQRT(Geometry!$E$10-E126*E126),0)</f>
        <v>0</v>
      </c>
      <c r="I126" s="4">
        <f t="shared" si="9"/>
        <v>0</v>
      </c>
      <c r="J126">
        <f t="shared" si="19"/>
        <v>0</v>
      </c>
      <c r="K126" s="59">
        <f>IF(C126=1,J126*Geometry!$G$21,0)+IF(C126=2,J126*Geometry!$H$21,0)+IF(C126=3,J126*Geometry!$I$21,0)+IF(C126=4,J126*Geometry!$J$21,0)+IF(C126=5,J126*Geometry!$K$21,0)</f>
        <v>0</v>
      </c>
      <c r="L126" s="59">
        <f>IF(C126=1,J126*Geometry!$G$20,0)+IF(C126=2,J126*Geometry!$H$20,0)+IF(C126=3,J126*Geometry!$I$20,0)+IF(C126=4,J126*Geometry!$J$20,0)+IF(C126=5,J126*Geometry!$K$20,0)</f>
        <v>0</v>
      </c>
      <c r="M126" s="59">
        <f>IF(C126=1,J126*Geometry!$G$19,0)+IF(C126=2,J126*Geometry!$H$19,0)+IF(C126=3,J126*Geometry!$I$19,0)+IF(C126=4,J126*Geometry!$J$19,0)+IF(C126=5,J126*Geometry!$K$19,0)</f>
        <v>0</v>
      </c>
      <c r="N126" s="59">
        <f>IF(C126=1,J126*Geometry!$G$22,0)+IF(C126=2,J126*Geometry!$H$22,0)+IF(C126=3,J126*Geometry!$I$22,0)+IF(C126=4,J126*Geometry!$J$22,0)+IF(C126=5,J126*Geometry!$K$22,0)</f>
        <v>0</v>
      </c>
      <c r="O126" s="59">
        <f>IF(C126=1,J126*Geometry!$G$23,0)+IF(C126=2,J126*Geometry!$H$23,0)+IF(C126=3,J126*Geometry!$I$23,0)+IF(C126=4,J126*Geometry!$J$23,0)+IF(C126=5,J126*Geometry!$K$23,0)</f>
        <v>0</v>
      </c>
      <c r="P126">
        <f>IF(C126=1,J126*Geometry!$G$24,0)+IF(C126=2,J126*Geometry!$H$24,0)+IF(C126=3,J126*Geometry!$I$24,0)+IF(C126=4,J126*Geometry!$J$24,0)+IF(C126=5,J126*Geometry!$K$24,0)</f>
        <v>0</v>
      </c>
    </row>
    <row r="127" spans="1:16">
      <c r="A127">
        <f t="shared" si="20"/>
        <v>121</v>
      </c>
      <c r="C127" s="7">
        <f t="shared" si="17"/>
        <v>3</v>
      </c>
      <c r="D127" s="69">
        <f>D126+Geometry!$C$15</f>
        <v>742.5</v>
      </c>
      <c r="E127" s="59">
        <f t="shared" si="13"/>
        <v>-536.25</v>
      </c>
      <c r="F127" s="4">
        <f>Geometry!$D$12*D127</f>
        <v>27.783000000000005</v>
      </c>
      <c r="G127" s="4">
        <f t="shared" si="8"/>
        <v>0</v>
      </c>
      <c r="H127" s="4">
        <f>IF(ABS(E127*E127)&lt;=Geometry!$E$10,SQRT(Geometry!$E$10-E127*E127),0)</f>
        <v>0</v>
      </c>
      <c r="I127" s="4">
        <f t="shared" si="9"/>
        <v>0</v>
      </c>
      <c r="J127">
        <f t="shared" si="19"/>
        <v>0</v>
      </c>
      <c r="K127" s="59">
        <f>IF(C127=1,J127*Geometry!$G$21,0)+IF(C127=2,J127*Geometry!$H$21,0)+IF(C127=3,J127*Geometry!$I$21,0)+IF(C127=4,J127*Geometry!$J$21,0)+IF(C127=5,J127*Geometry!$K$21,0)</f>
        <v>0</v>
      </c>
      <c r="L127" s="59">
        <f>IF(C127=1,J127*Geometry!$G$20,0)+IF(C127=2,J127*Geometry!$H$20,0)+IF(C127=3,J127*Geometry!$I$20,0)+IF(C127=4,J127*Geometry!$J$20,0)+IF(C127=5,J127*Geometry!$K$20,0)</f>
        <v>0</v>
      </c>
      <c r="M127" s="59">
        <f>IF(C127=1,J127*Geometry!$G$19,0)+IF(C127=2,J127*Geometry!$H$19,0)+IF(C127=3,J127*Geometry!$I$19,0)+IF(C127=4,J127*Geometry!$J$19,0)+IF(C127=5,J127*Geometry!$K$19,0)</f>
        <v>0</v>
      </c>
      <c r="N127" s="59">
        <f>IF(C127=1,J127*Geometry!$G$22,0)+IF(C127=2,J127*Geometry!$H$22,0)+IF(C127=3,J127*Geometry!$I$22,0)+IF(C127=4,J127*Geometry!$J$22,0)+IF(C127=5,J127*Geometry!$K$22,0)</f>
        <v>0</v>
      </c>
      <c r="O127" s="59">
        <f>IF(C127=1,J127*Geometry!$G$23,0)+IF(C127=2,J127*Geometry!$H$23,0)+IF(C127=3,J127*Geometry!$I$23,0)+IF(C127=4,J127*Geometry!$J$23,0)+IF(C127=5,J127*Geometry!$K$23,0)</f>
        <v>0</v>
      </c>
      <c r="P127">
        <f>IF(C127=1,J127*Geometry!$G$24,0)+IF(C127=2,J127*Geometry!$H$24,0)+IF(C127=3,J127*Geometry!$I$24,0)+IF(C127=4,J127*Geometry!$J$24,0)+IF(C127=5,J127*Geometry!$K$24,0)</f>
        <v>0</v>
      </c>
    </row>
    <row r="128" spans="1:16">
      <c r="A128">
        <f t="shared" si="20"/>
        <v>122</v>
      </c>
      <c r="C128" s="7">
        <f t="shared" si="17"/>
        <v>3</v>
      </c>
      <c r="D128" s="69">
        <f>D127+Geometry!$C$15</f>
        <v>747.5</v>
      </c>
      <c r="E128" s="59">
        <f t="shared" si="13"/>
        <v>-541.25</v>
      </c>
      <c r="F128" s="4">
        <f>Geometry!$D$12*D128</f>
        <v>27.970090909090914</v>
      </c>
      <c r="G128" s="4">
        <f t="shared" si="8"/>
        <v>0</v>
      </c>
      <c r="H128" s="4">
        <f>IF(ABS(E128*E128)&lt;=Geometry!$E$10,SQRT(Geometry!$E$10-E128*E128),0)</f>
        <v>0</v>
      </c>
      <c r="I128" s="4">
        <f t="shared" si="9"/>
        <v>0</v>
      </c>
      <c r="J128">
        <f t="shared" si="19"/>
        <v>0</v>
      </c>
      <c r="K128" s="59">
        <f>IF(C128=1,J128*Geometry!$G$21,0)+IF(C128=2,J128*Geometry!$H$21,0)+IF(C128=3,J128*Geometry!$I$21,0)+IF(C128=4,J128*Geometry!$J$21,0)+IF(C128=5,J128*Geometry!$K$21,0)</f>
        <v>0</v>
      </c>
      <c r="L128" s="59">
        <f>IF(C128=1,J128*Geometry!$G$20,0)+IF(C128=2,J128*Geometry!$H$20,0)+IF(C128=3,J128*Geometry!$I$20,0)+IF(C128=4,J128*Geometry!$J$20,0)+IF(C128=5,J128*Geometry!$K$20,0)</f>
        <v>0</v>
      </c>
      <c r="M128" s="59">
        <f>IF(C128=1,J128*Geometry!$G$19,0)+IF(C128=2,J128*Geometry!$H$19,0)+IF(C128=3,J128*Geometry!$I$19,0)+IF(C128=4,J128*Geometry!$J$19,0)+IF(C128=5,J128*Geometry!$K$19,0)</f>
        <v>0</v>
      </c>
      <c r="N128" s="59">
        <f>IF(C128=1,J128*Geometry!$G$22,0)+IF(C128=2,J128*Geometry!$H$22,0)+IF(C128=3,J128*Geometry!$I$22,0)+IF(C128=4,J128*Geometry!$J$22,0)+IF(C128=5,J128*Geometry!$K$22,0)</f>
        <v>0</v>
      </c>
      <c r="O128" s="59">
        <f>IF(C128=1,J128*Geometry!$G$23,0)+IF(C128=2,J128*Geometry!$H$23,0)+IF(C128=3,J128*Geometry!$I$23,0)+IF(C128=4,J128*Geometry!$J$23,0)+IF(C128=5,J128*Geometry!$K$23,0)</f>
        <v>0</v>
      </c>
      <c r="P128">
        <f>IF(C128=1,J128*Geometry!$G$24,0)+IF(C128=2,J128*Geometry!$H$24,0)+IF(C128=3,J128*Geometry!$I$24,0)+IF(C128=4,J128*Geometry!$J$24,0)+IF(C128=5,J128*Geometry!$K$24,0)</f>
        <v>0</v>
      </c>
    </row>
    <row r="129" spans="1:16">
      <c r="A129">
        <f t="shared" si="20"/>
        <v>123</v>
      </c>
      <c r="C129" s="7">
        <f t="shared" si="17"/>
        <v>3</v>
      </c>
      <c r="D129" s="69">
        <f>D128+Geometry!$C$15</f>
        <v>752.5</v>
      </c>
      <c r="E129" s="59">
        <f t="shared" si="13"/>
        <v>-546.25</v>
      </c>
      <c r="F129" s="4">
        <f>Geometry!$D$12*D129</f>
        <v>28.157181818181822</v>
      </c>
      <c r="G129" s="4">
        <f t="shared" si="8"/>
        <v>0</v>
      </c>
      <c r="H129" s="4">
        <f>IF(ABS(E129*E129)&lt;=Geometry!$E$10,SQRT(Geometry!$E$10-E129*E129),0)</f>
        <v>0</v>
      </c>
      <c r="I129" s="4">
        <f t="shared" si="9"/>
        <v>0</v>
      </c>
      <c r="J129">
        <f t="shared" si="19"/>
        <v>0</v>
      </c>
      <c r="K129" s="59">
        <f>IF(C129=1,J129*Geometry!$G$21,0)+IF(C129=2,J129*Geometry!$H$21,0)+IF(C129=3,J129*Geometry!$I$21,0)+IF(C129=4,J129*Geometry!$J$21,0)+IF(C129=5,J129*Geometry!$K$21,0)</f>
        <v>0</v>
      </c>
      <c r="L129" s="59">
        <f>IF(C129=1,J129*Geometry!$G$20,0)+IF(C129=2,J129*Geometry!$H$20,0)+IF(C129=3,J129*Geometry!$I$20,0)+IF(C129=4,J129*Geometry!$J$20,0)+IF(C129=5,J129*Geometry!$K$20,0)</f>
        <v>0</v>
      </c>
      <c r="M129" s="59">
        <f>IF(C129=1,J129*Geometry!$G$19,0)+IF(C129=2,J129*Geometry!$H$19,0)+IF(C129=3,J129*Geometry!$I$19,0)+IF(C129=4,J129*Geometry!$J$19,0)+IF(C129=5,J129*Geometry!$K$19,0)</f>
        <v>0</v>
      </c>
      <c r="N129" s="59">
        <f>IF(C129=1,J129*Geometry!$G$22,0)+IF(C129=2,J129*Geometry!$H$22,0)+IF(C129=3,J129*Geometry!$I$22,0)+IF(C129=4,J129*Geometry!$J$22,0)+IF(C129=5,J129*Geometry!$K$22,0)</f>
        <v>0</v>
      </c>
      <c r="O129" s="59">
        <f>IF(C129=1,J129*Geometry!$G$23,0)+IF(C129=2,J129*Geometry!$H$23,0)+IF(C129=3,J129*Geometry!$I$23,0)+IF(C129=4,J129*Geometry!$J$23,0)+IF(C129=5,J129*Geometry!$K$23,0)</f>
        <v>0</v>
      </c>
      <c r="P129">
        <f>IF(C129=1,J129*Geometry!$G$24,0)+IF(C129=2,J129*Geometry!$H$24,0)+IF(C129=3,J129*Geometry!$I$24,0)+IF(C129=4,J129*Geometry!$J$24,0)+IF(C129=5,J129*Geometry!$K$24,0)</f>
        <v>0</v>
      </c>
    </row>
    <row r="130" spans="1:16">
      <c r="A130">
        <f t="shared" si="20"/>
        <v>124</v>
      </c>
      <c r="C130" s="7">
        <f t="shared" si="17"/>
        <v>3</v>
      </c>
      <c r="D130" s="69">
        <f>D129+Geometry!$C$15</f>
        <v>757.5</v>
      </c>
      <c r="E130" s="59">
        <f t="shared" si="13"/>
        <v>-551.25</v>
      </c>
      <c r="F130" s="4">
        <f>Geometry!$D$12*D130</f>
        <v>28.344272727272731</v>
      </c>
      <c r="G130" s="4">
        <f t="shared" si="8"/>
        <v>0</v>
      </c>
      <c r="H130" s="4">
        <f>IF(ABS(E130*E130)&lt;=Geometry!$E$10,SQRT(Geometry!$E$10-E130*E130),0)</f>
        <v>0</v>
      </c>
      <c r="I130" s="4">
        <f t="shared" si="9"/>
        <v>0</v>
      </c>
      <c r="J130">
        <f t="shared" si="19"/>
        <v>0</v>
      </c>
      <c r="K130" s="59">
        <f>IF(C130=1,J130*Geometry!$G$21,0)+IF(C130=2,J130*Geometry!$H$21,0)+IF(C130=3,J130*Geometry!$I$21,0)+IF(C130=4,J130*Geometry!$J$21,0)+IF(C130=5,J130*Geometry!$K$21,0)</f>
        <v>0</v>
      </c>
      <c r="L130" s="59">
        <f>IF(C130=1,J130*Geometry!$G$20,0)+IF(C130=2,J130*Geometry!$H$20,0)+IF(C130=3,J130*Geometry!$I$20,0)+IF(C130=4,J130*Geometry!$J$20,0)+IF(C130=5,J130*Geometry!$K$20,0)</f>
        <v>0</v>
      </c>
      <c r="M130" s="59">
        <f>IF(C130=1,J130*Geometry!$G$19,0)+IF(C130=2,J130*Geometry!$H$19,0)+IF(C130=3,J130*Geometry!$I$19,0)+IF(C130=4,J130*Geometry!$J$19,0)+IF(C130=5,J130*Geometry!$K$19,0)</f>
        <v>0</v>
      </c>
      <c r="N130" s="59">
        <f>IF(C130=1,J130*Geometry!$G$22,0)+IF(C130=2,J130*Geometry!$H$22,0)+IF(C130=3,J130*Geometry!$I$22,0)+IF(C130=4,J130*Geometry!$J$22,0)+IF(C130=5,J130*Geometry!$K$22,0)</f>
        <v>0</v>
      </c>
      <c r="O130" s="59">
        <f>IF(C130=1,J130*Geometry!$G$23,0)+IF(C130=2,J130*Geometry!$H$23,0)+IF(C130=3,J130*Geometry!$I$23,0)+IF(C130=4,J130*Geometry!$J$23,0)+IF(C130=5,J130*Geometry!$K$23,0)</f>
        <v>0</v>
      </c>
      <c r="P130">
        <f>IF(C130=1,J130*Geometry!$G$24,0)+IF(C130=2,J130*Geometry!$H$24,0)+IF(C130=3,J130*Geometry!$I$24,0)+IF(C130=4,J130*Geometry!$J$24,0)+IF(C130=5,J130*Geometry!$K$24,0)</f>
        <v>0</v>
      </c>
    </row>
    <row r="131" spans="1:16">
      <c r="A131">
        <f t="shared" si="20"/>
        <v>125</v>
      </c>
      <c r="C131" s="7">
        <f t="shared" si="17"/>
        <v>3</v>
      </c>
      <c r="D131" s="69">
        <f>D130+Geometry!$C$15</f>
        <v>762.5</v>
      </c>
      <c r="E131" s="59">
        <f t="shared" si="13"/>
        <v>-556.25</v>
      </c>
      <c r="F131" s="4">
        <f>Geometry!$D$12*D131</f>
        <v>28.53136363636364</v>
      </c>
      <c r="G131" s="4">
        <f t="shared" si="8"/>
        <v>0</v>
      </c>
      <c r="H131" s="4">
        <f>IF(ABS(E131*E131)&lt;=Geometry!$E$10,SQRT(Geometry!$E$10-E131*E131),0)</f>
        <v>0</v>
      </c>
      <c r="I131" s="4">
        <f t="shared" si="9"/>
        <v>0</v>
      </c>
      <c r="J131">
        <f t="shared" si="19"/>
        <v>0</v>
      </c>
      <c r="K131" s="59">
        <f>IF(C131=1,J131*Geometry!$G$21,0)+IF(C131=2,J131*Geometry!$H$21,0)+IF(C131=3,J131*Geometry!$I$21,0)+IF(C131=4,J131*Geometry!$J$21,0)+IF(C131=5,J131*Geometry!$K$21,0)</f>
        <v>0</v>
      </c>
      <c r="L131" s="59">
        <f>IF(C131=1,J131*Geometry!$G$20,0)+IF(C131=2,J131*Geometry!$H$20,0)+IF(C131=3,J131*Geometry!$I$20,0)+IF(C131=4,J131*Geometry!$J$20,0)+IF(C131=5,J131*Geometry!$K$20,0)</f>
        <v>0</v>
      </c>
      <c r="M131" s="59">
        <f>IF(C131=1,J131*Geometry!$G$19,0)+IF(C131=2,J131*Geometry!$H$19,0)+IF(C131=3,J131*Geometry!$I$19,0)+IF(C131=4,J131*Geometry!$J$19,0)+IF(C131=5,J131*Geometry!$K$19,0)</f>
        <v>0</v>
      </c>
      <c r="N131" s="59">
        <f>IF(C131=1,J131*Geometry!$G$22,0)+IF(C131=2,J131*Geometry!$H$22,0)+IF(C131=3,J131*Geometry!$I$22,0)+IF(C131=4,J131*Geometry!$J$22,0)+IF(C131=5,J131*Geometry!$K$22,0)</f>
        <v>0</v>
      </c>
      <c r="O131" s="59">
        <f>IF(C131=1,J131*Geometry!$G$23,0)+IF(C131=2,J131*Geometry!$H$23,0)+IF(C131=3,J131*Geometry!$I$23,0)+IF(C131=4,J131*Geometry!$J$23,0)+IF(C131=5,J131*Geometry!$K$23,0)</f>
        <v>0</v>
      </c>
      <c r="P131">
        <f>IF(C131=1,J131*Geometry!$G$24,0)+IF(C131=2,J131*Geometry!$H$24,0)+IF(C131=3,J131*Geometry!$I$24,0)+IF(C131=4,J131*Geometry!$J$24,0)+IF(C131=5,J131*Geometry!$K$24,0)</f>
        <v>0</v>
      </c>
    </row>
    <row r="132" spans="1:16">
      <c r="A132">
        <f t="shared" si="20"/>
        <v>126</v>
      </c>
      <c r="C132" s="7">
        <f t="shared" si="17"/>
        <v>3</v>
      </c>
      <c r="D132" s="69">
        <f>D131+Geometry!$C$15</f>
        <v>767.5</v>
      </c>
      <c r="E132" s="59">
        <f t="shared" si="13"/>
        <v>-561.25</v>
      </c>
      <c r="F132" s="4">
        <f>Geometry!$D$12*D132</f>
        <v>28.718454545454549</v>
      </c>
      <c r="G132" s="4">
        <f t="shared" si="8"/>
        <v>0</v>
      </c>
      <c r="H132" s="4">
        <f>IF(ABS(E132*E132)&lt;=Geometry!$E$10,SQRT(Geometry!$E$10-E132*E132),0)</f>
        <v>0</v>
      </c>
      <c r="I132" s="4">
        <f t="shared" si="9"/>
        <v>0</v>
      </c>
      <c r="J132">
        <f t="shared" si="19"/>
        <v>0</v>
      </c>
      <c r="K132" s="59">
        <f>IF(C132=1,J132*Geometry!$G$21,0)+IF(C132=2,J132*Geometry!$H$21,0)+IF(C132=3,J132*Geometry!$I$21,0)+IF(C132=4,J132*Geometry!$J$21,0)+IF(C132=5,J132*Geometry!$K$21,0)</f>
        <v>0</v>
      </c>
      <c r="L132" s="59">
        <f>IF(C132=1,J132*Geometry!$G$20,0)+IF(C132=2,J132*Geometry!$H$20,0)+IF(C132=3,J132*Geometry!$I$20,0)+IF(C132=4,J132*Geometry!$J$20,0)+IF(C132=5,J132*Geometry!$K$20,0)</f>
        <v>0</v>
      </c>
      <c r="M132" s="59">
        <f>IF(C132=1,J132*Geometry!$G$19,0)+IF(C132=2,J132*Geometry!$H$19,0)+IF(C132=3,J132*Geometry!$I$19,0)+IF(C132=4,J132*Geometry!$J$19,0)+IF(C132=5,J132*Geometry!$K$19,0)</f>
        <v>0</v>
      </c>
      <c r="N132" s="59">
        <f>IF(C132=1,J132*Geometry!$G$22,0)+IF(C132=2,J132*Geometry!$H$22,0)+IF(C132=3,J132*Geometry!$I$22,0)+IF(C132=4,J132*Geometry!$J$22,0)+IF(C132=5,J132*Geometry!$K$22,0)</f>
        <v>0</v>
      </c>
      <c r="O132" s="59">
        <f>IF(C132=1,J132*Geometry!$G$23,0)+IF(C132=2,J132*Geometry!$H$23,0)+IF(C132=3,J132*Geometry!$I$23,0)+IF(C132=4,J132*Geometry!$J$23,0)+IF(C132=5,J132*Geometry!$K$23,0)</f>
        <v>0</v>
      </c>
      <c r="P132">
        <f>IF(C132=1,J132*Geometry!$G$24,0)+IF(C132=2,J132*Geometry!$H$24,0)+IF(C132=3,J132*Geometry!$I$24,0)+IF(C132=4,J132*Geometry!$J$24,0)+IF(C132=5,J132*Geometry!$K$24,0)</f>
        <v>0</v>
      </c>
    </row>
    <row r="133" spans="1:16">
      <c r="A133">
        <f t="shared" si="20"/>
        <v>127</v>
      </c>
      <c r="C133" s="7">
        <f t="shared" si="17"/>
        <v>3</v>
      </c>
      <c r="D133" s="69">
        <f>D132+Geometry!$C$15</f>
        <v>772.5</v>
      </c>
      <c r="E133" s="59">
        <f t="shared" si="13"/>
        <v>-566.25</v>
      </c>
      <c r="F133" s="4">
        <f>Geometry!$D$12*D133</f>
        <v>28.905545454545457</v>
      </c>
      <c r="G133" s="4">
        <f t="shared" si="8"/>
        <v>0</v>
      </c>
      <c r="H133" s="4">
        <f>IF(ABS(E133*E133)&lt;=Geometry!$E$10,SQRT(Geometry!$E$10-E133*E133),0)</f>
        <v>0</v>
      </c>
      <c r="I133" s="4">
        <f t="shared" si="9"/>
        <v>0</v>
      </c>
      <c r="J133">
        <f t="shared" si="19"/>
        <v>0</v>
      </c>
      <c r="K133" s="59">
        <f>IF(C133=1,J133*Geometry!$G$21,0)+IF(C133=2,J133*Geometry!$H$21,0)+IF(C133=3,J133*Geometry!$I$21,0)+IF(C133=4,J133*Geometry!$J$21,0)+IF(C133=5,J133*Geometry!$K$21,0)</f>
        <v>0</v>
      </c>
      <c r="L133" s="59">
        <f>IF(C133=1,J133*Geometry!$G$20,0)+IF(C133=2,J133*Geometry!$H$20,0)+IF(C133=3,J133*Geometry!$I$20,0)+IF(C133=4,J133*Geometry!$J$20,0)+IF(C133=5,J133*Geometry!$K$20,0)</f>
        <v>0</v>
      </c>
      <c r="M133" s="59">
        <f>IF(C133=1,J133*Geometry!$G$19,0)+IF(C133=2,J133*Geometry!$H$19,0)+IF(C133=3,J133*Geometry!$I$19,0)+IF(C133=4,J133*Geometry!$J$19,0)+IF(C133=5,J133*Geometry!$K$19,0)</f>
        <v>0</v>
      </c>
      <c r="N133" s="59">
        <f>IF(C133=1,J133*Geometry!$G$22,0)+IF(C133=2,J133*Geometry!$H$22,0)+IF(C133=3,J133*Geometry!$I$22,0)+IF(C133=4,J133*Geometry!$J$22,0)+IF(C133=5,J133*Geometry!$K$22,0)</f>
        <v>0</v>
      </c>
      <c r="O133" s="59">
        <f>IF(C133=1,J133*Geometry!$G$23,0)+IF(C133=2,J133*Geometry!$H$23,0)+IF(C133=3,J133*Geometry!$I$23,0)+IF(C133=4,J133*Geometry!$J$23,0)+IF(C133=5,J133*Geometry!$K$23,0)</f>
        <v>0</v>
      </c>
      <c r="P133">
        <f>IF(C133=1,J133*Geometry!$G$24,0)+IF(C133=2,J133*Geometry!$H$24,0)+IF(C133=3,J133*Geometry!$I$24,0)+IF(C133=4,J133*Geometry!$J$24,0)+IF(C133=5,J133*Geometry!$K$24,0)</f>
        <v>0</v>
      </c>
    </row>
    <row r="134" spans="1:16">
      <c r="A134">
        <f t="shared" ref="A134:A141" si="21">A133+1</f>
        <v>128</v>
      </c>
      <c r="C134" s="7">
        <f t="shared" si="17"/>
        <v>3</v>
      </c>
      <c r="D134" s="69">
        <f>D133+Geometry!$C$15</f>
        <v>777.5</v>
      </c>
      <c r="E134" s="59">
        <f t="shared" si="13"/>
        <v>-571.25</v>
      </c>
      <c r="F134" s="4">
        <f>Geometry!$D$12*D134</f>
        <v>29.092636363636366</v>
      </c>
      <c r="G134" s="4">
        <f t="shared" si="8"/>
        <v>0</v>
      </c>
      <c r="H134" s="4">
        <f>IF(ABS(E134*E134)&lt;=Geometry!$E$10,SQRT(Geometry!$E$10-E134*E134),0)</f>
        <v>0</v>
      </c>
      <c r="I134" s="4">
        <f t="shared" si="9"/>
        <v>0</v>
      </c>
      <c r="J134">
        <f t="shared" si="19"/>
        <v>0</v>
      </c>
      <c r="K134" s="59">
        <f>IF(C134=1,J134*Geometry!$G$21,0)+IF(C134=2,J134*Geometry!$H$21,0)+IF(C134=3,J134*Geometry!$I$21,0)+IF(C134=4,J134*Geometry!$J$21,0)+IF(C134=5,J134*Geometry!$K$21,0)</f>
        <v>0</v>
      </c>
      <c r="L134" s="59">
        <f>IF(C134=1,J134*Geometry!$G$20,0)+IF(C134=2,J134*Geometry!$H$20,0)+IF(C134=3,J134*Geometry!$I$20,0)+IF(C134=4,J134*Geometry!$J$20,0)+IF(C134=5,J134*Geometry!$K$20,0)</f>
        <v>0</v>
      </c>
      <c r="M134" s="59">
        <f>IF(C134=1,J134*Geometry!$G$19,0)+IF(C134=2,J134*Geometry!$H$19,0)+IF(C134=3,J134*Geometry!$I$19,0)+IF(C134=4,J134*Geometry!$J$19,0)+IF(C134=5,J134*Geometry!$K$19,0)</f>
        <v>0</v>
      </c>
      <c r="N134" s="59">
        <f>IF(C134=1,J134*Geometry!$G$22,0)+IF(C134=2,J134*Geometry!$H$22,0)+IF(C134=3,J134*Geometry!$I$22,0)+IF(C134=4,J134*Geometry!$J$22,0)+IF(C134=5,J134*Geometry!$K$22,0)</f>
        <v>0</v>
      </c>
      <c r="O134" s="59">
        <f>IF(C134=1,J134*Geometry!$G$23,0)+IF(C134=2,J134*Geometry!$H$23,0)+IF(C134=3,J134*Geometry!$I$23,0)+IF(C134=4,J134*Geometry!$J$23,0)+IF(C134=5,J134*Geometry!$K$23,0)</f>
        <v>0</v>
      </c>
      <c r="P134">
        <f>IF(C134=1,J134*Geometry!$G$24,0)+IF(C134=2,J134*Geometry!$H$24,0)+IF(C134=3,J134*Geometry!$I$24,0)+IF(C134=4,J134*Geometry!$J$24,0)+IF(C134=5,J134*Geometry!$K$24,0)</f>
        <v>0</v>
      </c>
    </row>
    <row r="135" spans="1:16">
      <c r="A135">
        <f t="shared" si="21"/>
        <v>129</v>
      </c>
      <c r="C135" s="7">
        <f t="shared" si="17"/>
        <v>3</v>
      </c>
      <c r="D135" s="69">
        <f>D134+Geometry!$C$15</f>
        <v>782.5</v>
      </c>
      <c r="E135" s="59">
        <f t="shared" si="13"/>
        <v>-576.25</v>
      </c>
      <c r="F135" s="4">
        <f>Geometry!$D$12*D135</f>
        <v>29.279727272727275</v>
      </c>
      <c r="G135" s="4">
        <f t="shared" ref="G135:G158" si="22">IF(H135&gt;0,F135/9.8,0)</f>
        <v>0</v>
      </c>
      <c r="H135" s="4">
        <f>IF(ABS(E135*E135)&lt;=Geometry!$E$10,SQRT(Geometry!$E$10-E135*E135),0)</f>
        <v>0</v>
      </c>
      <c r="I135" s="4">
        <f t="shared" ref="I135:I158" si="23">IF(H135&gt;0,1,0)</f>
        <v>0</v>
      </c>
      <c r="J135">
        <f t="shared" si="19"/>
        <v>0</v>
      </c>
      <c r="K135" s="59">
        <f>IF(C135=1,J135*Geometry!$G$21,0)+IF(C135=2,J135*Geometry!$H$21,0)+IF(C135=3,J135*Geometry!$I$21,0)+IF(C135=4,J135*Geometry!$J$21,0)+IF(C135=5,J135*Geometry!$K$21,0)</f>
        <v>0</v>
      </c>
      <c r="L135" s="59">
        <f>IF(C135=1,J135*Geometry!$G$20,0)+IF(C135=2,J135*Geometry!$H$20,0)+IF(C135=3,J135*Geometry!$I$20,0)+IF(C135=4,J135*Geometry!$J$20,0)+IF(C135=5,J135*Geometry!$K$20,0)</f>
        <v>0</v>
      </c>
      <c r="M135" s="59">
        <f>IF(C135=1,J135*Geometry!$G$19,0)+IF(C135=2,J135*Geometry!$H$19,0)+IF(C135=3,J135*Geometry!$I$19,0)+IF(C135=4,J135*Geometry!$J$19,0)+IF(C135=5,J135*Geometry!$K$19,0)</f>
        <v>0</v>
      </c>
      <c r="N135" s="59">
        <f>IF(C135=1,J135*Geometry!$G$22,0)+IF(C135=2,J135*Geometry!$H$22,0)+IF(C135=3,J135*Geometry!$I$22,0)+IF(C135=4,J135*Geometry!$J$22,0)+IF(C135=5,J135*Geometry!$K$22,0)</f>
        <v>0</v>
      </c>
      <c r="O135" s="59">
        <f>IF(C135=1,J135*Geometry!$G$23,0)+IF(C135=2,J135*Geometry!$H$23,0)+IF(C135=3,J135*Geometry!$I$23,0)+IF(C135=4,J135*Geometry!$J$23,0)+IF(C135=5,J135*Geometry!$K$23,0)</f>
        <v>0</v>
      </c>
      <c r="P135">
        <f>IF(C135=1,J135*Geometry!$G$24,0)+IF(C135=2,J135*Geometry!$H$24,0)+IF(C135=3,J135*Geometry!$I$24,0)+IF(C135=4,J135*Geometry!$J$24,0)+IF(C135=5,J135*Geometry!$K$24,0)</f>
        <v>0</v>
      </c>
    </row>
    <row r="136" spans="1:16">
      <c r="A136">
        <f t="shared" si="21"/>
        <v>130</v>
      </c>
      <c r="C136" s="7">
        <f t="shared" ref="C136:C166" si="24">IF(A136&gt;$C$1-$C$4,3,IF(A136&lt;2,3,IF(A136&lt;=$C$2-$C$3,1,IF(A136&gt;$C$2,1,2))))</f>
        <v>3</v>
      </c>
      <c r="D136" s="69">
        <f>D135+Geometry!$C$15</f>
        <v>787.5</v>
      </c>
      <c r="E136" s="59">
        <f t="shared" ref="E136:E158" si="25">E135-(D136-D135)</f>
        <v>-581.25</v>
      </c>
      <c r="F136" s="4">
        <f>Geometry!$D$12*D136</f>
        <v>29.466818181818184</v>
      </c>
      <c r="G136" s="4">
        <f t="shared" si="22"/>
        <v>0</v>
      </c>
      <c r="H136" s="4">
        <f>IF(ABS(E136*E136)&lt;=Geometry!$E$10,SQRT(Geometry!$E$10-E136*E136),0)</f>
        <v>0</v>
      </c>
      <c r="I136" s="4">
        <f t="shared" si="23"/>
        <v>0</v>
      </c>
      <c r="J136">
        <f t="shared" si="19"/>
        <v>0</v>
      </c>
      <c r="K136" s="59">
        <f>IF(C136=1,J136*Geometry!$G$21,0)+IF(C136=2,J136*Geometry!$H$21,0)+IF(C136=3,J136*Geometry!$I$21,0)+IF(C136=4,J136*Geometry!$J$21,0)+IF(C136=5,J136*Geometry!$K$21,0)</f>
        <v>0</v>
      </c>
      <c r="L136" s="59">
        <f>IF(C136=1,J136*Geometry!$G$20,0)+IF(C136=2,J136*Geometry!$H$20,0)+IF(C136=3,J136*Geometry!$I$20,0)+IF(C136=4,J136*Geometry!$J$20,0)+IF(C136=5,J136*Geometry!$K$20,0)</f>
        <v>0</v>
      </c>
      <c r="M136" s="59">
        <f>IF(C136=1,J136*Geometry!$G$19,0)+IF(C136=2,J136*Geometry!$H$19,0)+IF(C136=3,J136*Geometry!$I$19,0)+IF(C136=4,J136*Geometry!$J$19,0)+IF(C136=5,J136*Geometry!$K$19,0)</f>
        <v>0</v>
      </c>
      <c r="N136" s="59">
        <f>IF(C136=1,J136*Geometry!$G$22,0)+IF(C136=2,J136*Geometry!$H$22,0)+IF(C136=3,J136*Geometry!$I$22,0)+IF(C136=4,J136*Geometry!$J$22,0)+IF(C136=5,J136*Geometry!$K$22,0)</f>
        <v>0</v>
      </c>
      <c r="O136" s="59">
        <f>IF(C136=1,J136*Geometry!$G$23,0)+IF(C136=2,J136*Geometry!$H$23,0)+IF(C136=3,J136*Geometry!$I$23,0)+IF(C136=4,J136*Geometry!$J$23,0)+IF(C136=5,J136*Geometry!$K$23,0)</f>
        <v>0</v>
      </c>
      <c r="P136">
        <f>IF(C136=1,J136*Geometry!$G$24,0)+IF(C136=2,J136*Geometry!$H$24,0)+IF(C136=3,J136*Geometry!$I$24,0)+IF(C136=4,J136*Geometry!$J$24,0)+IF(C136=5,J136*Geometry!$K$24,0)</f>
        <v>0</v>
      </c>
    </row>
    <row r="137" spans="1:16">
      <c r="A137">
        <f t="shared" si="21"/>
        <v>131</v>
      </c>
      <c r="C137" s="7">
        <f t="shared" si="24"/>
        <v>3</v>
      </c>
      <c r="D137" s="69">
        <f>D136+Geometry!$C$15</f>
        <v>792.5</v>
      </c>
      <c r="E137" s="59">
        <f t="shared" si="25"/>
        <v>-586.25</v>
      </c>
      <c r="F137" s="4">
        <f>Geometry!$D$12*D137</f>
        <v>29.653909090909096</v>
      </c>
      <c r="G137" s="4">
        <f t="shared" si="22"/>
        <v>0</v>
      </c>
      <c r="H137" s="4">
        <f>IF(ABS(E137*E137)&lt;=Geometry!$E$10,SQRT(Geometry!$E$10-E137*E137),0)</f>
        <v>0</v>
      </c>
      <c r="I137" s="4">
        <f t="shared" si="23"/>
        <v>0</v>
      </c>
      <c r="J137">
        <f t="shared" si="19"/>
        <v>0</v>
      </c>
      <c r="K137" s="59">
        <f>IF(C137=1,J137*Geometry!$G$21,0)+IF(C137=2,J137*Geometry!$H$21,0)+IF(C137=3,J137*Geometry!$I$21,0)+IF(C137=4,J137*Geometry!$J$21,0)+IF(C137=5,J137*Geometry!$K$21,0)</f>
        <v>0</v>
      </c>
      <c r="L137" s="59">
        <f>IF(C137=1,J137*Geometry!$G$20,0)+IF(C137=2,J137*Geometry!$H$20,0)+IF(C137=3,J137*Geometry!$I$20,0)+IF(C137=4,J137*Geometry!$J$20,0)+IF(C137=5,J137*Geometry!$K$20,0)</f>
        <v>0</v>
      </c>
      <c r="M137" s="59">
        <f>IF(C137=1,J137*Geometry!$G$19,0)+IF(C137=2,J137*Geometry!$H$19,0)+IF(C137=3,J137*Geometry!$I$19,0)+IF(C137=4,J137*Geometry!$J$19,0)+IF(C137=5,J137*Geometry!$K$19,0)</f>
        <v>0</v>
      </c>
      <c r="N137" s="59">
        <f>IF(C137=1,J137*Geometry!$G$22,0)+IF(C137=2,J137*Geometry!$H$22,0)+IF(C137=3,J137*Geometry!$I$22,0)+IF(C137=4,J137*Geometry!$J$22,0)+IF(C137=5,J137*Geometry!$K$22,0)</f>
        <v>0</v>
      </c>
      <c r="O137" s="59">
        <f>IF(C137=1,J137*Geometry!$G$23,0)+IF(C137=2,J137*Geometry!$H$23,0)+IF(C137=3,J137*Geometry!$I$23,0)+IF(C137=4,J137*Geometry!$J$23,0)+IF(C137=5,J137*Geometry!$K$23,0)</f>
        <v>0</v>
      </c>
      <c r="P137">
        <f>IF(C137=1,J137*Geometry!$G$24,0)+IF(C137=2,J137*Geometry!$H$24,0)+IF(C137=3,J137*Geometry!$I$24,0)+IF(C137=4,J137*Geometry!$J$24,0)+IF(C137=5,J137*Geometry!$K$24,0)</f>
        <v>0</v>
      </c>
    </row>
    <row r="138" spans="1:16">
      <c r="A138">
        <f t="shared" si="21"/>
        <v>132</v>
      </c>
      <c r="C138" s="7">
        <f t="shared" si="24"/>
        <v>3</v>
      </c>
      <c r="D138" s="69">
        <f>D137+Geometry!$C$15</f>
        <v>797.5</v>
      </c>
      <c r="E138" s="59">
        <f t="shared" si="25"/>
        <v>-591.25</v>
      </c>
      <c r="F138" s="4">
        <f>Geometry!$D$12*D138</f>
        <v>29.841000000000005</v>
      </c>
      <c r="G138" s="4">
        <f t="shared" si="22"/>
        <v>0</v>
      </c>
      <c r="H138" s="4">
        <f>IF(ABS(E138*E138)&lt;=Geometry!$E$10,SQRT(Geometry!$E$10-E138*E138),0)</f>
        <v>0</v>
      </c>
      <c r="I138" s="4">
        <f t="shared" si="23"/>
        <v>0</v>
      </c>
      <c r="J138">
        <f t="shared" si="19"/>
        <v>0</v>
      </c>
      <c r="K138" s="59">
        <f>IF(C138=1,J138*Geometry!$G$21,0)+IF(C138=2,J138*Geometry!$H$21,0)+IF(C138=3,J138*Geometry!$I$21,0)+IF(C138=4,J138*Geometry!$J$21,0)+IF(C138=5,J138*Geometry!$K$21,0)</f>
        <v>0</v>
      </c>
      <c r="L138" s="59">
        <f>IF(C138=1,J138*Geometry!$G$20,0)+IF(C138=2,J138*Geometry!$H$20,0)+IF(C138=3,J138*Geometry!$I$20,0)+IF(C138=4,J138*Geometry!$J$20,0)+IF(C138=5,J138*Geometry!$K$20,0)</f>
        <v>0</v>
      </c>
      <c r="M138" s="59">
        <f>IF(C138=1,J138*Geometry!$G$19,0)+IF(C138=2,J138*Geometry!$H$19,0)+IF(C138=3,J138*Geometry!$I$19,0)+IF(C138=4,J138*Geometry!$J$19,0)+IF(C138=5,J138*Geometry!$K$19,0)</f>
        <v>0</v>
      </c>
      <c r="N138" s="59">
        <f>IF(C138=1,J138*Geometry!$G$22,0)+IF(C138=2,J138*Geometry!$H$22,0)+IF(C138=3,J138*Geometry!$I$22,0)+IF(C138=4,J138*Geometry!$J$22,0)+IF(C138=5,J138*Geometry!$K$22,0)</f>
        <v>0</v>
      </c>
      <c r="O138" s="59">
        <f>IF(C138=1,J138*Geometry!$G$23,0)+IF(C138=2,J138*Geometry!$H$23,0)+IF(C138=3,J138*Geometry!$I$23,0)+IF(C138=4,J138*Geometry!$J$23,0)+IF(C138=5,J138*Geometry!$K$23,0)</f>
        <v>0</v>
      </c>
      <c r="P138">
        <f>IF(C138=1,J138*Geometry!$G$24,0)+IF(C138=2,J138*Geometry!$H$24,0)+IF(C138=3,J138*Geometry!$I$24,0)+IF(C138=4,J138*Geometry!$J$24,0)+IF(C138=5,J138*Geometry!$K$24,0)</f>
        <v>0</v>
      </c>
    </row>
    <row r="139" spans="1:16">
      <c r="A139">
        <f t="shared" si="21"/>
        <v>133</v>
      </c>
      <c r="C139" s="7">
        <f t="shared" si="24"/>
        <v>3</v>
      </c>
      <c r="D139" s="69">
        <f>D138+Geometry!$C$15</f>
        <v>802.5</v>
      </c>
      <c r="E139" s="59">
        <f t="shared" si="25"/>
        <v>-596.25</v>
      </c>
      <c r="F139" s="4">
        <f>Geometry!$D$12*D139</f>
        <v>30.028090909090913</v>
      </c>
      <c r="G139" s="4">
        <f t="shared" si="22"/>
        <v>0</v>
      </c>
      <c r="H139" s="4">
        <f>IF(ABS(E139*E139)&lt;=Geometry!$E$10,SQRT(Geometry!$E$10-E139*E139),0)</f>
        <v>0</v>
      </c>
      <c r="I139" s="4">
        <f t="shared" si="23"/>
        <v>0</v>
      </c>
      <c r="J139">
        <f t="shared" si="19"/>
        <v>0</v>
      </c>
      <c r="K139" s="59">
        <f>IF(C139=1,J139*Geometry!$G$21,0)+IF(C139=2,J139*Geometry!$H$21,0)+IF(C139=3,J139*Geometry!$I$21,0)+IF(C139=4,J139*Geometry!$J$21,0)+IF(C139=5,J139*Geometry!$K$21,0)</f>
        <v>0</v>
      </c>
      <c r="L139" s="59">
        <f>IF(C139=1,J139*Geometry!$G$20,0)+IF(C139=2,J139*Geometry!$H$20,0)+IF(C139=3,J139*Geometry!$I$20,0)+IF(C139=4,J139*Geometry!$J$20,0)+IF(C139=5,J139*Geometry!$K$20,0)</f>
        <v>0</v>
      </c>
      <c r="M139" s="59">
        <f>IF(C139=1,J139*Geometry!$G$19,0)+IF(C139=2,J139*Geometry!$H$19,0)+IF(C139=3,J139*Geometry!$I$19,0)+IF(C139=4,J139*Geometry!$J$19,0)+IF(C139=5,J139*Geometry!$K$19,0)</f>
        <v>0</v>
      </c>
      <c r="N139" s="59">
        <f>IF(C139=1,J139*Geometry!$G$22,0)+IF(C139=2,J139*Geometry!$H$22,0)+IF(C139=3,J139*Geometry!$I$22,0)+IF(C139=4,J139*Geometry!$J$22,0)+IF(C139=5,J139*Geometry!$K$22,0)</f>
        <v>0</v>
      </c>
      <c r="O139" s="59">
        <f>IF(C139=1,J139*Geometry!$G$23,0)+IF(C139=2,J139*Geometry!$H$23,0)+IF(C139=3,J139*Geometry!$I$23,0)+IF(C139=4,J139*Geometry!$J$23,0)+IF(C139=5,J139*Geometry!$K$23,0)</f>
        <v>0</v>
      </c>
      <c r="P139">
        <f>IF(C139=1,J139*Geometry!$G$24,0)+IF(C139=2,J139*Geometry!$H$24,0)+IF(C139=3,J139*Geometry!$I$24,0)+IF(C139=4,J139*Geometry!$J$24,0)+IF(C139=5,J139*Geometry!$K$24,0)</f>
        <v>0</v>
      </c>
    </row>
    <row r="140" spans="1:16">
      <c r="A140">
        <f t="shared" si="21"/>
        <v>134</v>
      </c>
      <c r="C140" s="7">
        <f t="shared" si="24"/>
        <v>3</v>
      </c>
      <c r="D140" s="69">
        <f>D139+Geometry!$C$15</f>
        <v>807.5</v>
      </c>
      <c r="E140" s="59">
        <f t="shared" si="25"/>
        <v>-601.25</v>
      </c>
      <c r="F140" s="4">
        <f>Geometry!$D$12*D140</f>
        <v>30.215181818181822</v>
      </c>
      <c r="G140" s="4">
        <f t="shared" si="22"/>
        <v>0</v>
      </c>
      <c r="H140" s="4">
        <f>IF(ABS(E140*E140)&lt;=Geometry!$E$10,SQRT(Geometry!$E$10-E140*E140),0)</f>
        <v>0</v>
      </c>
      <c r="I140" s="4">
        <f t="shared" si="23"/>
        <v>0</v>
      </c>
      <c r="J140">
        <f t="shared" si="19"/>
        <v>0</v>
      </c>
      <c r="K140" s="59">
        <f>IF(C140=1,J140*Geometry!$G$21,0)+IF(C140=2,J140*Geometry!$H$21,0)+IF(C140=3,J140*Geometry!$I$21,0)+IF(C140=4,J140*Geometry!$J$21,0)+IF(C140=5,J140*Geometry!$K$21,0)</f>
        <v>0</v>
      </c>
      <c r="L140" s="59">
        <f>IF(C140=1,J140*Geometry!$G$20,0)+IF(C140=2,J140*Geometry!$H$20,0)+IF(C140=3,J140*Geometry!$I$20,0)+IF(C140=4,J140*Geometry!$J$20,0)+IF(C140=5,J140*Geometry!$K$20,0)</f>
        <v>0</v>
      </c>
      <c r="M140" s="59">
        <f>IF(C140=1,J140*Geometry!$G$19,0)+IF(C140=2,J140*Geometry!$H$19,0)+IF(C140=3,J140*Geometry!$I$19,0)+IF(C140=4,J140*Geometry!$J$19,0)+IF(C140=5,J140*Geometry!$K$19,0)</f>
        <v>0</v>
      </c>
      <c r="N140" s="59">
        <f>IF(C140=1,J140*Geometry!$G$22,0)+IF(C140=2,J140*Geometry!$H$22,0)+IF(C140=3,J140*Geometry!$I$22,0)+IF(C140=4,J140*Geometry!$J$22,0)+IF(C140=5,J140*Geometry!$K$22,0)</f>
        <v>0</v>
      </c>
      <c r="O140" s="59">
        <f>IF(C140=1,J140*Geometry!$G$23,0)+IF(C140=2,J140*Geometry!$H$23,0)+IF(C140=3,J140*Geometry!$I$23,0)+IF(C140=4,J140*Geometry!$J$23,0)+IF(C140=5,J140*Geometry!$K$23,0)</f>
        <v>0</v>
      </c>
      <c r="P140">
        <f>IF(C140=1,J140*Geometry!$G$24,0)+IF(C140=2,J140*Geometry!$H$24,0)+IF(C140=3,J140*Geometry!$I$24,0)+IF(C140=4,J140*Geometry!$J$24,0)+IF(C140=5,J140*Geometry!$K$24,0)</f>
        <v>0</v>
      </c>
    </row>
    <row r="141" spans="1:16">
      <c r="A141">
        <f t="shared" si="21"/>
        <v>135</v>
      </c>
      <c r="C141" s="7">
        <f t="shared" si="24"/>
        <v>3</v>
      </c>
      <c r="D141" s="69">
        <f>D140+Geometry!$C$15</f>
        <v>812.5</v>
      </c>
      <c r="E141" s="59">
        <f t="shared" si="25"/>
        <v>-606.25</v>
      </c>
      <c r="F141" s="4">
        <f>Geometry!$D$12*D141</f>
        <v>30.402272727272731</v>
      </c>
      <c r="G141" s="4">
        <f t="shared" si="22"/>
        <v>0</v>
      </c>
      <c r="H141" s="4">
        <f>IF(ABS(E141*E141)&lt;=Geometry!$E$10,SQRT(Geometry!$E$10-E141*E141),0)</f>
        <v>0</v>
      </c>
      <c r="I141" s="4">
        <f t="shared" si="23"/>
        <v>0</v>
      </c>
      <c r="J141">
        <f t="shared" si="19"/>
        <v>0</v>
      </c>
      <c r="K141" s="59">
        <f>IF(C141=1,J141*Geometry!$G$21,0)+IF(C141=2,J141*Geometry!$H$21,0)+IF(C141=3,J141*Geometry!$I$21,0)+IF(C141=4,J141*Geometry!$J$21,0)+IF(C141=5,J141*Geometry!$K$21,0)</f>
        <v>0</v>
      </c>
      <c r="L141" s="59">
        <f>IF(C141=1,J141*Geometry!$G$20,0)+IF(C141=2,J141*Geometry!$H$20,0)+IF(C141=3,J141*Geometry!$I$20,0)+IF(C141=4,J141*Geometry!$J$20,0)+IF(C141=5,J141*Geometry!$K$20,0)</f>
        <v>0</v>
      </c>
      <c r="M141" s="59">
        <f>IF(C141=1,J141*Geometry!$G$19,0)+IF(C141=2,J141*Geometry!$H$19,0)+IF(C141=3,J141*Geometry!$I$19,0)+IF(C141=4,J141*Geometry!$J$19,0)+IF(C141=5,J141*Geometry!$K$19,0)</f>
        <v>0</v>
      </c>
      <c r="N141" s="59">
        <f>IF(C141=1,J141*Geometry!$G$22,0)+IF(C141=2,J141*Geometry!$H$22,0)+IF(C141=3,J141*Geometry!$I$22,0)+IF(C141=4,J141*Geometry!$J$22,0)+IF(C141=5,J141*Geometry!$K$22,0)</f>
        <v>0</v>
      </c>
      <c r="O141" s="59">
        <f>IF(C141=1,J141*Geometry!$G$23,0)+IF(C141=2,J141*Geometry!$H$23,0)+IF(C141=3,J141*Geometry!$I$23,0)+IF(C141=4,J141*Geometry!$J$23,0)+IF(C141=5,J141*Geometry!$K$23,0)</f>
        <v>0</v>
      </c>
      <c r="P141">
        <f>IF(C141=1,J141*Geometry!$G$24,0)+IF(C141=2,J141*Geometry!$H$24,0)+IF(C141=3,J141*Geometry!$I$24,0)+IF(C141=4,J141*Geometry!$J$24,0)+IF(C141=5,J141*Geometry!$K$24,0)</f>
        <v>0</v>
      </c>
    </row>
    <row r="142" spans="1:16">
      <c r="A142">
        <f t="shared" ref="A142:A148" si="26">A141+1</f>
        <v>136</v>
      </c>
      <c r="C142" s="7">
        <f t="shared" si="24"/>
        <v>3</v>
      </c>
      <c r="D142" s="69">
        <f>D141+Geometry!$C$15</f>
        <v>817.5</v>
      </c>
      <c r="E142" s="59">
        <f t="shared" si="25"/>
        <v>-611.25</v>
      </c>
      <c r="F142" s="4">
        <f>Geometry!$D$12*D142</f>
        <v>30.58936363636364</v>
      </c>
      <c r="G142" s="4">
        <f t="shared" si="22"/>
        <v>0</v>
      </c>
      <c r="H142" s="4">
        <f>IF(ABS(E142*E142)&lt;=Geometry!$E$10,SQRT(Geometry!$E$10-E142*E142),0)</f>
        <v>0</v>
      </c>
      <c r="I142" s="4">
        <f t="shared" si="23"/>
        <v>0</v>
      </c>
      <c r="J142">
        <f t="shared" si="19"/>
        <v>0</v>
      </c>
      <c r="K142" s="59">
        <f>IF(C142=1,J142*Geometry!$G$21,0)+IF(C142=2,J142*Geometry!$H$21,0)+IF(C142=3,J142*Geometry!$I$21,0)+IF(C142=4,J142*Geometry!$J$21,0)+IF(C142=5,J142*Geometry!$K$21,0)</f>
        <v>0</v>
      </c>
      <c r="L142" s="59">
        <f>IF(C142=1,J142*Geometry!$G$20,0)+IF(C142=2,J142*Geometry!$H$20,0)+IF(C142=3,J142*Geometry!$I$20,0)+IF(C142=4,J142*Geometry!$J$20,0)+IF(C142=5,J142*Geometry!$K$20,0)</f>
        <v>0</v>
      </c>
      <c r="M142" s="59">
        <f>IF(C142=1,J142*Geometry!$G$19,0)+IF(C142=2,J142*Geometry!$H$19,0)+IF(C142=3,J142*Geometry!$I$19,0)+IF(C142=4,J142*Geometry!$J$19,0)+IF(C142=5,J142*Geometry!$K$19,0)</f>
        <v>0</v>
      </c>
      <c r="N142" s="59">
        <f>IF(C142=1,J142*Geometry!$G$22,0)+IF(C142=2,J142*Geometry!$H$22,0)+IF(C142=3,J142*Geometry!$I$22,0)+IF(C142=4,J142*Geometry!$J$22,0)+IF(C142=5,J142*Geometry!$K$22,0)</f>
        <v>0</v>
      </c>
      <c r="O142" s="59">
        <f>IF(C142=1,J142*Geometry!$G$23,0)+IF(C142=2,J142*Geometry!$H$23,0)+IF(C142=3,J142*Geometry!$I$23,0)+IF(C142=4,J142*Geometry!$J$23,0)+IF(C142=5,J142*Geometry!$K$23,0)</f>
        <v>0</v>
      </c>
      <c r="P142">
        <f>IF(C142=1,J142*Geometry!$G$24,0)+IF(C142=2,J142*Geometry!$H$24,0)+IF(C142=3,J142*Geometry!$I$24,0)+IF(C142=4,J142*Geometry!$J$24,0)+IF(C142=5,J142*Geometry!$K$24,0)</f>
        <v>0</v>
      </c>
    </row>
    <row r="143" spans="1:16">
      <c r="A143">
        <f t="shared" si="26"/>
        <v>137</v>
      </c>
      <c r="C143" s="7">
        <f t="shared" si="24"/>
        <v>3</v>
      </c>
      <c r="D143" s="69">
        <f>D142+Geometry!$C$15</f>
        <v>822.5</v>
      </c>
      <c r="E143" s="59">
        <f t="shared" si="25"/>
        <v>-616.25</v>
      </c>
      <c r="F143" s="4">
        <f>Geometry!$D$12*D143</f>
        <v>30.776454545454548</v>
      </c>
      <c r="G143" s="4">
        <f t="shared" si="22"/>
        <v>0</v>
      </c>
      <c r="H143" s="4">
        <f>IF(ABS(E143*E143)&lt;=Geometry!$E$10,SQRT(Geometry!$E$10-E143*E143),0)</f>
        <v>0</v>
      </c>
      <c r="I143" s="4">
        <f t="shared" si="23"/>
        <v>0</v>
      </c>
      <c r="J143">
        <f t="shared" si="19"/>
        <v>0</v>
      </c>
      <c r="K143" s="59">
        <f>IF(C143=1,J143*Geometry!$G$21,0)+IF(C143=2,J143*Geometry!$H$21,0)+IF(C143=3,J143*Geometry!$I$21,0)+IF(C143=4,J143*Geometry!$J$21,0)+IF(C143=5,J143*Geometry!$K$21,0)</f>
        <v>0</v>
      </c>
      <c r="L143" s="59">
        <f>IF(C143=1,J143*Geometry!$G$20,0)+IF(C143=2,J143*Geometry!$H$20,0)+IF(C143=3,J143*Geometry!$I$20,0)+IF(C143=4,J143*Geometry!$J$20,0)+IF(C143=5,J143*Geometry!$K$20,0)</f>
        <v>0</v>
      </c>
      <c r="M143" s="59">
        <f>IF(C143=1,J143*Geometry!$G$19,0)+IF(C143=2,J143*Geometry!$H$19,0)+IF(C143=3,J143*Geometry!$I$19,0)+IF(C143=4,J143*Geometry!$J$19,0)+IF(C143=5,J143*Geometry!$K$19,0)</f>
        <v>0</v>
      </c>
      <c r="N143" s="59">
        <f>IF(C143=1,J143*Geometry!$G$22,0)+IF(C143=2,J143*Geometry!$H$22,0)+IF(C143=3,J143*Geometry!$I$22,0)+IF(C143=4,J143*Geometry!$J$22,0)+IF(C143=5,J143*Geometry!$K$22,0)</f>
        <v>0</v>
      </c>
      <c r="O143" s="59">
        <f>IF(C143=1,J143*Geometry!$G$23,0)+IF(C143=2,J143*Geometry!$H$23,0)+IF(C143=3,J143*Geometry!$I$23,0)+IF(C143=4,J143*Geometry!$J$23,0)+IF(C143=5,J143*Geometry!$K$23,0)</f>
        <v>0</v>
      </c>
      <c r="P143">
        <f>IF(C143=1,J143*Geometry!$G$24,0)+IF(C143=2,J143*Geometry!$H$24,0)+IF(C143=3,J143*Geometry!$I$24,0)+IF(C143=4,J143*Geometry!$J$24,0)+IF(C143=5,J143*Geometry!$K$24,0)</f>
        <v>0</v>
      </c>
    </row>
    <row r="144" spans="1:16">
      <c r="A144">
        <f t="shared" si="26"/>
        <v>138</v>
      </c>
      <c r="C144" s="7">
        <f t="shared" si="24"/>
        <v>3</v>
      </c>
      <c r="D144" s="69">
        <f>D143+Geometry!$C$15</f>
        <v>827.5</v>
      </c>
      <c r="E144" s="59">
        <f t="shared" si="25"/>
        <v>-621.25</v>
      </c>
      <c r="F144" s="4">
        <f>Geometry!$D$12*D144</f>
        <v>30.963545454545457</v>
      </c>
      <c r="G144" s="4">
        <f t="shared" si="22"/>
        <v>0</v>
      </c>
      <c r="H144" s="4">
        <f>IF(ABS(E144*E144)&lt;=Geometry!$E$10,SQRT(Geometry!$E$10-E144*E144),0)</f>
        <v>0</v>
      </c>
      <c r="I144" s="4">
        <f t="shared" si="23"/>
        <v>0</v>
      </c>
      <c r="J144">
        <f t="shared" si="19"/>
        <v>0</v>
      </c>
      <c r="K144" s="59">
        <f>IF(C144=1,J144*Geometry!$G$21,0)+IF(C144=2,J144*Geometry!$H$21,0)+IF(C144=3,J144*Geometry!$I$21,0)+IF(C144=4,J144*Geometry!$J$21,0)+IF(C144=5,J144*Geometry!$K$21,0)</f>
        <v>0</v>
      </c>
      <c r="L144" s="59">
        <f>IF(C144=1,J144*Geometry!$G$20,0)+IF(C144=2,J144*Geometry!$H$20,0)+IF(C144=3,J144*Geometry!$I$20,0)+IF(C144=4,J144*Geometry!$J$20,0)+IF(C144=5,J144*Geometry!$K$20,0)</f>
        <v>0</v>
      </c>
      <c r="M144" s="59">
        <f>IF(C144=1,J144*Geometry!$G$19,0)+IF(C144=2,J144*Geometry!$H$19,0)+IF(C144=3,J144*Geometry!$I$19,0)+IF(C144=4,J144*Geometry!$J$19,0)+IF(C144=5,J144*Geometry!$K$19,0)</f>
        <v>0</v>
      </c>
      <c r="N144" s="59">
        <f>IF(C144=1,J144*Geometry!$G$22,0)+IF(C144=2,J144*Geometry!$H$22,0)+IF(C144=3,J144*Geometry!$I$22,0)+IF(C144=4,J144*Geometry!$J$22,0)+IF(C144=5,J144*Geometry!$K$22,0)</f>
        <v>0</v>
      </c>
      <c r="O144" s="59">
        <f>IF(C144=1,J144*Geometry!$G$23,0)+IF(C144=2,J144*Geometry!$H$23,0)+IF(C144=3,J144*Geometry!$I$23,0)+IF(C144=4,J144*Geometry!$J$23,0)+IF(C144=5,J144*Geometry!$K$23,0)</f>
        <v>0</v>
      </c>
      <c r="P144">
        <f>IF(C144=1,J144*Geometry!$G$24,0)+IF(C144=2,J144*Geometry!$H$24,0)+IF(C144=3,J144*Geometry!$I$24,0)+IF(C144=4,J144*Geometry!$J$24,0)+IF(C144=5,J144*Geometry!$K$24,0)</f>
        <v>0</v>
      </c>
    </row>
    <row r="145" spans="1:16">
      <c r="A145">
        <f t="shared" si="26"/>
        <v>139</v>
      </c>
      <c r="C145" s="7">
        <f t="shared" si="24"/>
        <v>3</v>
      </c>
      <c r="D145" s="69">
        <f>D144+Geometry!$C$15</f>
        <v>832.5</v>
      </c>
      <c r="E145" s="59">
        <f t="shared" si="25"/>
        <v>-626.25</v>
      </c>
      <c r="F145" s="4">
        <f>Geometry!$D$12*D145</f>
        <v>31.150636363636366</v>
      </c>
      <c r="G145" s="4">
        <f t="shared" si="22"/>
        <v>0</v>
      </c>
      <c r="H145" s="4">
        <f>IF(ABS(E145*E145)&lt;=Geometry!$E$10,SQRT(Geometry!$E$10-E145*E145),0)</f>
        <v>0</v>
      </c>
      <c r="I145" s="4">
        <f t="shared" si="23"/>
        <v>0</v>
      </c>
      <c r="J145">
        <f t="shared" si="19"/>
        <v>0</v>
      </c>
      <c r="K145" s="59">
        <f>IF(C145=1,J145*Geometry!$G$21,0)+IF(C145=2,J145*Geometry!$H$21,0)+IF(C145=3,J145*Geometry!$I$21,0)+IF(C145=4,J145*Geometry!$J$21,0)+IF(C145=5,J145*Geometry!$K$21,0)</f>
        <v>0</v>
      </c>
      <c r="L145" s="59">
        <f>IF(C145=1,J145*Geometry!$G$20,0)+IF(C145=2,J145*Geometry!$H$20,0)+IF(C145=3,J145*Geometry!$I$20,0)+IF(C145=4,J145*Geometry!$J$20,0)+IF(C145=5,J145*Geometry!$K$20,0)</f>
        <v>0</v>
      </c>
      <c r="M145" s="59">
        <f>IF(C145=1,J145*Geometry!$G$19,0)+IF(C145=2,J145*Geometry!$H$19,0)+IF(C145=3,J145*Geometry!$I$19,0)+IF(C145=4,J145*Geometry!$J$19,0)+IF(C145=5,J145*Geometry!$K$19,0)</f>
        <v>0</v>
      </c>
      <c r="N145" s="59">
        <f>IF(C145=1,J145*Geometry!$G$22,0)+IF(C145=2,J145*Geometry!$H$22,0)+IF(C145=3,J145*Geometry!$I$22,0)+IF(C145=4,J145*Geometry!$J$22,0)+IF(C145=5,J145*Geometry!$K$22,0)</f>
        <v>0</v>
      </c>
      <c r="O145" s="59">
        <f>IF(C145=1,J145*Geometry!$G$23,0)+IF(C145=2,J145*Geometry!$H$23,0)+IF(C145=3,J145*Geometry!$I$23,0)+IF(C145=4,J145*Geometry!$J$23,0)+IF(C145=5,J145*Geometry!$K$23,0)</f>
        <v>0</v>
      </c>
      <c r="P145">
        <f>IF(C145=1,J145*Geometry!$G$24,0)+IF(C145=2,J145*Geometry!$H$24,0)+IF(C145=3,J145*Geometry!$I$24,0)+IF(C145=4,J145*Geometry!$J$24,0)+IF(C145=5,J145*Geometry!$K$24,0)</f>
        <v>0</v>
      </c>
    </row>
    <row r="146" spans="1:16">
      <c r="A146">
        <f t="shared" si="26"/>
        <v>140</v>
      </c>
      <c r="C146" s="7">
        <f t="shared" si="24"/>
        <v>3</v>
      </c>
      <c r="D146" s="69">
        <f>D145+Geometry!$C$15</f>
        <v>837.5</v>
      </c>
      <c r="E146" s="59">
        <f t="shared" si="25"/>
        <v>-631.25</v>
      </c>
      <c r="F146" s="4">
        <f>Geometry!$D$12*D146</f>
        <v>31.337727272727278</v>
      </c>
      <c r="G146" s="4">
        <f t="shared" si="22"/>
        <v>0</v>
      </c>
      <c r="H146" s="4">
        <f>IF(ABS(E146*E146)&lt;=Geometry!$E$10,SQRT(Geometry!$E$10-E146*E146),0)</f>
        <v>0</v>
      </c>
      <c r="I146" s="4">
        <f t="shared" si="23"/>
        <v>0</v>
      </c>
      <c r="J146">
        <f t="shared" si="19"/>
        <v>0</v>
      </c>
      <c r="K146" s="59">
        <f>IF(C146=1,J146*Geometry!$G$21,0)+IF(C146=2,J146*Geometry!$H$21,0)+IF(C146=3,J146*Geometry!$I$21,0)+IF(C146=4,J146*Geometry!$J$21,0)+IF(C146=5,J146*Geometry!$K$21,0)</f>
        <v>0</v>
      </c>
      <c r="L146" s="59">
        <f>IF(C146=1,J146*Geometry!$G$20,0)+IF(C146=2,J146*Geometry!$H$20,0)+IF(C146=3,J146*Geometry!$I$20,0)+IF(C146=4,J146*Geometry!$J$20,0)+IF(C146=5,J146*Geometry!$K$20,0)</f>
        <v>0</v>
      </c>
      <c r="M146" s="59">
        <f>IF(C146=1,J146*Geometry!$G$19,0)+IF(C146=2,J146*Geometry!$H$19,0)+IF(C146=3,J146*Geometry!$I$19,0)+IF(C146=4,J146*Geometry!$J$19,0)+IF(C146=5,J146*Geometry!$K$19,0)</f>
        <v>0</v>
      </c>
      <c r="N146" s="59">
        <f>IF(C146=1,J146*Geometry!$G$22,0)+IF(C146=2,J146*Geometry!$H$22,0)+IF(C146=3,J146*Geometry!$I$22,0)+IF(C146=4,J146*Geometry!$J$22,0)+IF(C146=5,J146*Geometry!$K$22,0)</f>
        <v>0</v>
      </c>
      <c r="O146" s="59">
        <f>IF(C146=1,J146*Geometry!$G$23,0)+IF(C146=2,J146*Geometry!$H$23,0)+IF(C146=3,J146*Geometry!$I$23,0)+IF(C146=4,J146*Geometry!$J$23,0)+IF(C146=5,J146*Geometry!$K$23,0)</f>
        <v>0</v>
      </c>
      <c r="P146">
        <f>IF(C146=1,J146*Geometry!$G$24,0)+IF(C146=2,J146*Geometry!$H$24,0)+IF(C146=3,J146*Geometry!$I$24,0)+IF(C146=4,J146*Geometry!$J$24,0)+IF(C146=5,J146*Geometry!$K$24,0)</f>
        <v>0</v>
      </c>
    </row>
    <row r="147" spans="1:16">
      <c r="A147">
        <f t="shared" si="26"/>
        <v>141</v>
      </c>
      <c r="C147" s="7">
        <f t="shared" si="24"/>
        <v>3</v>
      </c>
      <c r="D147" s="69">
        <f>D146+Geometry!$C$15</f>
        <v>842.5</v>
      </c>
      <c r="E147" s="59">
        <f t="shared" si="25"/>
        <v>-636.25</v>
      </c>
      <c r="F147" s="4">
        <f>Geometry!$D$12*D147</f>
        <v>31.524818181818187</v>
      </c>
      <c r="G147" s="4">
        <f t="shared" si="22"/>
        <v>0</v>
      </c>
      <c r="H147" s="4">
        <f>IF(ABS(E147*E147)&lt;=Geometry!$E$10,SQRT(Geometry!$E$10-E147*E147),0)</f>
        <v>0</v>
      </c>
      <c r="I147" s="4">
        <f t="shared" si="23"/>
        <v>0</v>
      </c>
      <c r="J147">
        <f t="shared" si="19"/>
        <v>0</v>
      </c>
      <c r="K147" s="59">
        <f>IF(C147=1,J147*Geometry!$G$21,0)+IF(C147=2,J147*Geometry!$H$21,0)+IF(C147=3,J147*Geometry!$I$21,0)+IF(C147=4,J147*Geometry!$J$21,0)+IF(C147=5,J147*Geometry!$K$21,0)</f>
        <v>0</v>
      </c>
      <c r="L147" s="59">
        <f>IF(C147=1,J147*Geometry!$G$20,0)+IF(C147=2,J147*Geometry!$H$20,0)+IF(C147=3,J147*Geometry!$I$20,0)+IF(C147=4,J147*Geometry!$J$20,0)+IF(C147=5,J147*Geometry!$K$20,0)</f>
        <v>0</v>
      </c>
      <c r="M147" s="59">
        <f>IF(C147=1,J147*Geometry!$G$19,0)+IF(C147=2,J147*Geometry!$H$19,0)+IF(C147=3,J147*Geometry!$I$19,0)+IF(C147=4,J147*Geometry!$J$19,0)+IF(C147=5,J147*Geometry!$K$19,0)</f>
        <v>0</v>
      </c>
      <c r="N147" s="59">
        <f>IF(C147=1,J147*Geometry!$G$22,0)+IF(C147=2,J147*Geometry!$H$22,0)+IF(C147=3,J147*Geometry!$I$22,0)+IF(C147=4,J147*Geometry!$J$22,0)+IF(C147=5,J147*Geometry!$K$22,0)</f>
        <v>0</v>
      </c>
      <c r="O147" s="59">
        <f>IF(C147=1,J147*Geometry!$G$23,0)+IF(C147=2,J147*Geometry!$H$23,0)+IF(C147=3,J147*Geometry!$I$23,0)+IF(C147=4,J147*Geometry!$J$23,0)+IF(C147=5,J147*Geometry!$K$23,0)</f>
        <v>0</v>
      </c>
      <c r="P147">
        <f>IF(C147=1,J147*Geometry!$G$24,0)+IF(C147=2,J147*Geometry!$H$24,0)+IF(C147=3,J147*Geometry!$I$24,0)+IF(C147=4,J147*Geometry!$J$24,0)+IF(C147=5,J147*Geometry!$K$24,0)</f>
        <v>0</v>
      </c>
    </row>
    <row r="148" spans="1:16">
      <c r="A148">
        <f t="shared" si="26"/>
        <v>142</v>
      </c>
      <c r="C148" s="7">
        <f t="shared" si="24"/>
        <v>3</v>
      </c>
      <c r="D148" s="69">
        <f>D147+Geometry!$C$15</f>
        <v>847.5</v>
      </c>
      <c r="E148" s="59">
        <f t="shared" si="25"/>
        <v>-641.25</v>
      </c>
      <c r="F148" s="4">
        <f>Geometry!$D$12*D148</f>
        <v>31.711909090909096</v>
      </c>
      <c r="G148" s="4">
        <f t="shared" si="22"/>
        <v>0</v>
      </c>
      <c r="H148" s="4">
        <f>IF(ABS(E148*E148)&lt;=Geometry!$E$10,SQRT(Geometry!$E$10-E148*E148),0)</f>
        <v>0</v>
      </c>
      <c r="I148" s="4">
        <f t="shared" si="23"/>
        <v>0</v>
      </c>
      <c r="J148">
        <f t="shared" si="19"/>
        <v>0</v>
      </c>
      <c r="K148" s="59">
        <f>IF(C148=1,J148*Geometry!$G$21,0)+IF(C148=2,J148*Geometry!$H$21,0)+IF(C148=3,J148*Geometry!$I$21,0)+IF(C148=4,J148*Geometry!$J$21,0)+IF(C148=5,J148*Geometry!$K$21,0)</f>
        <v>0</v>
      </c>
      <c r="L148" s="59">
        <f>IF(C148=1,J148*Geometry!$G$20,0)+IF(C148=2,J148*Geometry!$H$20,0)+IF(C148=3,J148*Geometry!$I$20,0)+IF(C148=4,J148*Geometry!$J$20,0)+IF(C148=5,J148*Geometry!$K$20,0)</f>
        <v>0</v>
      </c>
      <c r="M148" s="59">
        <f>IF(C148=1,J148*Geometry!$G$19,0)+IF(C148=2,J148*Geometry!$H$19,0)+IF(C148=3,J148*Geometry!$I$19,0)+IF(C148=4,J148*Geometry!$J$19,0)+IF(C148=5,J148*Geometry!$K$19,0)</f>
        <v>0</v>
      </c>
      <c r="N148" s="59">
        <f>IF(C148=1,J148*Geometry!$G$22,0)+IF(C148=2,J148*Geometry!$H$22,0)+IF(C148=3,J148*Geometry!$I$22,0)+IF(C148=4,J148*Geometry!$J$22,0)+IF(C148=5,J148*Geometry!$K$22,0)</f>
        <v>0</v>
      </c>
      <c r="O148" s="59">
        <f>IF(C148=1,J148*Geometry!$G$23,0)+IF(C148=2,J148*Geometry!$H$23,0)+IF(C148=3,J148*Geometry!$I$23,0)+IF(C148=4,J148*Geometry!$J$23,0)+IF(C148=5,J148*Geometry!$K$23,0)</f>
        <v>0</v>
      </c>
      <c r="P148">
        <f>IF(C148=1,J148*Geometry!$G$24,0)+IF(C148=2,J148*Geometry!$H$24,0)+IF(C148=3,J148*Geometry!$I$24,0)+IF(C148=4,J148*Geometry!$J$24,0)+IF(C148=5,J148*Geometry!$K$24,0)</f>
        <v>0</v>
      </c>
    </row>
    <row r="149" spans="1:16">
      <c r="A149">
        <f t="shared" ref="A149:A153" si="27">A148+1</f>
        <v>143</v>
      </c>
      <c r="C149" s="7">
        <f t="shared" si="24"/>
        <v>3</v>
      </c>
      <c r="D149" s="69">
        <f>D148+Geometry!$C$15</f>
        <v>852.5</v>
      </c>
      <c r="E149" s="59">
        <f t="shared" si="25"/>
        <v>-646.25</v>
      </c>
      <c r="F149" s="4">
        <f>Geometry!$D$12*D149</f>
        <v>31.899000000000004</v>
      </c>
      <c r="G149" s="4">
        <f t="shared" si="22"/>
        <v>0</v>
      </c>
      <c r="H149" s="4">
        <f>IF(ABS(E149*E149)&lt;=Geometry!$E$10,SQRT(Geometry!$E$10-E149*E149),0)</f>
        <v>0</v>
      </c>
      <c r="I149" s="4">
        <f t="shared" si="23"/>
        <v>0</v>
      </c>
      <c r="J149">
        <f t="shared" si="19"/>
        <v>0</v>
      </c>
      <c r="K149" s="59">
        <f>IF(C149=1,J149*Geometry!$G$21,0)+IF(C149=2,J149*Geometry!$H$21,0)+IF(C149=3,J149*Geometry!$I$21,0)+IF(C149=4,J149*Geometry!$J$21,0)+IF(C149=5,J149*Geometry!$K$21,0)</f>
        <v>0</v>
      </c>
      <c r="L149" s="59">
        <f>IF(C149=1,J149*Geometry!$G$20,0)+IF(C149=2,J149*Geometry!$H$20,0)+IF(C149=3,J149*Geometry!$I$20,0)+IF(C149=4,J149*Geometry!$J$20,0)+IF(C149=5,J149*Geometry!$K$20,0)</f>
        <v>0</v>
      </c>
      <c r="M149" s="59">
        <f>IF(C149=1,J149*Geometry!$G$19,0)+IF(C149=2,J149*Geometry!$H$19,0)+IF(C149=3,J149*Geometry!$I$19,0)+IF(C149=4,J149*Geometry!$J$19,0)+IF(C149=5,J149*Geometry!$K$19,0)</f>
        <v>0</v>
      </c>
      <c r="N149" s="59">
        <f>IF(C149=1,J149*Geometry!$G$22,0)+IF(C149=2,J149*Geometry!$H$22,0)+IF(C149=3,J149*Geometry!$I$22,0)+IF(C149=4,J149*Geometry!$J$22,0)+IF(C149=5,J149*Geometry!$K$22,0)</f>
        <v>0</v>
      </c>
      <c r="O149" s="59">
        <f>IF(C149=1,J149*Geometry!$G$23,0)+IF(C149=2,J149*Geometry!$H$23,0)+IF(C149=3,J149*Geometry!$I$23,0)+IF(C149=4,J149*Geometry!$J$23,0)+IF(C149=5,J149*Geometry!$K$23,0)</f>
        <v>0</v>
      </c>
      <c r="P149">
        <f>IF(C149=1,J149*Geometry!$G$24,0)+IF(C149=2,J149*Geometry!$H$24,0)+IF(C149=3,J149*Geometry!$I$24,0)+IF(C149=4,J149*Geometry!$J$24,0)+IF(C149=5,J149*Geometry!$K$24,0)</f>
        <v>0</v>
      </c>
    </row>
    <row r="150" spans="1:16">
      <c r="A150">
        <f t="shared" si="27"/>
        <v>144</v>
      </c>
      <c r="C150" s="7">
        <f t="shared" si="24"/>
        <v>3</v>
      </c>
      <c r="D150" s="69">
        <f>D149+Geometry!$C$15</f>
        <v>857.5</v>
      </c>
      <c r="E150" s="59">
        <f t="shared" si="25"/>
        <v>-651.25</v>
      </c>
      <c r="F150" s="4">
        <f>Geometry!$D$12*D150</f>
        <v>32.086090909090913</v>
      </c>
      <c r="G150" s="4">
        <f t="shared" si="22"/>
        <v>0</v>
      </c>
      <c r="H150" s="4">
        <f>IF(ABS(E150*E150)&lt;=Geometry!$E$10,SQRT(Geometry!$E$10-E150*E150),0)</f>
        <v>0</v>
      </c>
      <c r="I150" s="4">
        <f t="shared" si="23"/>
        <v>0</v>
      </c>
      <c r="J150">
        <f t="shared" si="19"/>
        <v>0</v>
      </c>
      <c r="K150" s="59">
        <f>IF(C150=1,J150*Geometry!$G$21,0)+IF(C150=2,J150*Geometry!$H$21,0)+IF(C150=3,J150*Geometry!$I$21,0)+IF(C150=4,J150*Geometry!$J$21,0)+IF(C150=5,J150*Geometry!$K$21,0)</f>
        <v>0</v>
      </c>
      <c r="L150" s="59">
        <f>IF(C150=1,J150*Geometry!$G$20,0)+IF(C150=2,J150*Geometry!$H$20,0)+IF(C150=3,J150*Geometry!$I$20,0)+IF(C150=4,J150*Geometry!$J$20,0)+IF(C150=5,J150*Geometry!$K$20,0)</f>
        <v>0</v>
      </c>
      <c r="M150" s="59">
        <f>IF(C150=1,J150*Geometry!$G$19,0)+IF(C150=2,J150*Geometry!$H$19,0)+IF(C150=3,J150*Geometry!$I$19,0)+IF(C150=4,J150*Geometry!$J$19,0)+IF(C150=5,J150*Geometry!$K$19,0)</f>
        <v>0</v>
      </c>
      <c r="N150" s="59">
        <f>IF(C150=1,J150*Geometry!$G$22,0)+IF(C150=2,J150*Geometry!$H$22,0)+IF(C150=3,J150*Geometry!$I$22,0)+IF(C150=4,J150*Geometry!$J$22,0)+IF(C150=5,J150*Geometry!$K$22,0)</f>
        <v>0</v>
      </c>
      <c r="O150" s="59">
        <f>IF(C150=1,J150*Geometry!$G$23,0)+IF(C150=2,J150*Geometry!$H$23,0)+IF(C150=3,J150*Geometry!$I$23,0)+IF(C150=4,J150*Geometry!$J$23,0)+IF(C150=5,J150*Geometry!$K$23,0)</f>
        <v>0</v>
      </c>
      <c r="P150">
        <f>IF(C150=1,J150*Geometry!$G$24,0)+IF(C150=2,J150*Geometry!$H$24,0)+IF(C150=3,J150*Geometry!$I$24,0)+IF(C150=4,J150*Geometry!$J$24,0)+IF(C150=5,J150*Geometry!$K$24,0)</f>
        <v>0</v>
      </c>
    </row>
    <row r="151" spans="1:16">
      <c r="A151">
        <f t="shared" si="27"/>
        <v>145</v>
      </c>
      <c r="C151" s="7">
        <f t="shared" si="24"/>
        <v>3</v>
      </c>
      <c r="D151" s="69">
        <f>D150+Geometry!$C$15</f>
        <v>862.5</v>
      </c>
      <c r="E151" s="59">
        <f t="shared" si="25"/>
        <v>-656.25</v>
      </c>
      <c r="F151" s="4">
        <f>Geometry!$D$12*D151</f>
        <v>32.273181818181826</v>
      </c>
      <c r="G151" s="4">
        <f t="shared" si="22"/>
        <v>0</v>
      </c>
      <c r="H151" s="4">
        <f>IF(ABS(E151*E151)&lt;=Geometry!$E$10,SQRT(Geometry!$E$10-E151*E151),0)</f>
        <v>0</v>
      </c>
      <c r="I151" s="4">
        <f t="shared" si="23"/>
        <v>0</v>
      </c>
      <c r="J151">
        <f t="shared" si="19"/>
        <v>0</v>
      </c>
      <c r="K151" s="59">
        <f>IF(C151=1,J151*Geometry!$G$21,0)+IF(C151=2,J151*Geometry!$H$21,0)+IF(C151=3,J151*Geometry!$I$21,0)+IF(C151=4,J151*Geometry!$J$21,0)+IF(C151=5,J151*Geometry!$K$21,0)</f>
        <v>0</v>
      </c>
      <c r="L151" s="59">
        <f>IF(C151=1,J151*Geometry!$G$20,0)+IF(C151=2,J151*Geometry!$H$20,0)+IF(C151=3,J151*Geometry!$I$20,0)+IF(C151=4,J151*Geometry!$J$20,0)+IF(C151=5,J151*Geometry!$K$20,0)</f>
        <v>0</v>
      </c>
      <c r="M151" s="59">
        <f>IF(C151=1,J151*Geometry!$G$19,0)+IF(C151=2,J151*Geometry!$H$19,0)+IF(C151=3,J151*Geometry!$I$19,0)+IF(C151=4,J151*Geometry!$J$19,0)+IF(C151=5,J151*Geometry!$K$19,0)</f>
        <v>0</v>
      </c>
      <c r="N151" s="59">
        <f>IF(C151=1,J151*Geometry!$G$22,0)+IF(C151=2,J151*Geometry!$H$22,0)+IF(C151=3,J151*Geometry!$I$22,0)+IF(C151=4,J151*Geometry!$J$22,0)+IF(C151=5,J151*Geometry!$K$22,0)</f>
        <v>0</v>
      </c>
      <c r="O151" s="59">
        <f>IF(C151=1,J151*Geometry!$G$23,0)+IF(C151=2,J151*Geometry!$H$23,0)+IF(C151=3,J151*Geometry!$I$23,0)+IF(C151=4,J151*Geometry!$J$23,0)+IF(C151=5,J151*Geometry!$K$23,0)</f>
        <v>0</v>
      </c>
      <c r="P151">
        <f>IF(C151=1,J151*Geometry!$G$24,0)+IF(C151=2,J151*Geometry!$H$24,0)+IF(C151=3,J151*Geometry!$I$24,0)+IF(C151=4,J151*Geometry!$J$24,0)+IF(C151=5,J151*Geometry!$K$24,0)</f>
        <v>0</v>
      </c>
    </row>
    <row r="152" spans="1:16">
      <c r="A152">
        <f t="shared" si="27"/>
        <v>146</v>
      </c>
      <c r="C152" s="7">
        <f t="shared" si="24"/>
        <v>3</v>
      </c>
      <c r="D152" s="69">
        <f>D151+Geometry!$C$15</f>
        <v>867.5</v>
      </c>
      <c r="E152" s="59">
        <f t="shared" si="25"/>
        <v>-661.25</v>
      </c>
      <c r="F152" s="4">
        <f>Geometry!$D$12*D152</f>
        <v>32.460272727272731</v>
      </c>
      <c r="G152" s="4">
        <f t="shared" si="22"/>
        <v>0</v>
      </c>
      <c r="H152" s="4">
        <f>IF(ABS(E152*E152)&lt;=Geometry!$E$10,SQRT(Geometry!$E$10-E152*E152),0)</f>
        <v>0</v>
      </c>
      <c r="I152" s="4">
        <f t="shared" si="23"/>
        <v>0</v>
      </c>
      <c r="J152">
        <f t="shared" si="19"/>
        <v>0</v>
      </c>
      <c r="K152" s="59">
        <f>IF(C152=1,J152*Geometry!$G$21,0)+IF(C152=2,J152*Geometry!$H$21,0)+IF(C152=3,J152*Geometry!$I$21,0)+IF(C152=4,J152*Geometry!$J$21,0)+IF(C152=5,J152*Geometry!$K$21,0)</f>
        <v>0</v>
      </c>
      <c r="L152" s="59">
        <f>IF(C152=1,J152*Geometry!$G$20,0)+IF(C152=2,J152*Geometry!$H$20,0)+IF(C152=3,J152*Geometry!$I$20,0)+IF(C152=4,J152*Geometry!$J$20,0)+IF(C152=5,J152*Geometry!$K$20,0)</f>
        <v>0</v>
      </c>
      <c r="M152" s="59">
        <f>IF(C152=1,J152*Geometry!$G$19,0)+IF(C152=2,J152*Geometry!$H$19,0)+IF(C152=3,J152*Geometry!$I$19,0)+IF(C152=4,J152*Geometry!$J$19,0)+IF(C152=5,J152*Geometry!$K$19,0)</f>
        <v>0</v>
      </c>
      <c r="N152" s="59">
        <f>IF(C152=1,J152*Geometry!$G$22,0)+IF(C152=2,J152*Geometry!$H$22,0)+IF(C152=3,J152*Geometry!$I$22,0)+IF(C152=4,J152*Geometry!$J$22,0)+IF(C152=5,J152*Geometry!$K$22,0)</f>
        <v>0</v>
      </c>
      <c r="O152" s="59">
        <f>IF(C152=1,J152*Geometry!$G$23,0)+IF(C152=2,J152*Geometry!$H$23,0)+IF(C152=3,J152*Geometry!$I$23,0)+IF(C152=4,J152*Geometry!$J$23,0)+IF(C152=5,J152*Geometry!$K$23,0)</f>
        <v>0</v>
      </c>
      <c r="P152">
        <f>IF(C152=1,J152*Geometry!$G$24,0)+IF(C152=2,J152*Geometry!$H$24,0)+IF(C152=3,J152*Geometry!$I$24,0)+IF(C152=4,J152*Geometry!$J$24,0)+IF(C152=5,J152*Geometry!$K$24,0)</f>
        <v>0</v>
      </c>
    </row>
    <row r="153" spans="1:16">
      <c r="A153">
        <f t="shared" si="27"/>
        <v>147</v>
      </c>
      <c r="C153" s="7">
        <f t="shared" si="24"/>
        <v>3</v>
      </c>
      <c r="D153" s="69">
        <f>D152+Geometry!$C$15</f>
        <v>872.5</v>
      </c>
      <c r="E153" s="59">
        <f t="shared" si="25"/>
        <v>-666.25</v>
      </c>
      <c r="F153" s="4">
        <f>Geometry!$D$12*D153</f>
        <v>32.647363636363643</v>
      </c>
      <c r="G153" s="4">
        <f t="shared" si="22"/>
        <v>0</v>
      </c>
      <c r="H153" s="4">
        <f>IF(ABS(E153*E153)&lt;=Geometry!$E$10,SQRT(Geometry!$E$10-E153*E153),0)</f>
        <v>0</v>
      </c>
      <c r="I153" s="4">
        <f t="shared" si="23"/>
        <v>0</v>
      </c>
      <c r="J153">
        <f t="shared" si="19"/>
        <v>0</v>
      </c>
      <c r="K153" s="59">
        <f>IF(C153=1,J153*Geometry!$G$21,0)+IF(C153=2,J153*Geometry!$H$21,0)+IF(C153=3,J153*Geometry!$I$21,0)+IF(C153=4,J153*Geometry!$J$21,0)+IF(C153=5,J153*Geometry!$K$21,0)</f>
        <v>0</v>
      </c>
      <c r="L153" s="59">
        <f>IF(C153=1,J153*Geometry!$G$20,0)+IF(C153=2,J153*Geometry!$H$20,0)+IF(C153=3,J153*Geometry!$I$20,0)+IF(C153=4,J153*Geometry!$J$20,0)+IF(C153=5,J153*Geometry!$K$20,0)</f>
        <v>0</v>
      </c>
      <c r="M153" s="59">
        <f>IF(C153=1,J153*Geometry!$G$19,0)+IF(C153=2,J153*Geometry!$H$19,0)+IF(C153=3,J153*Geometry!$I$19,0)+IF(C153=4,J153*Geometry!$J$19,0)+IF(C153=5,J153*Geometry!$K$19,0)</f>
        <v>0</v>
      </c>
      <c r="N153" s="59">
        <f>IF(C153=1,J153*Geometry!$G$22,0)+IF(C153=2,J153*Geometry!$H$22,0)+IF(C153=3,J153*Geometry!$I$22,0)+IF(C153=4,J153*Geometry!$J$22,0)+IF(C153=5,J153*Geometry!$K$22,0)</f>
        <v>0</v>
      </c>
      <c r="O153" s="59">
        <f>IF(C153=1,J153*Geometry!$G$23,0)+IF(C153=2,J153*Geometry!$H$23,0)+IF(C153=3,J153*Geometry!$I$23,0)+IF(C153=4,J153*Geometry!$J$23,0)+IF(C153=5,J153*Geometry!$K$23,0)</f>
        <v>0</v>
      </c>
      <c r="P153">
        <f>IF(C153=1,J153*Geometry!$G$24,0)+IF(C153=2,J153*Geometry!$H$24,0)+IF(C153=3,J153*Geometry!$I$24,0)+IF(C153=4,J153*Geometry!$J$24,0)+IF(C153=5,J153*Geometry!$K$24,0)</f>
        <v>0</v>
      </c>
    </row>
    <row r="154" spans="1:16">
      <c r="A154">
        <f t="shared" ref="A154:A208" si="28">A153+1</f>
        <v>148</v>
      </c>
      <c r="C154" s="7">
        <f t="shared" si="24"/>
        <v>3</v>
      </c>
      <c r="D154" s="69">
        <f>D153+Geometry!$C$15</f>
        <v>877.5</v>
      </c>
      <c r="E154" s="59">
        <f t="shared" si="25"/>
        <v>-671.25</v>
      </c>
      <c r="F154" s="4">
        <f>Geometry!$D$12*D154</f>
        <v>32.834454545454548</v>
      </c>
      <c r="G154" s="4">
        <f t="shared" si="22"/>
        <v>0</v>
      </c>
      <c r="H154" s="4">
        <f>IF(ABS(E154*E154)&lt;=Geometry!$E$10,SQRT(Geometry!$E$10-E154*E154),0)</f>
        <v>0</v>
      </c>
      <c r="I154" s="4">
        <f t="shared" si="23"/>
        <v>0</v>
      </c>
      <c r="J154">
        <f t="shared" si="19"/>
        <v>0</v>
      </c>
      <c r="K154" s="59">
        <f>IF(C154=1,J154*Geometry!$G$21,0)+IF(C154=2,J154*Geometry!$H$21,0)+IF(C154=3,J154*Geometry!$I$21,0)+IF(C154=4,J154*Geometry!$J$21,0)+IF(C154=5,J154*Geometry!$K$21,0)</f>
        <v>0</v>
      </c>
      <c r="L154" s="59">
        <f>IF(C154=1,J154*Geometry!$G$20,0)+IF(C154=2,J154*Geometry!$H$20,0)+IF(C154=3,J154*Geometry!$I$20,0)+IF(C154=4,J154*Geometry!$J$20,0)+IF(C154=5,J154*Geometry!$K$20,0)</f>
        <v>0</v>
      </c>
      <c r="M154" s="59">
        <f>IF(C154=1,J154*Geometry!$G$19,0)+IF(C154=2,J154*Geometry!$H$19,0)+IF(C154=3,J154*Geometry!$I$19,0)+IF(C154=4,J154*Geometry!$J$19,0)+IF(C154=5,J154*Geometry!$K$19,0)</f>
        <v>0</v>
      </c>
      <c r="N154" s="59">
        <f>IF(C154=1,J154*Geometry!$G$22,0)+IF(C154=2,J154*Geometry!$H$22,0)+IF(C154=3,J154*Geometry!$I$22,0)+IF(C154=4,J154*Geometry!$J$22,0)+IF(C154=5,J154*Geometry!$K$22,0)</f>
        <v>0</v>
      </c>
      <c r="O154" s="59">
        <f>IF(C154=1,J154*Geometry!$G$23,0)+IF(C154=2,J154*Geometry!$H$23,0)+IF(C154=3,J154*Geometry!$I$23,0)+IF(C154=4,J154*Geometry!$J$23,0)+IF(C154=5,J154*Geometry!$K$23,0)</f>
        <v>0</v>
      </c>
      <c r="P154">
        <f>IF(C154=1,J154*Geometry!$G$24,0)+IF(C154=2,J154*Geometry!$H$24,0)+IF(C154=3,J154*Geometry!$I$24,0)+IF(C154=4,J154*Geometry!$J$24,0)+IF(C154=5,J154*Geometry!$K$24,0)</f>
        <v>0</v>
      </c>
    </row>
    <row r="155" spans="1:16">
      <c r="A155">
        <f t="shared" si="28"/>
        <v>149</v>
      </c>
      <c r="C155" s="7">
        <f t="shared" si="24"/>
        <v>3</v>
      </c>
      <c r="D155" s="69">
        <f>D154+Geometry!$C$15</f>
        <v>882.5</v>
      </c>
      <c r="E155" s="59">
        <f t="shared" si="25"/>
        <v>-676.25</v>
      </c>
      <c r="F155" s="4">
        <f>Geometry!$D$12*D155</f>
        <v>33.021545454545461</v>
      </c>
      <c r="G155" s="4">
        <f t="shared" si="22"/>
        <v>0</v>
      </c>
      <c r="H155" s="4">
        <f>IF(ABS(E155*E155)&lt;=Geometry!$E$10,SQRT(Geometry!$E$10-E155*E155),0)</f>
        <v>0</v>
      </c>
      <c r="I155" s="4">
        <f t="shared" si="23"/>
        <v>0</v>
      </c>
      <c r="J155">
        <f t="shared" si="19"/>
        <v>0</v>
      </c>
      <c r="K155" s="59">
        <f>IF(C155=1,J155*Geometry!$G$21,0)+IF(C155=2,J155*Geometry!$H$21,0)+IF(C155=3,J155*Geometry!$I$21,0)+IF(C155=4,J155*Geometry!$J$21,0)+IF(C155=5,J155*Geometry!$K$21,0)</f>
        <v>0</v>
      </c>
      <c r="L155" s="59">
        <f>IF(C155=1,J155*Geometry!$G$20,0)+IF(C155=2,J155*Geometry!$H$20,0)+IF(C155=3,J155*Geometry!$I$20,0)+IF(C155=4,J155*Geometry!$J$20,0)+IF(C155=5,J155*Geometry!$K$20,0)</f>
        <v>0</v>
      </c>
      <c r="M155" s="59">
        <f>IF(C155=1,J155*Geometry!$G$19,0)+IF(C155=2,J155*Geometry!$H$19,0)+IF(C155=3,J155*Geometry!$I$19,0)+IF(C155=4,J155*Geometry!$J$19,0)+IF(C155=5,J155*Geometry!$K$19,0)</f>
        <v>0</v>
      </c>
      <c r="N155" s="59">
        <f>IF(C155=1,J155*Geometry!$G$22,0)+IF(C155=2,J155*Geometry!$H$22,0)+IF(C155=3,J155*Geometry!$I$22,0)+IF(C155=4,J155*Geometry!$J$22,0)+IF(C155=5,J155*Geometry!$K$22,0)</f>
        <v>0</v>
      </c>
      <c r="O155" s="59">
        <f>IF(C155=1,J155*Geometry!$G$23,0)+IF(C155=2,J155*Geometry!$H$23,0)+IF(C155=3,J155*Geometry!$I$23,0)+IF(C155=4,J155*Geometry!$J$23,0)+IF(C155=5,J155*Geometry!$K$23,0)</f>
        <v>0</v>
      </c>
      <c r="P155">
        <f>IF(C155=1,J155*Geometry!$G$24,0)+IF(C155=2,J155*Geometry!$H$24,0)+IF(C155=3,J155*Geometry!$I$24,0)+IF(C155=4,J155*Geometry!$J$24,0)+IF(C155=5,J155*Geometry!$K$24,0)</f>
        <v>0</v>
      </c>
    </row>
    <row r="156" spans="1:16">
      <c r="A156">
        <f t="shared" si="28"/>
        <v>150</v>
      </c>
      <c r="C156" s="7">
        <f t="shared" si="24"/>
        <v>3</v>
      </c>
      <c r="D156" s="69">
        <f>D155+Geometry!$C$15</f>
        <v>887.5</v>
      </c>
      <c r="E156" s="59">
        <f t="shared" si="25"/>
        <v>-681.25</v>
      </c>
      <c r="F156" s="4">
        <f>Geometry!$D$12*D156</f>
        <v>33.208636363636366</v>
      </c>
      <c r="G156" s="4">
        <f t="shared" si="22"/>
        <v>0</v>
      </c>
      <c r="H156" s="4">
        <f>IF(ABS(E156*E156)&lt;=Geometry!$E$10,SQRT(Geometry!$E$10-E156*E156),0)</f>
        <v>0</v>
      </c>
      <c r="I156" s="4">
        <f t="shared" si="23"/>
        <v>0</v>
      </c>
      <c r="J156">
        <f t="shared" si="19"/>
        <v>0</v>
      </c>
      <c r="K156" s="59">
        <f>IF(C156=1,J156*Geometry!$G$21,0)+IF(C156=2,J156*Geometry!$H$21,0)+IF(C156=3,J156*Geometry!$I$21,0)+IF(C156=4,J156*Geometry!$J$21,0)+IF(C156=5,J156*Geometry!$K$21,0)</f>
        <v>0</v>
      </c>
      <c r="L156" s="59">
        <f>IF(C156=1,J156*Geometry!$G$20,0)+IF(C156=2,J156*Geometry!$H$20,0)+IF(C156=3,J156*Geometry!$I$20,0)+IF(C156=4,J156*Geometry!$J$20,0)+IF(C156=5,J156*Geometry!$K$20,0)</f>
        <v>0</v>
      </c>
      <c r="M156" s="59">
        <f>IF(C156=1,J156*Geometry!$G$19,0)+IF(C156=2,J156*Geometry!$H$19,0)+IF(C156=3,J156*Geometry!$I$19,0)+IF(C156=4,J156*Geometry!$J$19,0)+IF(C156=5,J156*Geometry!$K$19,0)</f>
        <v>0</v>
      </c>
      <c r="N156" s="59">
        <f>IF(C156=1,J156*Geometry!$G$22,0)+IF(C156=2,J156*Geometry!$H$22,0)+IF(C156=3,J156*Geometry!$I$22,0)+IF(C156=4,J156*Geometry!$J$22,0)+IF(C156=5,J156*Geometry!$K$22,0)</f>
        <v>0</v>
      </c>
      <c r="O156" s="59">
        <f>IF(C156=1,J156*Geometry!$G$23,0)+IF(C156=2,J156*Geometry!$H$23,0)+IF(C156=3,J156*Geometry!$I$23,0)+IF(C156=4,J156*Geometry!$J$23,0)+IF(C156=5,J156*Geometry!$K$23,0)</f>
        <v>0</v>
      </c>
      <c r="P156">
        <f>IF(C156=1,J156*Geometry!$G$24,0)+IF(C156=2,J156*Geometry!$H$24,0)+IF(C156=3,J156*Geometry!$I$24,0)+IF(C156=4,J156*Geometry!$J$24,0)+IF(C156=5,J156*Geometry!$K$24,0)</f>
        <v>0</v>
      </c>
    </row>
    <row r="157" spans="1:16">
      <c r="A157">
        <f t="shared" si="28"/>
        <v>151</v>
      </c>
      <c r="C157" s="7">
        <f t="shared" si="24"/>
        <v>3</v>
      </c>
      <c r="D157" s="69">
        <f>D156+Geometry!$C$15</f>
        <v>892.5</v>
      </c>
      <c r="E157" s="59">
        <f t="shared" si="25"/>
        <v>-686.25</v>
      </c>
      <c r="F157" s="4">
        <f>Geometry!$D$12*D157</f>
        <v>33.395727272727278</v>
      </c>
      <c r="G157" s="4">
        <f t="shared" si="22"/>
        <v>0</v>
      </c>
      <c r="H157" s="4">
        <f>IF(ABS(E157*E157)&lt;=Geometry!$E$10,SQRT(Geometry!$E$10-E157*E157),0)</f>
        <v>0</v>
      </c>
      <c r="I157" s="4">
        <f t="shared" si="23"/>
        <v>0</v>
      </c>
      <c r="J157">
        <f t="shared" si="19"/>
        <v>0</v>
      </c>
      <c r="K157" s="59">
        <f>IF(C157=1,J157*Geometry!$G$21,0)+IF(C157=2,J157*Geometry!$H$21,0)+IF(C157=3,J157*Geometry!$I$21,0)+IF(C157=4,J157*Geometry!$J$21,0)+IF(C157=5,J157*Geometry!$K$21,0)</f>
        <v>0</v>
      </c>
      <c r="L157" s="59">
        <f>IF(C157=1,J157*Geometry!$G$20,0)+IF(C157=2,J157*Geometry!$H$20,0)+IF(C157=3,J157*Geometry!$I$20,0)+IF(C157=4,J157*Geometry!$J$20,0)+IF(C157=5,J157*Geometry!$K$20,0)</f>
        <v>0</v>
      </c>
      <c r="M157" s="59">
        <f>IF(C157=1,J157*Geometry!$G$19,0)+IF(C157=2,J157*Geometry!$H$19,0)+IF(C157=3,J157*Geometry!$I$19,0)+IF(C157=4,J157*Geometry!$J$19,0)+IF(C157=5,J157*Geometry!$K$19,0)</f>
        <v>0</v>
      </c>
      <c r="N157" s="59">
        <f>IF(C157=1,J157*Geometry!$G$22,0)+IF(C157=2,J157*Geometry!$H$22,0)+IF(C157=3,J157*Geometry!$I$22,0)+IF(C157=4,J157*Geometry!$J$22,0)+IF(C157=5,J157*Geometry!$K$22,0)</f>
        <v>0</v>
      </c>
      <c r="O157" s="59">
        <f>IF(C157=1,J157*Geometry!$G$23,0)+IF(C157=2,J157*Geometry!$H$23,0)+IF(C157=3,J157*Geometry!$I$23,0)+IF(C157=4,J157*Geometry!$J$23,0)+IF(C157=5,J157*Geometry!$K$23,0)</f>
        <v>0</v>
      </c>
      <c r="P157">
        <f>IF(C157=1,J157*Geometry!$G$24,0)+IF(C157=2,J157*Geometry!$H$24,0)+IF(C157=3,J157*Geometry!$I$24,0)+IF(C157=4,J157*Geometry!$J$24,0)+IF(C157=5,J157*Geometry!$K$24,0)</f>
        <v>0</v>
      </c>
    </row>
    <row r="158" spans="1:16">
      <c r="A158">
        <f t="shared" si="28"/>
        <v>152</v>
      </c>
      <c r="C158" s="7">
        <f t="shared" si="24"/>
        <v>3</v>
      </c>
      <c r="D158" s="69">
        <f>D157+Geometry!$C$15</f>
        <v>897.5</v>
      </c>
      <c r="E158" s="59">
        <f t="shared" si="25"/>
        <v>-691.25</v>
      </c>
      <c r="F158" s="4">
        <f>Geometry!$D$12*D158</f>
        <v>33.582818181818183</v>
      </c>
      <c r="G158" s="4">
        <f t="shared" si="22"/>
        <v>0</v>
      </c>
      <c r="H158" s="4">
        <f>IF(ABS(E158*E158)&lt;=Geometry!$E$10,SQRT(Geometry!$E$10-E158*E158),0)</f>
        <v>0</v>
      </c>
      <c r="I158" s="4">
        <f t="shared" si="23"/>
        <v>0</v>
      </c>
      <c r="J158">
        <f t="shared" si="19"/>
        <v>0</v>
      </c>
      <c r="K158" s="59">
        <f>IF(C158=1,J158*Geometry!$G$21,0)+IF(C158=2,J158*Geometry!$H$21,0)+IF(C158=3,J158*Geometry!$I$21,0)+IF(C158=4,J158*Geometry!$J$21,0)+IF(C158=5,J158*Geometry!$K$21,0)</f>
        <v>0</v>
      </c>
      <c r="L158" s="59">
        <f>IF(C158=1,J158*Geometry!$G$20,0)+IF(C158=2,J158*Geometry!$H$20,0)+IF(C158=3,J158*Geometry!$I$20,0)+IF(C158=4,J158*Geometry!$J$20,0)+IF(C158=5,J158*Geometry!$K$20,0)</f>
        <v>0</v>
      </c>
      <c r="M158" s="59">
        <f>IF(C158=1,J158*Geometry!$G$19,0)+IF(C158=2,J158*Geometry!$H$19,0)+IF(C158=3,J158*Geometry!$I$19,0)+IF(C158=4,J158*Geometry!$J$19,0)+IF(C158=5,J158*Geometry!$K$19,0)</f>
        <v>0</v>
      </c>
      <c r="N158" s="59">
        <f>IF(C158=1,J158*Geometry!$G$22,0)+IF(C158=2,J158*Geometry!$H$22,0)+IF(C158=3,J158*Geometry!$I$22,0)+IF(C158=4,J158*Geometry!$J$22,0)+IF(C158=5,J158*Geometry!$K$22,0)</f>
        <v>0</v>
      </c>
      <c r="O158" s="59">
        <f>IF(C158=1,J158*Geometry!$G$23,0)+IF(C158=2,J158*Geometry!$H$23,0)+IF(C158=3,J158*Geometry!$I$23,0)+IF(C158=4,J158*Geometry!$J$23,0)+IF(C158=5,J158*Geometry!$K$23,0)</f>
        <v>0</v>
      </c>
      <c r="P158">
        <f>IF(C158=1,J158*Geometry!$G$24,0)+IF(C158=2,J158*Geometry!$H$24,0)+IF(C158=3,J158*Geometry!$I$24,0)+IF(C158=4,J158*Geometry!$J$24,0)+IF(C158=5,J158*Geometry!$K$24,0)</f>
        <v>0</v>
      </c>
    </row>
    <row r="159" spans="1:16">
      <c r="A159">
        <f t="shared" si="28"/>
        <v>153</v>
      </c>
      <c r="C159" s="7">
        <f t="shared" si="24"/>
        <v>3</v>
      </c>
      <c r="D159" s="69">
        <f>D158+Geometry!$C$15</f>
        <v>902.5</v>
      </c>
      <c r="E159" s="59">
        <f t="shared" ref="E159:E190" si="29">E158-(D159-D158)</f>
        <v>-696.25</v>
      </c>
      <c r="F159" s="4">
        <f>Geometry!$D$12*D159</f>
        <v>33.769909090909096</v>
      </c>
      <c r="G159" s="4">
        <f t="shared" ref="G159:G190" si="30">IF(H159&gt;0,F159/9.8,0)</f>
        <v>0</v>
      </c>
      <c r="H159" s="4">
        <f>IF(ABS(E159*E159)&lt;=Geometry!$E$10,SQRT(Geometry!$E$10-E159*E159),0)</f>
        <v>0</v>
      </c>
      <c r="I159" s="4">
        <f t="shared" ref="I159:I190" si="31">IF(H159&gt;0,1,0)</f>
        <v>0</v>
      </c>
      <c r="J159">
        <f t="shared" ref="J159:J190" si="32">PI()*H159*H159</f>
        <v>0</v>
      </c>
      <c r="K159" s="59">
        <f>IF(C159=1,J159*Geometry!$G$21,0)+IF(C159=2,J159*Geometry!$H$21,0)+IF(C159=3,J159*Geometry!$I$21,0)+IF(C159=4,J159*Geometry!$J$21,0)+IF(C159=5,J159*Geometry!$K$21,0)</f>
        <v>0</v>
      </c>
      <c r="L159" s="59">
        <f>IF(C159=1,J159*Geometry!$G$20,0)+IF(C159=2,J159*Geometry!$H$20,0)+IF(C159=3,J159*Geometry!$I$20,0)+IF(C159=4,J159*Geometry!$J$20,0)+IF(C159=5,J159*Geometry!$K$20,0)</f>
        <v>0</v>
      </c>
      <c r="M159" s="59">
        <f>IF(C159=1,J159*Geometry!$G$19,0)+IF(C159=2,J159*Geometry!$H$19,0)+IF(C159=3,J159*Geometry!$I$19,0)+IF(C159=4,J159*Geometry!$J$19,0)+IF(C159=5,J159*Geometry!$K$19,0)</f>
        <v>0</v>
      </c>
      <c r="N159" s="59">
        <f>IF(C159=1,J159*Geometry!$G$22,0)+IF(C159=2,J159*Geometry!$H$22,0)+IF(C159=3,J159*Geometry!$I$22,0)+IF(C159=4,J159*Geometry!$J$22,0)+IF(C159=5,J159*Geometry!$K$22,0)</f>
        <v>0</v>
      </c>
      <c r="O159" s="59">
        <f>IF(C159=1,J159*Geometry!$G$23,0)+IF(C159=2,J159*Geometry!$H$23,0)+IF(C159=3,J159*Geometry!$I$23,0)+IF(C159=4,J159*Geometry!$J$23,0)+IF(C159=5,J159*Geometry!$K$23,0)</f>
        <v>0</v>
      </c>
      <c r="P159">
        <f>IF(C159=1,J159*Geometry!$G$24,0)+IF(C159=2,J159*Geometry!$H$24,0)+IF(C159=3,J159*Geometry!$I$24,0)+IF(C159=4,J159*Geometry!$J$24,0)+IF(C159=5,J159*Geometry!$K$24,0)</f>
        <v>0</v>
      </c>
    </row>
    <row r="160" spans="1:16">
      <c r="A160">
        <f t="shared" si="28"/>
        <v>154</v>
      </c>
      <c r="C160" s="7">
        <f t="shared" si="24"/>
        <v>3</v>
      </c>
      <c r="D160" s="69">
        <f>D159+Geometry!$C$15</f>
        <v>907.5</v>
      </c>
      <c r="E160" s="59">
        <f t="shared" si="29"/>
        <v>-701.25</v>
      </c>
      <c r="F160" s="4">
        <f>Geometry!$D$12*D160</f>
        <v>33.957000000000001</v>
      </c>
      <c r="G160" s="4">
        <f t="shared" si="30"/>
        <v>0</v>
      </c>
      <c r="H160" s="4">
        <f>IF(ABS(E160*E160)&lt;=Geometry!$E$10,SQRT(Geometry!$E$10-E160*E160),0)</f>
        <v>0</v>
      </c>
      <c r="I160" s="4">
        <f t="shared" si="31"/>
        <v>0</v>
      </c>
      <c r="J160">
        <f t="shared" si="32"/>
        <v>0</v>
      </c>
      <c r="K160" s="59">
        <f>IF(C160=1,J160*Geometry!$G$21,0)+IF(C160=2,J160*Geometry!$H$21,0)+IF(C160=3,J160*Geometry!$I$21,0)+IF(C160=4,J160*Geometry!$J$21,0)+IF(C160=5,J160*Geometry!$K$21,0)</f>
        <v>0</v>
      </c>
      <c r="L160" s="59">
        <f>IF(C160=1,J160*Geometry!$G$20,0)+IF(C160=2,J160*Geometry!$H$20,0)+IF(C160=3,J160*Geometry!$I$20,0)+IF(C160=4,J160*Geometry!$J$20,0)+IF(C160=5,J160*Geometry!$K$20,0)</f>
        <v>0</v>
      </c>
      <c r="M160" s="59">
        <f>IF(C160=1,J160*Geometry!$G$19,0)+IF(C160=2,J160*Geometry!$H$19,0)+IF(C160=3,J160*Geometry!$I$19,0)+IF(C160=4,J160*Geometry!$J$19,0)+IF(C160=5,J160*Geometry!$K$19,0)</f>
        <v>0</v>
      </c>
      <c r="N160" s="59">
        <f>IF(C160=1,J160*Geometry!$G$22,0)+IF(C160=2,J160*Geometry!$H$22,0)+IF(C160=3,J160*Geometry!$I$22,0)+IF(C160=4,J160*Geometry!$J$22,0)+IF(C160=5,J160*Geometry!$K$22,0)</f>
        <v>0</v>
      </c>
      <c r="O160" s="59">
        <f>IF(C160=1,J160*Geometry!$G$23,0)+IF(C160=2,J160*Geometry!$H$23,0)+IF(C160=3,J160*Geometry!$I$23,0)+IF(C160=4,J160*Geometry!$J$23,0)+IF(C160=5,J160*Geometry!$K$23,0)</f>
        <v>0</v>
      </c>
      <c r="P160">
        <f>IF(C160=1,J160*Geometry!$G$24,0)+IF(C160=2,J160*Geometry!$H$24,0)+IF(C160=3,J160*Geometry!$I$24,0)+IF(C160=4,J160*Geometry!$J$24,0)+IF(C160=5,J160*Geometry!$K$24,0)</f>
        <v>0</v>
      </c>
    </row>
    <row r="161" spans="1:16">
      <c r="A161">
        <f t="shared" si="28"/>
        <v>155</v>
      </c>
      <c r="C161" s="7">
        <f t="shared" si="24"/>
        <v>3</v>
      </c>
      <c r="D161" s="69">
        <f>D160+Geometry!$C$15</f>
        <v>912.5</v>
      </c>
      <c r="E161" s="59">
        <f t="shared" si="29"/>
        <v>-706.25</v>
      </c>
      <c r="F161" s="4">
        <f>Geometry!$D$12*D161</f>
        <v>34.144090909090913</v>
      </c>
      <c r="G161" s="4">
        <f t="shared" si="30"/>
        <v>0</v>
      </c>
      <c r="H161" s="4">
        <f>IF(ABS(E161*E161)&lt;=Geometry!$E$10,SQRT(Geometry!$E$10-E161*E161),0)</f>
        <v>0</v>
      </c>
      <c r="I161" s="4">
        <f t="shared" si="31"/>
        <v>0</v>
      </c>
      <c r="J161">
        <f t="shared" si="32"/>
        <v>0</v>
      </c>
      <c r="K161" s="59">
        <f>IF(C161=1,J161*Geometry!$G$21,0)+IF(C161=2,J161*Geometry!$H$21,0)+IF(C161=3,J161*Geometry!$I$21,0)+IF(C161=4,J161*Geometry!$J$21,0)+IF(C161=5,J161*Geometry!$K$21,0)</f>
        <v>0</v>
      </c>
      <c r="L161" s="59">
        <f>IF(C161=1,J161*Geometry!$G$20,0)+IF(C161=2,J161*Geometry!$H$20,0)+IF(C161=3,J161*Geometry!$I$20,0)+IF(C161=4,J161*Geometry!$J$20,0)+IF(C161=5,J161*Geometry!$K$20,0)</f>
        <v>0</v>
      </c>
      <c r="M161" s="59">
        <f>IF(C161=1,J161*Geometry!$G$19,0)+IF(C161=2,J161*Geometry!$H$19,0)+IF(C161=3,J161*Geometry!$I$19,0)+IF(C161=4,J161*Geometry!$J$19,0)+IF(C161=5,J161*Geometry!$K$19,0)</f>
        <v>0</v>
      </c>
      <c r="N161" s="59">
        <f>IF(C161=1,J161*Geometry!$G$22,0)+IF(C161=2,J161*Geometry!$H$22,0)+IF(C161=3,J161*Geometry!$I$22,0)+IF(C161=4,J161*Geometry!$J$22,0)+IF(C161=5,J161*Geometry!$K$22,0)</f>
        <v>0</v>
      </c>
      <c r="O161" s="59">
        <f>IF(C161=1,J161*Geometry!$G$23,0)+IF(C161=2,J161*Geometry!$H$23,0)+IF(C161=3,J161*Geometry!$I$23,0)+IF(C161=4,J161*Geometry!$J$23,0)+IF(C161=5,J161*Geometry!$K$23,0)</f>
        <v>0</v>
      </c>
      <c r="P161">
        <f>IF(C161=1,J161*Geometry!$G$24,0)+IF(C161=2,J161*Geometry!$H$24,0)+IF(C161=3,J161*Geometry!$I$24,0)+IF(C161=4,J161*Geometry!$J$24,0)+IF(C161=5,J161*Geometry!$K$24,0)</f>
        <v>0</v>
      </c>
    </row>
    <row r="162" spans="1:16">
      <c r="A162">
        <f t="shared" si="28"/>
        <v>156</v>
      </c>
      <c r="C162" s="7">
        <f t="shared" si="24"/>
        <v>3</v>
      </c>
      <c r="D162" s="69">
        <f>D161+Geometry!$C$15</f>
        <v>917.5</v>
      </c>
      <c r="E162" s="59">
        <f t="shared" si="29"/>
        <v>-711.25</v>
      </c>
      <c r="F162" s="4">
        <f>Geometry!$D$12*D162</f>
        <v>34.331181818181825</v>
      </c>
      <c r="G162" s="4">
        <f t="shared" si="30"/>
        <v>0</v>
      </c>
      <c r="H162" s="4">
        <f>IF(ABS(E162*E162)&lt;=Geometry!$E$10,SQRT(Geometry!$E$10-E162*E162),0)</f>
        <v>0</v>
      </c>
      <c r="I162" s="4">
        <f t="shared" si="31"/>
        <v>0</v>
      </c>
      <c r="J162">
        <f t="shared" si="32"/>
        <v>0</v>
      </c>
      <c r="K162" s="59">
        <f>IF(C162=1,J162*Geometry!$G$21,0)+IF(C162=2,J162*Geometry!$H$21,0)+IF(C162=3,J162*Geometry!$I$21,0)+IF(C162=4,J162*Geometry!$J$21,0)+IF(C162=5,J162*Geometry!$K$21,0)</f>
        <v>0</v>
      </c>
      <c r="L162" s="59">
        <f>IF(C162=1,J162*Geometry!$G$20,0)+IF(C162=2,J162*Geometry!$H$20,0)+IF(C162=3,J162*Geometry!$I$20,0)+IF(C162=4,J162*Geometry!$J$20,0)+IF(C162=5,J162*Geometry!$K$20,0)</f>
        <v>0</v>
      </c>
      <c r="M162" s="59">
        <f>IF(C162=1,J162*Geometry!$G$19,0)+IF(C162=2,J162*Geometry!$H$19,0)+IF(C162=3,J162*Geometry!$I$19,0)+IF(C162=4,J162*Geometry!$J$19,0)+IF(C162=5,J162*Geometry!$K$19,0)</f>
        <v>0</v>
      </c>
      <c r="N162" s="59">
        <f>IF(C162=1,J162*Geometry!$G$22,0)+IF(C162=2,J162*Geometry!$H$22,0)+IF(C162=3,J162*Geometry!$I$22,0)+IF(C162=4,J162*Geometry!$J$22,0)+IF(C162=5,J162*Geometry!$K$22,0)</f>
        <v>0</v>
      </c>
      <c r="O162" s="59">
        <f>IF(C162=1,J162*Geometry!$G$23,0)+IF(C162=2,J162*Geometry!$H$23,0)+IF(C162=3,J162*Geometry!$I$23,0)+IF(C162=4,J162*Geometry!$J$23,0)+IF(C162=5,J162*Geometry!$K$23,0)</f>
        <v>0</v>
      </c>
      <c r="P162">
        <f>IF(C162=1,J162*Geometry!$G$24,0)+IF(C162=2,J162*Geometry!$H$24,0)+IF(C162=3,J162*Geometry!$I$24,0)+IF(C162=4,J162*Geometry!$J$24,0)+IF(C162=5,J162*Geometry!$K$24,0)</f>
        <v>0</v>
      </c>
    </row>
    <row r="163" spans="1:16">
      <c r="A163">
        <f t="shared" si="28"/>
        <v>157</v>
      </c>
      <c r="C163" s="7">
        <f t="shared" si="24"/>
        <v>3</v>
      </c>
      <c r="D163" s="69">
        <f>D162+Geometry!$C$15</f>
        <v>922.5</v>
      </c>
      <c r="E163" s="59">
        <f t="shared" si="29"/>
        <v>-716.25</v>
      </c>
      <c r="F163" s="4">
        <f>Geometry!$D$12*D163</f>
        <v>34.518272727272731</v>
      </c>
      <c r="G163" s="4">
        <f t="shared" si="30"/>
        <v>0</v>
      </c>
      <c r="H163" s="4">
        <f>IF(ABS(E163*E163)&lt;=Geometry!$E$10,SQRT(Geometry!$E$10-E163*E163),0)</f>
        <v>0</v>
      </c>
      <c r="I163" s="4">
        <f t="shared" si="31"/>
        <v>0</v>
      </c>
      <c r="J163">
        <f t="shared" si="32"/>
        <v>0</v>
      </c>
      <c r="K163" s="59">
        <f>IF(C163=1,J163*Geometry!$G$21,0)+IF(C163=2,J163*Geometry!$H$21,0)+IF(C163=3,J163*Geometry!$I$21,0)+IF(C163=4,J163*Geometry!$J$21,0)+IF(C163=5,J163*Geometry!$K$21,0)</f>
        <v>0</v>
      </c>
      <c r="L163" s="59">
        <f>IF(C163=1,J163*Geometry!$G$20,0)+IF(C163=2,J163*Geometry!$H$20,0)+IF(C163=3,J163*Geometry!$I$20,0)+IF(C163=4,J163*Geometry!$J$20,0)+IF(C163=5,J163*Geometry!$K$20,0)</f>
        <v>0</v>
      </c>
      <c r="M163" s="59">
        <f>IF(C163=1,J163*Geometry!$G$19,0)+IF(C163=2,J163*Geometry!$H$19,0)+IF(C163=3,J163*Geometry!$I$19,0)+IF(C163=4,J163*Geometry!$J$19,0)+IF(C163=5,J163*Geometry!$K$19,0)</f>
        <v>0</v>
      </c>
      <c r="N163" s="59">
        <f>IF(C163=1,J163*Geometry!$G$22,0)+IF(C163=2,J163*Geometry!$H$22,0)+IF(C163=3,J163*Geometry!$I$22,0)+IF(C163=4,J163*Geometry!$J$22,0)+IF(C163=5,J163*Geometry!$K$22,0)</f>
        <v>0</v>
      </c>
      <c r="O163" s="59">
        <f>IF(C163=1,J163*Geometry!$G$23,0)+IF(C163=2,J163*Geometry!$H$23,0)+IF(C163=3,J163*Geometry!$I$23,0)+IF(C163=4,J163*Geometry!$J$23,0)+IF(C163=5,J163*Geometry!$K$23,0)</f>
        <v>0</v>
      </c>
      <c r="P163">
        <f>IF(C163=1,J163*Geometry!$G$24,0)+IF(C163=2,J163*Geometry!$H$24,0)+IF(C163=3,J163*Geometry!$I$24,0)+IF(C163=4,J163*Geometry!$J$24,0)+IF(C163=5,J163*Geometry!$K$24,0)</f>
        <v>0</v>
      </c>
    </row>
    <row r="164" spans="1:16">
      <c r="A164">
        <f t="shared" si="28"/>
        <v>158</v>
      </c>
      <c r="C164" s="7">
        <f t="shared" si="24"/>
        <v>3</v>
      </c>
      <c r="D164" s="69">
        <f>D163+Geometry!$C$15</f>
        <v>927.5</v>
      </c>
      <c r="E164" s="59">
        <f t="shared" si="29"/>
        <v>-721.25</v>
      </c>
      <c r="F164" s="4">
        <f>Geometry!$D$12*D164</f>
        <v>34.705363636363643</v>
      </c>
      <c r="G164" s="4">
        <f t="shared" si="30"/>
        <v>0</v>
      </c>
      <c r="H164" s="4">
        <f>IF(ABS(E164*E164)&lt;=Geometry!$E$10,SQRT(Geometry!$E$10-E164*E164),0)</f>
        <v>0</v>
      </c>
      <c r="I164" s="4">
        <f t="shared" si="31"/>
        <v>0</v>
      </c>
      <c r="J164">
        <f t="shared" si="32"/>
        <v>0</v>
      </c>
      <c r="K164" s="59">
        <f>IF(C164=1,J164*Geometry!$G$21,0)+IF(C164=2,J164*Geometry!$H$21,0)+IF(C164=3,J164*Geometry!$I$21,0)+IF(C164=4,J164*Geometry!$J$21,0)+IF(C164=5,J164*Geometry!$K$21,0)</f>
        <v>0</v>
      </c>
      <c r="L164" s="59">
        <f>IF(C164=1,J164*Geometry!$G$20,0)+IF(C164=2,J164*Geometry!$H$20,0)+IF(C164=3,J164*Geometry!$I$20,0)+IF(C164=4,J164*Geometry!$J$20,0)+IF(C164=5,J164*Geometry!$K$20,0)</f>
        <v>0</v>
      </c>
      <c r="M164" s="59">
        <f>IF(C164=1,J164*Geometry!$G$19,0)+IF(C164=2,J164*Geometry!$H$19,0)+IF(C164=3,J164*Geometry!$I$19,0)+IF(C164=4,J164*Geometry!$J$19,0)+IF(C164=5,J164*Geometry!$K$19,0)</f>
        <v>0</v>
      </c>
      <c r="N164" s="59">
        <f>IF(C164=1,J164*Geometry!$G$22,0)+IF(C164=2,J164*Geometry!$H$22,0)+IF(C164=3,J164*Geometry!$I$22,0)+IF(C164=4,J164*Geometry!$J$22,0)+IF(C164=5,J164*Geometry!$K$22,0)</f>
        <v>0</v>
      </c>
      <c r="O164" s="59">
        <f>IF(C164=1,J164*Geometry!$G$23,0)+IF(C164=2,J164*Geometry!$H$23,0)+IF(C164=3,J164*Geometry!$I$23,0)+IF(C164=4,J164*Geometry!$J$23,0)+IF(C164=5,J164*Geometry!$K$23,0)</f>
        <v>0</v>
      </c>
      <c r="P164">
        <f>IF(C164=1,J164*Geometry!$G$24,0)+IF(C164=2,J164*Geometry!$H$24,0)+IF(C164=3,J164*Geometry!$I$24,0)+IF(C164=4,J164*Geometry!$J$24,0)+IF(C164=5,J164*Geometry!$K$24,0)</f>
        <v>0</v>
      </c>
    </row>
    <row r="165" spans="1:16">
      <c r="A165">
        <f t="shared" si="28"/>
        <v>159</v>
      </c>
      <c r="C165" s="7">
        <f t="shared" si="24"/>
        <v>3</v>
      </c>
      <c r="D165" s="69">
        <f>D164+Geometry!$C$15</f>
        <v>932.5</v>
      </c>
      <c r="E165" s="59">
        <f t="shared" si="29"/>
        <v>-726.25</v>
      </c>
      <c r="F165" s="4">
        <f>Geometry!$D$12*D165</f>
        <v>34.892454545454548</v>
      </c>
      <c r="G165" s="4">
        <f t="shared" si="30"/>
        <v>0</v>
      </c>
      <c r="H165" s="4">
        <f>IF(ABS(E165*E165)&lt;=Geometry!$E$10,SQRT(Geometry!$E$10-E165*E165),0)</f>
        <v>0</v>
      </c>
      <c r="I165" s="4">
        <f t="shared" si="31"/>
        <v>0</v>
      </c>
      <c r="J165">
        <f t="shared" si="32"/>
        <v>0</v>
      </c>
      <c r="K165" s="59">
        <f>IF(C165=1,J165*Geometry!$G$21,0)+IF(C165=2,J165*Geometry!$H$21,0)+IF(C165=3,J165*Geometry!$I$21,0)+IF(C165=4,J165*Geometry!$J$21,0)+IF(C165=5,J165*Geometry!$K$21,0)</f>
        <v>0</v>
      </c>
      <c r="L165" s="59">
        <f>IF(C165=1,J165*Geometry!$G$20,0)+IF(C165=2,J165*Geometry!$H$20,0)+IF(C165=3,J165*Geometry!$I$20,0)+IF(C165=4,J165*Geometry!$J$20,0)+IF(C165=5,J165*Geometry!$K$20,0)</f>
        <v>0</v>
      </c>
      <c r="M165" s="59">
        <f>IF(C165=1,J165*Geometry!$G$19,0)+IF(C165=2,J165*Geometry!$H$19,0)+IF(C165=3,J165*Geometry!$I$19,0)+IF(C165=4,J165*Geometry!$J$19,0)+IF(C165=5,J165*Geometry!$K$19,0)</f>
        <v>0</v>
      </c>
      <c r="N165" s="59">
        <f>IF(C165=1,J165*Geometry!$G$22,0)+IF(C165=2,J165*Geometry!$H$22,0)+IF(C165=3,J165*Geometry!$I$22,0)+IF(C165=4,J165*Geometry!$J$22,0)+IF(C165=5,J165*Geometry!$K$22,0)</f>
        <v>0</v>
      </c>
      <c r="O165" s="59">
        <f>IF(C165=1,J165*Geometry!$G$23,0)+IF(C165=2,J165*Geometry!$H$23,0)+IF(C165=3,J165*Geometry!$I$23,0)+IF(C165=4,J165*Geometry!$J$23,0)+IF(C165=5,J165*Geometry!$K$23,0)</f>
        <v>0</v>
      </c>
      <c r="P165">
        <f>IF(C165=1,J165*Geometry!$G$24,0)+IF(C165=2,J165*Geometry!$H$24,0)+IF(C165=3,J165*Geometry!$I$24,0)+IF(C165=4,J165*Geometry!$J$24,0)+IF(C165=5,J165*Geometry!$K$24,0)</f>
        <v>0</v>
      </c>
    </row>
    <row r="166" spans="1:16">
      <c r="A166">
        <f t="shared" si="28"/>
        <v>160</v>
      </c>
      <c r="C166" s="7">
        <f t="shared" si="24"/>
        <v>3</v>
      </c>
      <c r="D166" s="69">
        <f>D165+Geometry!$C$15</f>
        <v>937.5</v>
      </c>
      <c r="E166" s="59">
        <f t="shared" si="29"/>
        <v>-731.25</v>
      </c>
      <c r="F166" s="4">
        <f>Geometry!$D$12*D166</f>
        <v>35.07954545454546</v>
      </c>
      <c r="G166" s="4">
        <f t="shared" si="30"/>
        <v>0</v>
      </c>
      <c r="H166" s="4">
        <f>IF(ABS(E166*E166)&lt;=Geometry!$E$10,SQRT(Geometry!$E$10-E166*E166),0)</f>
        <v>0</v>
      </c>
      <c r="I166" s="4">
        <f t="shared" si="31"/>
        <v>0</v>
      </c>
      <c r="J166">
        <f t="shared" si="32"/>
        <v>0</v>
      </c>
      <c r="K166" s="59">
        <f>IF(C166=1,J166*Geometry!$G$21,0)+IF(C166=2,J166*Geometry!$H$21,0)+IF(C166=3,J166*Geometry!$I$21,0)+IF(C166=4,J166*Geometry!$J$21,0)+IF(C166=5,J166*Geometry!$K$21,0)</f>
        <v>0</v>
      </c>
      <c r="L166" s="59">
        <f>IF(C166=1,J166*Geometry!$G$20,0)+IF(C166=2,J166*Geometry!$H$20,0)+IF(C166=3,J166*Geometry!$I$20,0)+IF(C166=4,J166*Geometry!$J$20,0)+IF(C166=5,J166*Geometry!$K$20,0)</f>
        <v>0</v>
      </c>
      <c r="M166" s="59">
        <f>IF(C166=1,J166*Geometry!$G$19,0)+IF(C166=2,J166*Geometry!$H$19,0)+IF(C166=3,J166*Geometry!$I$19,0)+IF(C166=4,J166*Geometry!$J$19,0)+IF(C166=5,J166*Geometry!$K$19,0)</f>
        <v>0</v>
      </c>
      <c r="N166" s="59">
        <f>IF(C166=1,J166*Geometry!$G$22,0)+IF(C166=2,J166*Geometry!$H$22,0)+IF(C166=3,J166*Geometry!$I$22,0)+IF(C166=4,J166*Geometry!$J$22,0)+IF(C166=5,J166*Geometry!$K$22,0)</f>
        <v>0</v>
      </c>
      <c r="O166" s="59">
        <f>IF(C166=1,J166*Geometry!$G$23,0)+IF(C166=2,J166*Geometry!$H$23,0)+IF(C166=3,J166*Geometry!$I$23,0)+IF(C166=4,J166*Geometry!$J$23,0)+IF(C166=5,J166*Geometry!$K$23,0)</f>
        <v>0</v>
      </c>
      <c r="P166">
        <f>IF(C166=1,J166*Geometry!$G$24,0)+IF(C166=2,J166*Geometry!$H$24,0)+IF(C166=3,J166*Geometry!$I$24,0)+IF(C166=4,J166*Geometry!$J$24,0)+IF(C166=5,J166*Geometry!$K$24,0)</f>
        <v>0</v>
      </c>
    </row>
    <row r="167" spans="1:16">
      <c r="A167">
        <f t="shared" si="28"/>
        <v>161</v>
      </c>
      <c r="C167" s="7">
        <f t="shared" ref="C167:C199" si="33">IF(A167&gt;$C$1-$C$4,3,IF(A167&lt;2,3,IF(A167&lt;=$C$2-$C$3,1,IF(A167&gt;$C$2,1,2))))</f>
        <v>3</v>
      </c>
      <c r="D167" s="69">
        <f>D166+Geometry!$C$15</f>
        <v>942.5</v>
      </c>
      <c r="E167" s="59">
        <f t="shared" si="29"/>
        <v>-736.25</v>
      </c>
      <c r="F167" s="4">
        <f>Geometry!$D$12*D167</f>
        <v>35.266636363636366</v>
      </c>
      <c r="G167" s="4">
        <f t="shared" si="30"/>
        <v>0</v>
      </c>
      <c r="H167" s="4">
        <f>IF(ABS(E167*E167)&lt;=Geometry!$E$10,SQRT(Geometry!$E$10-E167*E167),0)</f>
        <v>0</v>
      </c>
      <c r="I167" s="4">
        <f t="shared" si="31"/>
        <v>0</v>
      </c>
      <c r="J167">
        <f t="shared" si="32"/>
        <v>0</v>
      </c>
      <c r="K167" s="59">
        <f>IF(C167=1,J167*Geometry!$G$21,0)+IF(C167=2,J167*Geometry!$H$21,0)+IF(C167=3,J167*Geometry!$I$21,0)+IF(C167=4,J167*Geometry!$J$21,0)+IF(C167=5,J167*Geometry!$K$21,0)</f>
        <v>0</v>
      </c>
      <c r="L167" s="59">
        <f>IF(C167=1,J167*Geometry!$G$20,0)+IF(C167=2,J167*Geometry!$H$20,0)+IF(C167=3,J167*Geometry!$I$20,0)+IF(C167=4,J167*Geometry!$J$20,0)+IF(C167=5,J167*Geometry!$K$20,0)</f>
        <v>0</v>
      </c>
      <c r="M167" s="59">
        <f>IF(C167=1,J167*Geometry!$G$19,0)+IF(C167=2,J167*Geometry!$H$19,0)+IF(C167=3,J167*Geometry!$I$19,0)+IF(C167=4,J167*Geometry!$J$19,0)+IF(C167=5,J167*Geometry!$K$19,0)</f>
        <v>0</v>
      </c>
      <c r="N167" s="59">
        <f>IF(C167=1,J167*Geometry!$G$22,0)+IF(C167=2,J167*Geometry!$H$22,0)+IF(C167=3,J167*Geometry!$I$22,0)+IF(C167=4,J167*Geometry!$J$22,0)+IF(C167=5,J167*Geometry!$K$22,0)</f>
        <v>0</v>
      </c>
      <c r="O167" s="59">
        <f>IF(C167=1,J167*Geometry!$G$23,0)+IF(C167=2,J167*Geometry!$H$23,0)+IF(C167=3,J167*Geometry!$I$23,0)+IF(C167=4,J167*Geometry!$J$23,0)+IF(C167=5,J167*Geometry!$K$23,0)</f>
        <v>0</v>
      </c>
      <c r="P167">
        <f>IF(C167=1,J167*Geometry!$G$24,0)+IF(C167=2,J167*Geometry!$H$24,0)+IF(C167=3,J167*Geometry!$I$24,0)+IF(C167=4,J167*Geometry!$J$24,0)+IF(C167=5,J167*Geometry!$K$24,0)</f>
        <v>0</v>
      </c>
    </row>
    <row r="168" spans="1:16">
      <c r="A168">
        <f t="shared" si="28"/>
        <v>162</v>
      </c>
      <c r="C168" s="7">
        <f t="shared" si="33"/>
        <v>3</v>
      </c>
      <c r="D168" s="69">
        <f>D167+Geometry!$C$15</f>
        <v>947.5</v>
      </c>
      <c r="E168" s="59">
        <f t="shared" si="29"/>
        <v>-741.25</v>
      </c>
      <c r="F168" s="4">
        <f>Geometry!$D$12*D168</f>
        <v>35.453727272727278</v>
      </c>
      <c r="G168" s="4">
        <f t="shared" si="30"/>
        <v>0</v>
      </c>
      <c r="H168" s="4">
        <f>IF(ABS(E168*E168)&lt;=Geometry!$E$10,SQRT(Geometry!$E$10-E168*E168),0)</f>
        <v>0</v>
      </c>
      <c r="I168" s="4">
        <f t="shared" si="31"/>
        <v>0</v>
      </c>
      <c r="J168">
        <f t="shared" si="32"/>
        <v>0</v>
      </c>
      <c r="K168" s="59">
        <f>IF(C168=1,J168*Geometry!$G$21,0)+IF(C168=2,J168*Geometry!$H$21,0)+IF(C168=3,J168*Geometry!$I$21,0)+IF(C168=4,J168*Geometry!$J$21,0)+IF(C168=5,J168*Geometry!$K$21,0)</f>
        <v>0</v>
      </c>
      <c r="L168" s="59">
        <f>IF(C168=1,J168*Geometry!$G$20,0)+IF(C168=2,J168*Geometry!$H$20,0)+IF(C168=3,J168*Geometry!$I$20,0)+IF(C168=4,J168*Geometry!$J$20,0)+IF(C168=5,J168*Geometry!$K$20,0)</f>
        <v>0</v>
      </c>
      <c r="M168" s="59">
        <f>IF(C168=1,J168*Geometry!$G$19,0)+IF(C168=2,J168*Geometry!$H$19,0)+IF(C168=3,J168*Geometry!$I$19,0)+IF(C168=4,J168*Geometry!$J$19,0)+IF(C168=5,J168*Geometry!$K$19,0)</f>
        <v>0</v>
      </c>
      <c r="N168" s="59">
        <f>IF(C168=1,J168*Geometry!$G$22,0)+IF(C168=2,J168*Geometry!$H$22,0)+IF(C168=3,J168*Geometry!$I$22,0)+IF(C168=4,J168*Geometry!$J$22,0)+IF(C168=5,J168*Geometry!$K$22,0)</f>
        <v>0</v>
      </c>
      <c r="O168" s="59">
        <f>IF(C168=1,J168*Geometry!$G$23,0)+IF(C168=2,J168*Geometry!$H$23,0)+IF(C168=3,J168*Geometry!$I$23,0)+IF(C168=4,J168*Geometry!$J$23,0)+IF(C168=5,J168*Geometry!$K$23,0)</f>
        <v>0</v>
      </c>
      <c r="P168">
        <f>IF(C168=1,J168*Geometry!$G$24,0)+IF(C168=2,J168*Geometry!$H$24,0)+IF(C168=3,J168*Geometry!$I$24,0)+IF(C168=4,J168*Geometry!$J$24,0)+IF(C168=5,J168*Geometry!$K$24,0)</f>
        <v>0</v>
      </c>
    </row>
    <row r="169" spans="1:16">
      <c r="A169">
        <f t="shared" si="28"/>
        <v>163</v>
      </c>
      <c r="C169" s="7">
        <f t="shared" si="33"/>
        <v>3</v>
      </c>
      <c r="D169" s="69">
        <f>D168+Geometry!$C$15</f>
        <v>952.5</v>
      </c>
      <c r="E169" s="59">
        <f t="shared" si="29"/>
        <v>-746.25</v>
      </c>
      <c r="F169" s="4">
        <f>Geometry!$D$12*D169</f>
        <v>35.640818181818183</v>
      </c>
      <c r="G169" s="4">
        <f t="shared" si="30"/>
        <v>0</v>
      </c>
      <c r="H169" s="4">
        <f>IF(ABS(E169*E169)&lt;=Geometry!$E$10,SQRT(Geometry!$E$10-E169*E169),0)</f>
        <v>0</v>
      </c>
      <c r="I169" s="4">
        <f t="shared" si="31"/>
        <v>0</v>
      </c>
      <c r="J169">
        <f t="shared" si="32"/>
        <v>0</v>
      </c>
      <c r="K169" s="59">
        <f>IF(C169=1,J169*Geometry!$G$21,0)+IF(C169=2,J169*Geometry!$H$21,0)+IF(C169=3,J169*Geometry!$I$21,0)+IF(C169=4,J169*Geometry!$J$21,0)+IF(C169=5,J169*Geometry!$K$21,0)</f>
        <v>0</v>
      </c>
      <c r="L169" s="59">
        <f>IF(C169=1,J169*Geometry!$G$20,0)+IF(C169=2,J169*Geometry!$H$20,0)+IF(C169=3,J169*Geometry!$I$20,0)+IF(C169=4,J169*Geometry!$J$20,0)+IF(C169=5,J169*Geometry!$K$20,0)</f>
        <v>0</v>
      </c>
      <c r="M169" s="59">
        <f>IF(C169=1,J169*Geometry!$G$19,0)+IF(C169=2,J169*Geometry!$H$19,0)+IF(C169=3,J169*Geometry!$I$19,0)+IF(C169=4,J169*Geometry!$J$19,0)+IF(C169=5,J169*Geometry!$K$19,0)</f>
        <v>0</v>
      </c>
      <c r="N169" s="59">
        <f>IF(C169=1,J169*Geometry!$G$22,0)+IF(C169=2,J169*Geometry!$H$22,0)+IF(C169=3,J169*Geometry!$I$22,0)+IF(C169=4,J169*Geometry!$J$22,0)+IF(C169=5,J169*Geometry!$K$22,0)</f>
        <v>0</v>
      </c>
      <c r="O169" s="59">
        <f>IF(C169=1,J169*Geometry!$G$23,0)+IF(C169=2,J169*Geometry!$H$23,0)+IF(C169=3,J169*Geometry!$I$23,0)+IF(C169=4,J169*Geometry!$J$23,0)+IF(C169=5,J169*Geometry!$K$23,0)</f>
        <v>0</v>
      </c>
      <c r="P169">
        <f>IF(C169=1,J169*Geometry!$G$24,0)+IF(C169=2,J169*Geometry!$H$24,0)+IF(C169=3,J169*Geometry!$I$24,0)+IF(C169=4,J169*Geometry!$J$24,0)+IF(C169=5,J169*Geometry!$K$24,0)</f>
        <v>0</v>
      </c>
    </row>
    <row r="170" spans="1:16">
      <c r="A170">
        <f t="shared" si="28"/>
        <v>164</v>
      </c>
      <c r="C170" s="7">
        <f t="shared" si="33"/>
        <v>3</v>
      </c>
      <c r="D170" s="69">
        <f>D169+Geometry!$C$15</f>
        <v>957.5</v>
      </c>
      <c r="E170" s="59">
        <f t="shared" si="29"/>
        <v>-751.25</v>
      </c>
      <c r="F170" s="4">
        <f>Geometry!$D$12*D170</f>
        <v>35.827909090909095</v>
      </c>
      <c r="G170" s="4">
        <f t="shared" si="30"/>
        <v>0</v>
      </c>
      <c r="H170" s="4">
        <f>IF(ABS(E170*E170)&lt;=Geometry!$E$10,SQRT(Geometry!$E$10-E170*E170),0)</f>
        <v>0</v>
      </c>
      <c r="I170" s="4">
        <f t="shared" si="31"/>
        <v>0</v>
      </c>
      <c r="J170">
        <f t="shared" si="32"/>
        <v>0</v>
      </c>
      <c r="K170" s="59">
        <f>IF(C170=1,J170*Geometry!$G$21,0)+IF(C170=2,J170*Geometry!$H$21,0)+IF(C170=3,J170*Geometry!$I$21,0)+IF(C170=4,J170*Geometry!$J$21,0)+IF(C170=5,J170*Geometry!$K$21,0)</f>
        <v>0</v>
      </c>
      <c r="L170" s="59">
        <f>IF(C170=1,J170*Geometry!$G$20,0)+IF(C170=2,J170*Geometry!$H$20,0)+IF(C170=3,J170*Geometry!$I$20,0)+IF(C170=4,J170*Geometry!$J$20,0)+IF(C170=5,J170*Geometry!$K$20,0)</f>
        <v>0</v>
      </c>
      <c r="M170" s="59">
        <f>IF(C170=1,J170*Geometry!$G$19,0)+IF(C170=2,J170*Geometry!$H$19,0)+IF(C170=3,J170*Geometry!$I$19,0)+IF(C170=4,J170*Geometry!$J$19,0)+IF(C170=5,J170*Geometry!$K$19,0)</f>
        <v>0</v>
      </c>
      <c r="N170" s="59">
        <f>IF(C170=1,J170*Geometry!$G$22,0)+IF(C170=2,J170*Geometry!$H$22,0)+IF(C170=3,J170*Geometry!$I$22,0)+IF(C170=4,J170*Geometry!$J$22,0)+IF(C170=5,J170*Geometry!$K$22,0)</f>
        <v>0</v>
      </c>
      <c r="O170" s="59">
        <f>IF(C170=1,J170*Geometry!$G$23,0)+IF(C170=2,J170*Geometry!$H$23,0)+IF(C170=3,J170*Geometry!$I$23,0)+IF(C170=4,J170*Geometry!$J$23,0)+IF(C170=5,J170*Geometry!$K$23,0)</f>
        <v>0</v>
      </c>
      <c r="P170">
        <f>IF(C170=1,J170*Geometry!$G$24,0)+IF(C170=2,J170*Geometry!$H$24,0)+IF(C170=3,J170*Geometry!$I$24,0)+IF(C170=4,J170*Geometry!$J$24,0)+IF(C170=5,J170*Geometry!$K$24,0)</f>
        <v>0</v>
      </c>
    </row>
    <row r="171" spans="1:16">
      <c r="A171">
        <f t="shared" si="28"/>
        <v>165</v>
      </c>
      <c r="C171" s="7">
        <f t="shared" si="33"/>
        <v>3</v>
      </c>
      <c r="D171" s="69">
        <f>D170+Geometry!$C$15</f>
        <v>962.5</v>
      </c>
      <c r="E171" s="59">
        <f t="shared" si="29"/>
        <v>-756.25</v>
      </c>
      <c r="F171" s="4">
        <f>Geometry!$D$12*D171</f>
        <v>36.015000000000008</v>
      </c>
      <c r="G171" s="4">
        <f t="shared" si="30"/>
        <v>0</v>
      </c>
      <c r="H171" s="4">
        <f>IF(ABS(E171*E171)&lt;=Geometry!$E$10,SQRT(Geometry!$E$10-E171*E171),0)</f>
        <v>0</v>
      </c>
      <c r="I171" s="4">
        <f t="shared" si="31"/>
        <v>0</v>
      </c>
      <c r="J171">
        <f t="shared" si="32"/>
        <v>0</v>
      </c>
      <c r="K171" s="59">
        <f>IF(C171=1,J171*Geometry!$G$21,0)+IF(C171=2,J171*Geometry!$H$21,0)+IF(C171=3,J171*Geometry!$I$21,0)+IF(C171=4,J171*Geometry!$J$21,0)+IF(C171=5,J171*Geometry!$K$21,0)</f>
        <v>0</v>
      </c>
      <c r="L171" s="59">
        <f>IF(C171=1,J171*Geometry!$G$20,0)+IF(C171=2,J171*Geometry!$H$20,0)+IF(C171=3,J171*Geometry!$I$20,0)+IF(C171=4,J171*Geometry!$J$20,0)+IF(C171=5,J171*Geometry!$K$20,0)</f>
        <v>0</v>
      </c>
      <c r="M171" s="59">
        <f>IF(C171=1,J171*Geometry!$G$19,0)+IF(C171=2,J171*Geometry!$H$19,0)+IF(C171=3,J171*Geometry!$I$19,0)+IF(C171=4,J171*Geometry!$J$19,0)+IF(C171=5,J171*Geometry!$K$19,0)</f>
        <v>0</v>
      </c>
      <c r="N171" s="59">
        <f>IF(C171=1,J171*Geometry!$G$22,0)+IF(C171=2,J171*Geometry!$H$22,0)+IF(C171=3,J171*Geometry!$I$22,0)+IF(C171=4,J171*Geometry!$J$22,0)+IF(C171=5,J171*Geometry!$K$22,0)</f>
        <v>0</v>
      </c>
      <c r="O171" s="59">
        <f>IF(C171=1,J171*Geometry!$G$23,0)+IF(C171=2,J171*Geometry!$H$23,0)+IF(C171=3,J171*Geometry!$I$23,0)+IF(C171=4,J171*Geometry!$J$23,0)+IF(C171=5,J171*Geometry!$K$23,0)</f>
        <v>0</v>
      </c>
      <c r="P171">
        <f>IF(C171=1,J171*Geometry!$G$24,0)+IF(C171=2,J171*Geometry!$H$24,0)+IF(C171=3,J171*Geometry!$I$24,0)+IF(C171=4,J171*Geometry!$J$24,0)+IF(C171=5,J171*Geometry!$K$24,0)</f>
        <v>0</v>
      </c>
    </row>
    <row r="172" spans="1:16">
      <c r="A172">
        <f t="shared" si="28"/>
        <v>166</v>
      </c>
      <c r="C172" s="7">
        <f t="shared" si="33"/>
        <v>3</v>
      </c>
      <c r="D172" s="69">
        <f>D171+Geometry!$C$15</f>
        <v>967.5</v>
      </c>
      <c r="E172" s="59">
        <f t="shared" si="29"/>
        <v>-761.25</v>
      </c>
      <c r="F172" s="4">
        <f>Geometry!$D$12*D172</f>
        <v>36.202090909090913</v>
      </c>
      <c r="G172" s="4">
        <f t="shared" si="30"/>
        <v>0</v>
      </c>
      <c r="H172" s="4">
        <f>IF(ABS(E172*E172)&lt;=Geometry!$E$10,SQRT(Geometry!$E$10-E172*E172),0)</f>
        <v>0</v>
      </c>
      <c r="I172" s="4">
        <f t="shared" si="31"/>
        <v>0</v>
      </c>
      <c r="J172">
        <f t="shared" si="32"/>
        <v>0</v>
      </c>
      <c r="K172" s="59">
        <f>IF(C172=1,J172*Geometry!$G$21,0)+IF(C172=2,J172*Geometry!$H$21,0)+IF(C172=3,J172*Geometry!$I$21,0)+IF(C172=4,J172*Geometry!$J$21,0)+IF(C172=5,J172*Geometry!$K$21,0)</f>
        <v>0</v>
      </c>
      <c r="L172" s="59">
        <f>IF(C172=1,J172*Geometry!$G$20,0)+IF(C172=2,J172*Geometry!$H$20,0)+IF(C172=3,J172*Geometry!$I$20,0)+IF(C172=4,J172*Geometry!$J$20,0)+IF(C172=5,J172*Geometry!$K$20,0)</f>
        <v>0</v>
      </c>
      <c r="M172" s="59">
        <f>IF(C172=1,J172*Geometry!$G$19,0)+IF(C172=2,J172*Geometry!$H$19,0)+IF(C172=3,J172*Geometry!$I$19,0)+IF(C172=4,J172*Geometry!$J$19,0)+IF(C172=5,J172*Geometry!$K$19,0)</f>
        <v>0</v>
      </c>
      <c r="N172" s="59">
        <f>IF(C172=1,J172*Geometry!$G$22,0)+IF(C172=2,J172*Geometry!$H$22,0)+IF(C172=3,J172*Geometry!$I$22,0)+IF(C172=4,J172*Geometry!$J$22,0)+IF(C172=5,J172*Geometry!$K$22,0)</f>
        <v>0</v>
      </c>
      <c r="O172" s="59">
        <f>IF(C172=1,J172*Geometry!$G$23,0)+IF(C172=2,J172*Geometry!$H$23,0)+IF(C172=3,J172*Geometry!$I$23,0)+IF(C172=4,J172*Geometry!$J$23,0)+IF(C172=5,J172*Geometry!$K$23,0)</f>
        <v>0</v>
      </c>
      <c r="P172">
        <f>IF(C172=1,J172*Geometry!$G$24,0)+IF(C172=2,J172*Geometry!$H$24,0)+IF(C172=3,J172*Geometry!$I$24,0)+IF(C172=4,J172*Geometry!$J$24,0)+IF(C172=5,J172*Geometry!$K$24,0)</f>
        <v>0</v>
      </c>
    </row>
    <row r="173" spans="1:16">
      <c r="A173">
        <f t="shared" si="28"/>
        <v>167</v>
      </c>
      <c r="C173" s="7">
        <f t="shared" si="33"/>
        <v>3</v>
      </c>
      <c r="D173" s="69">
        <f>D172+Geometry!$C$15</f>
        <v>972.5</v>
      </c>
      <c r="E173" s="59">
        <f t="shared" si="29"/>
        <v>-766.25</v>
      </c>
      <c r="F173" s="4">
        <f>Geometry!$D$12*D173</f>
        <v>36.389181818181825</v>
      </c>
      <c r="G173" s="4">
        <f t="shared" si="30"/>
        <v>0</v>
      </c>
      <c r="H173" s="4">
        <f>IF(ABS(E173*E173)&lt;=Geometry!$E$10,SQRT(Geometry!$E$10-E173*E173),0)</f>
        <v>0</v>
      </c>
      <c r="I173" s="4">
        <f t="shared" si="31"/>
        <v>0</v>
      </c>
      <c r="J173">
        <f t="shared" si="32"/>
        <v>0</v>
      </c>
      <c r="K173" s="59">
        <f>IF(C173=1,J173*Geometry!$G$21,0)+IF(C173=2,J173*Geometry!$H$21,0)+IF(C173=3,J173*Geometry!$I$21,0)+IF(C173=4,J173*Geometry!$J$21,0)+IF(C173=5,J173*Geometry!$K$21,0)</f>
        <v>0</v>
      </c>
      <c r="L173" s="59">
        <f>IF(C173=1,J173*Geometry!$G$20,0)+IF(C173=2,J173*Geometry!$H$20,0)+IF(C173=3,J173*Geometry!$I$20,0)+IF(C173=4,J173*Geometry!$J$20,0)+IF(C173=5,J173*Geometry!$K$20,0)</f>
        <v>0</v>
      </c>
      <c r="M173" s="59">
        <f>IF(C173=1,J173*Geometry!$G$19,0)+IF(C173=2,J173*Geometry!$H$19,0)+IF(C173=3,J173*Geometry!$I$19,0)+IF(C173=4,J173*Geometry!$J$19,0)+IF(C173=5,J173*Geometry!$K$19,0)</f>
        <v>0</v>
      </c>
      <c r="N173" s="59">
        <f>IF(C173=1,J173*Geometry!$G$22,0)+IF(C173=2,J173*Geometry!$H$22,0)+IF(C173=3,J173*Geometry!$I$22,0)+IF(C173=4,J173*Geometry!$J$22,0)+IF(C173=5,J173*Geometry!$K$22,0)</f>
        <v>0</v>
      </c>
      <c r="O173" s="59">
        <f>IF(C173=1,J173*Geometry!$G$23,0)+IF(C173=2,J173*Geometry!$H$23,0)+IF(C173=3,J173*Geometry!$I$23,0)+IF(C173=4,J173*Geometry!$J$23,0)+IF(C173=5,J173*Geometry!$K$23,0)</f>
        <v>0</v>
      </c>
      <c r="P173">
        <f>IF(C173=1,J173*Geometry!$G$24,0)+IF(C173=2,J173*Geometry!$H$24,0)+IF(C173=3,J173*Geometry!$I$24,0)+IF(C173=4,J173*Geometry!$J$24,0)+IF(C173=5,J173*Geometry!$K$24,0)</f>
        <v>0</v>
      </c>
    </row>
    <row r="174" spans="1:16">
      <c r="A174">
        <f t="shared" si="28"/>
        <v>168</v>
      </c>
      <c r="C174" s="7">
        <f t="shared" si="33"/>
        <v>3</v>
      </c>
      <c r="D174" s="69">
        <f>D173+Geometry!$C$15</f>
        <v>977.5</v>
      </c>
      <c r="E174" s="59">
        <f t="shared" si="29"/>
        <v>-771.25</v>
      </c>
      <c r="F174" s="4">
        <f>Geometry!$D$12*D174</f>
        <v>36.57627272727273</v>
      </c>
      <c r="G174" s="4">
        <f t="shared" si="30"/>
        <v>0</v>
      </c>
      <c r="H174" s="4">
        <f>IF(ABS(E174*E174)&lt;=Geometry!$E$10,SQRT(Geometry!$E$10-E174*E174),0)</f>
        <v>0</v>
      </c>
      <c r="I174" s="4">
        <f t="shared" si="31"/>
        <v>0</v>
      </c>
      <c r="J174">
        <f t="shared" si="32"/>
        <v>0</v>
      </c>
      <c r="K174" s="59">
        <f>IF(C174=1,J174*Geometry!$G$21,0)+IF(C174=2,J174*Geometry!$H$21,0)+IF(C174=3,J174*Geometry!$I$21,0)+IF(C174=4,J174*Geometry!$J$21,0)+IF(C174=5,J174*Geometry!$K$21,0)</f>
        <v>0</v>
      </c>
      <c r="L174" s="59">
        <f>IF(C174=1,J174*Geometry!$G$20,0)+IF(C174=2,J174*Geometry!$H$20,0)+IF(C174=3,J174*Geometry!$I$20,0)+IF(C174=4,J174*Geometry!$J$20,0)+IF(C174=5,J174*Geometry!$K$20,0)</f>
        <v>0</v>
      </c>
      <c r="M174" s="59">
        <f>IF(C174=1,J174*Geometry!$G$19,0)+IF(C174=2,J174*Geometry!$H$19,0)+IF(C174=3,J174*Geometry!$I$19,0)+IF(C174=4,J174*Geometry!$J$19,0)+IF(C174=5,J174*Geometry!$K$19,0)</f>
        <v>0</v>
      </c>
      <c r="N174" s="59">
        <f>IF(C174=1,J174*Geometry!$G$22,0)+IF(C174=2,J174*Geometry!$H$22,0)+IF(C174=3,J174*Geometry!$I$22,0)+IF(C174=4,J174*Geometry!$J$22,0)+IF(C174=5,J174*Geometry!$K$22,0)</f>
        <v>0</v>
      </c>
      <c r="O174" s="59">
        <f>IF(C174=1,J174*Geometry!$G$23,0)+IF(C174=2,J174*Geometry!$H$23,0)+IF(C174=3,J174*Geometry!$I$23,0)+IF(C174=4,J174*Geometry!$J$23,0)+IF(C174=5,J174*Geometry!$K$23,0)</f>
        <v>0</v>
      </c>
      <c r="P174">
        <f>IF(C174=1,J174*Geometry!$G$24,0)+IF(C174=2,J174*Geometry!$H$24,0)+IF(C174=3,J174*Geometry!$I$24,0)+IF(C174=4,J174*Geometry!$J$24,0)+IF(C174=5,J174*Geometry!$K$24,0)</f>
        <v>0</v>
      </c>
    </row>
    <row r="175" spans="1:16">
      <c r="A175">
        <f t="shared" si="28"/>
        <v>169</v>
      </c>
      <c r="C175" s="7">
        <f t="shared" si="33"/>
        <v>3</v>
      </c>
      <c r="D175" s="69">
        <f>D174+Geometry!$C$15</f>
        <v>982.5</v>
      </c>
      <c r="E175" s="59">
        <f t="shared" si="29"/>
        <v>-776.25</v>
      </c>
      <c r="F175" s="4">
        <f>Geometry!$D$12*D175</f>
        <v>36.763363636363643</v>
      </c>
      <c r="G175" s="4">
        <f t="shared" si="30"/>
        <v>0</v>
      </c>
      <c r="H175" s="4">
        <f>IF(ABS(E175*E175)&lt;=Geometry!$E$10,SQRT(Geometry!$E$10-E175*E175),0)</f>
        <v>0</v>
      </c>
      <c r="I175" s="4">
        <f t="shared" si="31"/>
        <v>0</v>
      </c>
      <c r="J175">
        <f t="shared" si="32"/>
        <v>0</v>
      </c>
      <c r="K175" s="59">
        <f>IF(C175=1,J175*Geometry!$G$21,0)+IF(C175=2,J175*Geometry!$H$21,0)+IF(C175=3,J175*Geometry!$I$21,0)+IF(C175=4,J175*Geometry!$J$21,0)+IF(C175=5,J175*Geometry!$K$21,0)</f>
        <v>0</v>
      </c>
      <c r="L175" s="59">
        <f>IF(C175=1,J175*Geometry!$G$20,0)+IF(C175=2,J175*Geometry!$H$20,0)+IF(C175=3,J175*Geometry!$I$20,0)+IF(C175=4,J175*Geometry!$J$20,0)+IF(C175=5,J175*Geometry!$K$20,0)</f>
        <v>0</v>
      </c>
      <c r="M175" s="59">
        <f>IF(C175=1,J175*Geometry!$G$19,0)+IF(C175=2,J175*Geometry!$H$19,0)+IF(C175=3,J175*Geometry!$I$19,0)+IF(C175=4,J175*Geometry!$J$19,0)+IF(C175=5,J175*Geometry!$K$19,0)</f>
        <v>0</v>
      </c>
      <c r="N175" s="59">
        <f>IF(C175=1,J175*Geometry!$G$22,0)+IF(C175=2,J175*Geometry!$H$22,0)+IF(C175=3,J175*Geometry!$I$22,0)+IF(C175=4,J175*Geometry!$J$22,0)+IF(C175=5,J175*Geometry!$K$22,0)</f>
        <v>0</v>
      </c>
      <c r="O175" s="59">
        <f>IF(C175=1,J175*Geometry!$G$23,0)+IF(C175=2,J175*Geometry!$H$23,0)+IF(C175=3,J175*Geometry!$I$23,0)+IF(C175=4,J175*Geometry!$J$23,0)+IF(C175=5,J175*Geometry!$K$23,0)</f>
        <v>0</v>
      </c>
      <c r="P175">
        <f>IF(C175=1,J175*Geometry!$G$24,0)+IF(C175=2,J175*Geometry!$H$24,0)+IF(C175=3,J175*Geometry!$I$24,0)+IF(C175=4,J175*Geometry!$J$24,0)+IF(C175=5,J175*Geometry!$K$24,0)</f>
        <v>0</v>
      </c>
    </row>
    <row r="176" spans="1:16">
      <c r="A176">
        <f t="shared" si="28"/>
        <v>170</v>
      </c>
      <c r="C176" s="7">
        <f t="shared" si="33"/>
        <v>3</v>
      </c>
      <c r="D176" s="69">
        <f>D175+Geometry!$C$15</f>
        <v>987.5</v>
      </c>
      <c r="E176" s="59">
        <f t="shared" si="29"/>
        <v>-781.25</v>
      </c>
      <c r="F176" s="4">
        <f>Geometry!$D$12*D176</f>
        <v>36.950454545454548</v>
      </c>
      <c r="G176" s="4">
        <f t="shared" si="30"/>
        <v>0</v>
      </c>
      <c r="H176" s="4">
        <f>IF(ABS(E176*E176)&lt;=Geometry!$E$10,SQRT(Geometry!$E$10-E176*E176),0)</f>
        <v>0</v>
      </c>
      <c r="I176" s="4">
        <f t="shared" si="31"/>
        <v>0</v>
      </c>
      <c r="J176">
        <f t="shared" si="32"/>
        <v>0</v>
      </c>
      <c r="K176" s="59">
        <f>IF(C176=1,J176*Geometry!$G$21,0)+IF(C176=2,J176*Geometry!$H$21,0)+IF(C176=3,J176*Geometry!$I$21,0)+IF(C176=4,J176*Geometry!$J$21,0)+IF(C176=5,J176*Geometry!$K$21,0)</f>
        <v>0</v>
      </c>
      <c r="L176" s="59">
        <f>IF(C176=1,J176*Geometry!$G$20,0)+IF(C176=2,J176*Geometry!$H$20,0)+IF(C176=3,J176*Geometry!$I$20,0)+IF(C176=4,J176*Geometry!$J$20,0)+IF(C176=5,J176*Geometry!$K$20,0)</f>
        <v>0</v>
      </c>
      <c r="M176" s="59">
        <f>IF(C176=1,J176*Geometry!$G$19,0)+IF(C176=2,J176*Geometry!$H$19,0)+IF(C176=3,J176*Geometry!$I$19,0)+IF(C176=4,J176*Geometry!$J$19,0)+IF(C176=5,J176*Geometry!$K$19,0)</f>
        <v>0</v>
      </c>
      <c r="N176" s="59">
        <f>IF(C176=1,J176*Geometry!$G$22,0)+IF(C176=2,J176*Geometry!$H$22,0)+IF(C176=3,J176*Geometry!$I$22,0)+IF(C176=4,J176*Geometry!$J$22,0)+IF(C176=5,J176*Geometry!$K$22,0)</f>
        <v>0</v>
      </c>
      <c r="O176" s="59">
        <f>IF(C176=1,J176*Geometry!$G$23,0)+IF(C176=2,J176*Geometry!$H$23,0)+IF(C176=3,J176*Geometry!$I$23,0)+IF(C176=4,J176*Geometry!$J$23,0)+IF(C176=5,J176*Geometry!$K$23,0)</f>
        <v>0</v>
      </c>
      <c r="P176">
        <f>IF(C176=1,J176*Geometry!$G$24,0)+IF(C176=2,J176*Geometry!$H$24,0)+IF(C176=3,J176*Geometry!$I$24,0)+IF(C176=4,J176*Geometry!$J$24,0)+IF(C176=5,J176*Geometry!$K$24,0)</f>
        <v>0</v>
      </c>
    </row>
    <row r="177" spans="1:16">
      <c r="A177">
        <f t="shared" si="28"/>
        <v>171</v>
      </c>
      <c r="C177" s="7">
        <f t="shared" si="33"/>
        <v>3</v>
      </c>
      <c r="D177" s="69">
        <f>D176+Geometry!$C$15</f>
        <v>992.5</v>
      </c>
      <c r="E177" s="59">
        <f t="shared" si="29"/>
        <v>-786.25</v>
      </c>
      <c r="F177" s="4">
        <f>Geometry!$D$12*D177</f>
        <v>37.13754545454546</v>
      </c>
      <c r="G177" s="4">
        <f t="shared" si="30"/>
        <v>0</v>
      </c>
      <c r="H177" s="4">
        <f>IF(ABS(E177*E177)&lt;=Geometry!$E$10,SQRT(Geometry!$E$10-E177*E177),0)</f>
        <v>0</v>
      </c>
      <c r="I177" s="4">
        <f t="shared" si="31"/>
        <v>0</v>
      </c>
      <c r="J177">
        <f t="shared" si="32"/>
        <v>0</v>
      </c>
      <c r="K177" s="59">
        <f>IF(C177=1,J177*Geometry!$G$21,0)+IF(C177=2,J177*Geometry!$H$21,0)+IF(C177=3,J177*Geometry!$I$21,0)+IF(C177=4,J177*Geometry!$J$21,0)+IF(C177=5,J177*Geometry!$K$21,0)</f>
        <v>0</v>
      </c>
      <c r="L177" s="59">
        <f>IF(C177=1,J177*Geometry!$G$20,0)+IF(C177=2,J177*Geometry!$H$20,0)+IF(C177=3,J177*Geometry!$I$20,0)+IF(C177=4,J177*Geometry!$J$20,0)+IF(C177=5,J177*Geometry!$K$20,0)</f>
        <v>0</v>
      </c>
      <c r="M177" s="59">
        <f>IF(C177=1,J177*Geometry!$G$19,0)+IF(C177=2,J177*Geometry!$H$19,0)+IF(C177=3,J177*Geometry!$I$19,0)+IF(C177=4,J177*Geometry!$J$19,0)+IF(C177=5,J177*Geometry!$K$19,0)</f>
        <v>0</v>
      </c>
      <c r="N177" s="59">
        <f>IF(C177=1,J177*Geometry!$G$22,0)+IF(C177=2,J177*Geometry!$H$22,0)+IF(C177=3,J177*Geometry!$I$22,0)+IF(C177=4,J177*Geometry!$J$22,0)+IF(C177=5,J177*Geometry!$K$22,0)</f>
        <v>0</v>
      </c>
      <c r="O177" s="59">
        <f>IF(C177=1,J177*Geometry!$G$23,0)+IF(C177=2,J177*Geometry!$H$23,0)+IF(C177=3,J177*Geometry!$I$23,0)+IF(C177=4,J177*Geometry!$J$23,0)+IF(C177=5,J177*Geometry!$K$23,0)</f>
        <v>0</v>
      </c>
      <c r="P177">
        <f>IF(C177=1,J177*Geometry!$G$24,0)+IF(C177=2,J177*Geometry!$H$24,0)+IF(C177=3,J177*Geometry!$I$24,0)+IF(C177=4,J177*Geometry!$J$24,0)+IF(C177=5,J177*Geometry!$K$24,0)</f>
        <v>0</v>
      </c>
    </row>
    <row r="178" spans="1:16">
      <c r="A178">
        <f t="shared" si="28"/>
        <v>172</v>
      </c>
      <c r="C178" s="7">
        <f t="shared" si="33"/>
        <v>3</v>
      </c>
      <c r="D178" s="69">
        <f>D177+Geometry!$C$15</f>
        <v>997.5</v>
      </c>
      <c r="E178" s="59">
        <f t="shared" si="29"/>
        <v>-791.25</v>
      </c>
      <c r="F178" s="4">
        <f>Geometry!$D$12*D178</f>
        <v>37.324636363636365</v>
      </c>
      <c r="G178" s="4">
        <f t="shared" si="30"/>
        <v>0</v>
      </c>
      <c r="H178" s="4">
        <f>IF(ABS(E178*E178)&lt;=Geometry!$E$10,SQRT(Geometry!$E$10-E178*E178),0)</f>
        <v>0</v>
      </c>
      <c r="I178" s="4">
        <f t="shared" si="31"/>
        <v>0</v>
      </c>
      <c r="J178">
        <f t="shared" si="32"/>
        <v>0</v>
      </c>
      <c r="K178" s="59">
        <f>IF(C178=1,J178*Geometry!$G$21,0)+IF(C178=2,J178*Geometry!$H$21,0)+IF(C178=3,J178*Geometry!$I$21,0)+IF(C178=4,J178*Geometry!$J$21,0)+IF(C178=5,J178*Geometry!$K$21,0)</f>
        <v>0</v>
      </c>
      <c r="L178" s="59">
        <f>IF(C178=1,J178*Geometry!$G$20,0)+IF(C178=2,J178*Geometry!$H$20,0)+IF(C178=3,J178*Geometry!$I$20,0)+IF(C178=4,J178*Geometry!$J$20,0)+IF(C178=5,J178*Geometry!$K$20,0)</f>
        <v>0</v>
      </c>
      <c r="M178" s="59">
        <f>IF(C178=1,J178*Geometry!$G$19,0)+IF(C178=2,J178*Geometry!$H$19,0)+IF(C178=3,J178*Geometry!$I$19,0)+IF(C178=4,J178*Geometry!$J$19,0)+IF(C178=5,J178*Geometry!$K$19,0)</f>
        <v>0</v>
      </c>
      <c r="N178" s="59">
        <f>IF(C178=1,J178*Geometry!$G$22,0)+IF(C178=2,J178*Geometry!$H$22,0)+IF(C178=3,J178*Geometry!$I$22,0)+IF(C178=4,J178*Geometry!$J$22,0)+IF(C178=5,J178*Geometry!$K$22,0)</f>
        <v>0</v>
      </c>
      <c r="O178" s="59">
        <f>IF(C178=1,J178*Geometry!$G$23,0)+IF(C178=2,J178*Geometry!$H$23,0)+IF(C178=3,J178*Geometry!$I$23,0)+IF(C178=4,J178*Geometry!$J$23,0)+IF(C178=5,J178*Geometry!$K$23,0)</f>
        <v>0</v>
      </c>
      <c r="P178">
        <f>IF(C178=1,J178*Geometry!$G$24,0)+IF(C178=2,J178*Geometry!$H$24,0)+IF(C178=3,J178*Geometry!$I$24,0)+IF(C178=4,J178*Geometry!$J$24,0)+IF(C178=5,J178*Geometry!$K$24,0)</f>
        <v>0</v>
      </c>
    </row>
    <row r="179" spans="1:16">
      <c r="A179">
        <f t="shared" si="28"/>
        <v>173</v>
      </c>
      <c r="C179" s="7">
        <f t="shared" si="33"/>
        <v>3</v>
      </c>
      <c r="D179" s="69">
        <f>D178+Geometry!$C$15</f>
        <v>1002.5</v>
      </c>
      <c r="E179" s="59">
        <f t="shared" si="29"/>
        <v>-796.25</v>
      </c>
      <c r="F179" s="4">
        <f>Geometry!$D$12*D179</f>
        <v>37.511727272727278</v>
      </c>
      <c r="G179" s="4">
        <f t="shared" si="30"/>
        <v>0</v>
      </c>
      <c r="H179" s="4">
        <f>IF(ABS(E179*E179)&lt;=Geometry!$E$10,SQRT(Geometry!$E$10-E179*E179),0)</f>
        <v>0</v>
      </c>
      <c r="I179" s="4">
        <f t="shared" si="31"/>
        <v>0</v>
      </c>
      <c r="J179">
        <f t="shared" si="32"/>
        <v>0</v>
      </c>
      <c r="K179" s="59">
        <f>IF(C179=1,J179*Geometry!$G$21,0)+IF(C179=2,J179*Geometry!$H$21,0)+IF(C179=3,J179*Geometry!$I$21,0)+IF(C179=4,J179*Geometry!$J$21,0)+IF(C179=5,J179*Geometry!$K$21,0)</f>
        <v>0</v>
      </c>
      <c r="L179" s="59">
        <f>IF(C179=1,J179*Geometry!$G$20,0)+IF(C179=2,J179*Geometry!$H$20,0)+IF(C179=3,J179*Geometry!$I$20,0)+IF(C179=4,J179*Geometry!$J$20,0)+IF(C179=5,J179*Geometry!$K$20,0)</f>
        <v>0</v>
      </c>
      <c r="M179" s="59">
        <f>IF(C179=1,J179*Geometry!$G$19,0)+IF(C179=2,J179*Geometry!$H$19,0)+IF(C179=3,J179*Geometry!$I$19,0)+IF(C179=4,J179*Geometry!$J$19,0)+IF(C179=5,J179*Geometry!$K$19,0)</f>
        <v>0</v>
      </c>
      <c r="N179" s="59">
        <f>IF(C179=1,J179*Geometry!$G$22,0)+IF(C179=2,J179*Geometry!$H$22,0)+IF(C179=3,J179*Geometry!$I$22,0)+IF(C179=4,J179*Geometry!$J$22,0)+IF(C179=5,J179*Geometry!$K$22,0)</f>
        <v>0</v>
      </c>
      <c r="O179" s="59">
        <f>IF(C179=1,J179*Geometry!$G$23,0)+IF(C179=2,J179*Geometry!$H$23,0)+IF(C179=3,J179*Geometry!$I$23,0)+IF(C179=4,J179*Geometry!$J$23,0)+IF(C179=5,J179*Geometry!$K$23,0)</f>
        <v>0</v>
      </c>
      <c r="P179">
        <f>IF(C179=1,J179*Geometry!$G$24,0)+IF(C179=2,J179*Geometry!$H$24,0)+IF(C179=3,J179*Geometry!$I$24,0)+IF(C179=4,J179*Geometry!$J$24,0)+IF(C179=5,J179*Geometry!$K$24,0)</f>
        <v>0</v>
      </c>
    </row>
    <row r="180" spans="1:16">
      <c r="A180">
        <f t="shared" si="28"/>
        <v>174</v>
      </c>
      <c r="C180" s="7">
        <f t="shared" si="33"/>
        <v>3</v>
      </c>
      <c r="D180" s="69">
        <f>D179+Geometry!$C$15</f>
        <v>1007.5</v>
      </c>
      <c r="E180" s="59">
        <f t="shared" si="29"/>
        <v>-801.25</v>
      </c>
      <c r="F180" s="4">
        <f>Geometry!$D$12*D180</f>
        <v>37.698818181818183</v>
      </c>
      <c r="G180" s="4">
        <f t="shared" si="30"/>
        <v>0</v>
      </c>
      <c r="H180" s="4">
        <f>IF(ABS(E180*E180)&lt;=Geometry!$E$10,SQRT(Geometry!$E$10-E180*E180),0)</f>
        <v>0</v>
      </c>
      <c r="I180" s="4">
        <f t="shared" si="31"/>
        <v>0</v>
      </c>
      <c r="J180">
        <f t="shared" si="32"/>
        <v>0</v>
      </c>
      <c r="K180" s="59">
        <f>IF(C180=1,J180*Geometry!$G$21,0)+IF(C180=2,J180*Geometry!$H$21,0)+IF(C180=3,J180*Geometry!$I$21,0)+IF(C180=4,J180*Geometry!$J$21,0)+IF(C180=5,J180*Geometry!$K$21,0)</f>
        <v>0</v>
      </c>
      <c r="L180" s="59">
        <f>IF(C180=1,J180*Geometry!$G$20,0)+IF(C180=2,J180*Geometry!$H$20,0)+IF(C180=3,J180*Geometry!$I$20,0)+IF(C180=4,J180*Geometry!$J$20,0)+IF(C180=5,J180*Geometry!$K$20,0)</f>
        <v>0</v>
      </c>
      <c r="M180" s="59">
        <f>IF(C180=1,J180*Geometry!$G$19,0)+IF(C180=2,J180*Geometry!$H$19,0)+IF(C180=3,J180*Geometry!$I$19,0)+IF(C180=4,J180*Geometry!$J$19,0)+IF(C180=5,J180*Geometry!$K$19,0)</f>
        <v>0</v>
      </c>
      <c r="N180" s="59">
        <f>IF(C180=1,J180*Geometry!$G$22,0)+IF(C180=2,J180*Geometry!$H$22,0)+IF(C180=3,J180*Geometry!$I$22,0)+IF(C180=4,J180*Geometry!$J$22,0)+IF(C180=5,J180*Geometry!$K$22,0)</f>
        <v>0</v>
      </c>
      <c r="O180" s="59">
        <f>IF(C180=1,J180*Geometry!$G$23,0)+IF(C180=2,J180*Geometry!$H$23,0)+IF(C180=3,J180*Geometry!$I$23,0)+IF(C180=4,J180*Geometry!$J$23,0)+IF(C180=5,J180*Geometry!$K$23,0)</f>
        <v>0</v>
      </c>
      <c r="P180">
        <f>IF(C180=1,J180*Geometry!$G$24,0)+IF(C180=2,J180*Geometry!$H$24,0)+IF(C180=3,J180*Geometry!$I$24,0)+IF(C180=4,J180*Geometry!$J$24,0)+IF(C180=5,J180*Geometry!$K$24,0)</f>
        <v>0</v>
      </c>
    </row>
    <row r="181" spans="1:16">
      <c r="A181">
        <f t="shared" si="28"/>
        <v>175</v>
      </c>
      <c r="C181" s="7">
        <f t="shared" si="33"/>
        <v>3</v>
      </c>
      <c r="D181" s="69">
        <f>D180+Geometry!$C$15</f>
        <v>1012.5</v>
      </c>
      <c r="E181" s="59">
        <f t="shared" si="29"/>
        <v>-806.25</v>
      </c>
      <c r="F181" s="4">
        <f>Geometry!$D$12*D181</f>
        <v>37.885909090909095</v>
      </c>
      <c r="G181" s="4">
        <f t="shared" si="30"/>
        <v>0</v>
      </c>
      <c r="H181" s="4">
        <f>IF(ABS(E181*E181)&lt;=Geometry!$E$10,SQRT(Geometry!$E$10-E181*E181),0)</f>
        <v>0</v>
      </c>
      <c r="I181" s="4">
        <f t="shared" si="31"/>
        <v>0</v>
      </c>
      <c r="J181">
        <f t="shared" si="32"/>
        <v>0</v>
      </c>
      <c r="K181" s="59">
        <f>IF(C181=1,J181*Geometry!$G$21,0)+IF(C181=2,J181*Geometry!$H$21,0)+IF(C181=3,J181*Geometry!$I$21,0)+IF(C181=4,J181*Geometry!$J$21,0)+IF(C181=5,J181*Geometry!$K$21,0)</f>
        <v>0</v>
      </c>
      <c r="L181" s="59">
        <f>IF(C181=1,J181*Geometry!$G$20,0)+IF(C181=2,J181*Geometry!$H$20,0)+IF(C181=3,J181*Geometry!$I$20,0)+IF(C181=4,J181*Geometry!$J$20,0)+IF(C181=5,J181*Geometry!$K$20,0)</f>
        <v>0</v>
      </c>
      <c r="M181" s="59">
        <f>IF(C181=1,J181*Geometry!$G$19,0)+IF(C181=2,J181*Geometry!$H$19,0)+IF(C181=3,J181*Geometry!$I$19,0)+IF(C181=4,J181*Geometry!$J$19,0)+IF(C181=5,J181*Geometry!$K$19,0)</f>
        <v>0</v>
      </c>
      <c r="N181" s="59">
        <f>IF(C181=1,J181*Geometry!$G$22,0)+IF(C181=2,J181*Geometry!$H$22,0)+IF(C181=3,J181*Geometry!$I$22,0)+IF(C181=4,J181*Geometry!$J$22,0)+IF(C181=5,J181*Geometry!$K$22,0)</f>
        <v>0</v>
      </c>
      <c r="O181" s="59">
        <f>IF(C181=1,J181*Geometry!$G$23,0)+IF(C181=2,J181*Geometry!$H$23,0)+IF(C181=3,J181*Geometry!$I$23,0)+IF(C181=4,J181*Geometry!$J$23,0)+IF(C181=5,J181*Geometry!$K$23,0)</f>
        <v>0</v>
      </c>
      <c r="P181">
        <f>IF(C181=1,J181*Geometry!$G$24,0)+IF(C181=2,J181*Geometry!$H$24,0)+IF(C181=3,J181*Geometry!$I$24,0)+IF(C181=4,J181*Geometry!$J$24,0)+IF(C181=5,J181*Geometry!$K$24,0)</f>
        <v>0</v>
      </c>
    </row>
    <row r="182" spans="1:16">
      <c r="A182">
        <f t="shared" si="28"/>
        <v>176</v>
      </c>
      <c r="C182" s="7">
        <f t="shared" si="33"/>
        <v>3</v>
      </c>
      <c r="D182" s="69">
        <f>D181+Geometry!$C$15</f>
        <v>1017.5</v>
      </c>
      <c r="E182" s="59">
        <f t="shared" si="29"/>
        <v>-811.25</v>
      </c>
      <c r="F182" s="4">
        <f>Geometry!$D$12*D182</f>
        <v>38.073000000000008</v>
      </c>
      <c r="G182" s="4">
        <f t="shared" si="30"/>
        <v>0</v>
      </c>
      <c r="H182" s="4">
        <f>IF(ABS(E182*E182)&lt;=Geometry!$E$10,SQRT(Geometry!$E$10-E182*E182),0)</f>
        <v>0</v>
      </c>
      <c r="I182" s="4">
        <f t="shared" si="31"/>
        <v>0</v>
      </c>
      <c r="J182">
        <f t="shared" si="32"/>
        <v>0</v>
      </c>
      <c r="K182" s="59">
        <f>IF(C182=1,J182*Geometry!$G$21,0)+IF(C182=2,J182*Geometry!$H$21,0)+IF(C182=3,J182*Geometry!$I$21,0)+IF(C182=4,J182*Geometry!$J$21,0)+IF(C182=5,J182*Geometry!$K$21,0)</f>
        <v>0</v>
      </c>
      <c r="L182" s="59">
        <f>IF(C182=1,J182*Geometry!$G$20,0)+IF(C182=2,J182*Geometry!$H$20,0)+IF(C182=3,J182*Geometry!$I$20,0)+IF(C182=4,J182*Geometry!$J$20,0)+IF(C182=5,J182*Geometry!$K$20,0)</f>
        <v>0</v>
      </c>
      <c r="M182" s="59">
        <f>IF(C182=1,J182*Geometry!$G$19,0)+IF(C182=2,J182*Geometry!$H$19,0)+IF(C182=3,J182*Geometry!$I$19,0)+IF(C182=4,J182*Geometry!$J$19,0)+IF(C182=5,J182*Geometry!$K$19,0)</f>
        <v>0</v>
      </c>
      <c r="N182" s="59">
        <f>IF(C182=1,J182*Geometry!$G$22,0)+IF(C182=2,J182*Geometry!$H$22,0)+IF(C182=3,J182*Geometry!$I$22,0)+IF(C182=4,J182*Geometry!$J$22,0)+IF(C182=5,J182*Geometry!$K$22,0)</f>
        <v>0</v>
      </c>
      <c r="O182" s="59">
        <f>IF(C182=1,J182*Geometry!$G$23,0)+IF(C182=2,J182*Geometry!$H$23,0)+IF(C182=3,J182*Geometry!$I$23,0)+IF(C182=4,J182*Geometry!$J$23,0)+IF(C182=5,J182*Geometry!$K$23,0)</f>
        <v>0</v>
      </c>
      <c r="P182">
        <f>IF(C182=1,J182*Geometry!$G$24,0)+IF(C182=2,J182*Geometry!$H$24,0)+IF(C182=3,J182*Geometry!$I$24,0)+IF(C182=4,J182*Geometry!$J$24,0)+IF(C182=5,J182*Geometry!$K$24,0)</f>
        <v>0</v>
      </c>
    </row>
    <row r="183" spans="1:16">
      <c r="A183">
        <f t="shared" si="28"/>
        <v>177</v>
      </c>
      <c r="C183" s="7">
        <f t="shared" si="33"/>
        <v>3</v>
      </c>
      <c r="D183" s="69">
        <f>D182+Geometry!$C$15</f>
        <v>1022.5</v>
      </c>
      <c r="E183" s="59">
        <f t="shared" si="29"/>
        <v>-816.25</v>
      </c>
      <c r="F183" s="4">
        <f>Geometry!$D$12*D183</f>
        <v>38.260090909090913</v>
      </c>
      <c r="G183" s="4">
        <f t="shared" si="30"/>
        <v>0</v>
      </c>
      <c r="H183" s="4">
        <f>IF(ABS(E183*E183)&lt;=Geometry!$E$10,SQRT(Geometry!$E$10-E183*E183),0)</f>
        <v>0</v>
      </c>
      <c r="I183" s="4">
        <f t="shared" si="31"/>
        <v>0</v>
      </c>
      <c r="J183">
        <f t="shared" si="32"/>
        <v>0</v>
      </c>
      <c r="K183" s="59">
        <f>IF(C183=1,J183*Geometry!$G$21,0)+IF(C183=2,J183*Geometry!$H$21,0)+IF(C183=3,J183*Geometry!$I$21,0)+IF(C183=4,J183*Geometry!$J$21,0)+IF(C183=5,J183*Geometry!$K$21,0)</f>
        <v>0</v>
      </c>
      <c r="L183" s="59">
        <f>IF(C183=1,J183*Geometry!$G$20,0)+IF(C183=2,J183*Geometry!$H$20,0)+IF(C183=3,J183*Geometry!$I$20,0)+IF(C183=4,J183*Geometry!$J$20,0)+IF(C183=5,J183*Geometry!$K$20,0)</f>
        <v>0</v>
      </c>
      <c r="M183" s="59">
        <f>IF(C183=1,J183*Geometry!$G$19,0)+IF(C183=2,J183*Geometry!$H$19,0)+IF(C183=3,J183*Geometry!$I$19,0)+IF(C183=4,J183*Geometry!$J$19,0)+IF(C183=5,J183*Geometry!$K$19,0)</f>
        <v>0</v>
      </c>
      <c r="N183" s="59">
        <f>IF(C183=1,J183*Geometry!$G$22,0)+IF(C183=2,J183*Geometry!$H$22,0)+IF(C183=3,J183*Geometry!$I$22,0)+IF(C183=4,J183*Geometry!$J$22,0)+IF(C183=5,J183*Geometry!$K$22,0)</f>
        <v>0</v>
      </c>
      <c r="O183" s="59">
        <f>IF(C183=1,J183*Geometry!$G$23,0)+IF(C183=2,J183*Geometry!$H$23,0)+IF(C183=3,J183*Geometry!$I$23,0)+IF(C183=4,J183*Geometry!$J$23,0)+IF(C183=5,J183*Geometry!$K$23,0)</f>
        <v>0</v>
      </c>
      <c r="P183">
        <f>IF(C183=1,J183*Geometry!$G$24,0)+IF(C183=2,J183*Geometry!$H$24,0)+IF(C183=3,J183*Geometry!$I$24,0)+IF(C183=4,J183*Geometry!$J$24,0)+IF(C183=5,J183*Geometry!$K$24,0)</f>
        <v>0</v>
      </c>
    </row>
    <row r="184" spans="1:16">
      <c r="A184">
        <f t="shared" si="28"/>
        <v>178</v>
      </c>
      <c r="C184" s="7">
        <f t="shared" si="33"/>
        <v>3</v>
      </c>
      <c r="D184" s="69">
        <f>D183+Geometry!$C$15</f>
        <v>1027.5</v>
      </c>
      <c r="E184" s="59">
        <f t="shared" si="29"/>
        <v>-821.25</v>
      </c>
      <c r="F184" s="4">
        <f>Geometry!$D$12*D184</f>
        <v>38.447181818181825</v>
      </c>
      <c r="G184" s="4">
        <f t="shared" si="30"/>
        <v>0</v>
      </c>
      <c r="H184" s="4">
        <f>IF(ABS(E184*E184)&lt;=Geometry!$E$10,SQRT(Geometry!$E$10-E184*E184),0)</f>
        <v>0</v>
      </c>
      <c r="I184" s="4">
        <f t="shared" si="31"/>
        <v>0</v>
      </c>
      <c r="J184">
        <f t="shared" si="32"/>
        <v>0</v>
      </c>
      <c r="K184" s="59">
        <f>IF(C184=1,J184*Geometry!$G$21,0)+IF(C184=2,J184*Geometry!$H$21,0)+IF(C184=3,J184*Geometry!$I$21,0)+IF(C184=4,J184*Geometry!$J$21,0)+IF(C184=5,J184*Geometry!$K$21,0)</f>
        <v>0</v>
      </c>
      <c r="L184" s="59">
        <f>IF(C184=1,J184*Geometry!$G$20,0)+IF(C184=2,J184*Geometry!$H$20,0)+IF(C184=3,J184*Geometry!$I$20,0)+IF(C184=4,J184*Geometry!$J$20,0)+IF(C184=5,J184*Geometry!$K$20,0)</f>
        <v>0</v>
      </c>
      <c r="M184" s="59">
        <f>IF(C184=1,J184*Geometry!$G$19,0)+IF(C184=2,J184*Geometry!$H$19,0)+IF(C184=3,J184*Geometry!$I$19,0)+IF(C184=4,J184*Geometry!$J$19,0)+IF(C184=5,J184*Geometry!$K$19,0)</f>
        <v>0</v>
      </c>
      <c r="N184" s="59">
        <f>IF(C184=1,J184*Geometry!$G$22,0)+IF(C184=2,J184*Geometry!$H$22,0)+IF(C184=3,J184*Geometry!$I$22,0)+IF(C184=4,J184*Geometry!$J$22,0)+IF(C184=5,J184*Geometry!$K$22,0)</f>
        <v>0</v>
      </c>
      <c r="O184" s="59">
        <f>IF(C184=1,J184*Geometry!$G$23,0)+IF(C184=2,J184*Geometry!$H$23,0)+IF(C184=3,J184*Geometry!$I$23,0)+IF(C184=4,J184*Geometry!$J$23,0)+IF(C184=5,J184*Geometry!$K$23,0)</f>
        <v>0</v>
      </c>
      <c r="P184">
        <f>IF(C184=1,J184*Geometry!$G$24,0)+IF(C184=2,J184*Geometry!$H$24,0)+IF(C184=3,J184*Geometry!$I$24,0)+IF(C184=4,J184*Geometry!$J$24,0)+IF(C184=5,J184*Geometry!$K$24,0)</f>
        <v>0</v>
      </c>
    </row>
    <row r="185" spans="1:16">
      <c r="A185">
        <f t="shared" si="28"/>
        <v>179</v>
      </c>
      <c r="C185" s="7">
        <f t="shared" si="33"/>
        <v>3</v>
      </c>
      <c r="D185" s="69">
        <f>D184+Geometry!$C$15</f>
        <v>1032.5</v>
      </c>
      <c r="E185" s="59">
        <f t="shared" si="29"/>
        <v>-826.25</v>
      </c>
      <c r="F185" s="4">
        <f>Geometry!$D$12*D185</f>
        <v>38.63427272727273</v>
      </c>
      <c r="G185" s="4">
        <f t="shared" si="30"/>
        <v>0</v>
      </c>
      <c r="H185" s="4">
        <f>IF(ABS(E185*E185)&lt;=Geometry!$E$10,SQRT(Geometry!$E$10-E185*E185),0)</f>
        <v>0</v>
      </c>
      <c r="I185" s="4">
        <f t="shared" si="31"/>
        <v>0</v>
      </c>
      <c r="J185">
        <f t="shared" si="32"/>
        <v>0</v>
      </c>
      <c r="K185" s="59">
        <f>IF(C185=1,J185*Geometry!$G$21,0)+IF(C185=2,J185*Geometry!$H$21,0)+IF(C185=3,J185*Geometry!$I$21,0)+IF(C185=4,J185*Geometry!$J$21,0)+IF(C185=5,J185*Geometry!$K$21,0)</f>
        <v>0</v>
      </c>
      <c r="L185" s="59">
        <f>IF(C185=1,J185*Geometry!$G$20,0)+IF(C185=2,J185*Geometry!$H$20,0)+IF(C185=3,J185*Geometry!$I$20,0)+IF(C185=4,J185*Geometry!$J$20,0)+IF(C185=5,J185*Geometry!$K$20,0)</f>
        <v>0</v>
      </c>
      <c r="M185" s="59">
        <f>IF(C185=1,J185*Geometry!$G$19,0)+IF(C185=2,J185*Geometry!$H$19,0)+IF(C185=3,J185*Geometry!$I$19,0)+IF(C185=4,J185*Geometry!$J$19,0)+IF(C185=5,J185*Geometry!$K$19,0)</f>
        <v>0</v>
      </c>
      <c r="N185" s="59">
        <f>IF(C185=1,J185*Geometry!$G$22,0)+IF(C185=2,J185*Geometry!$H$22,0)+IF(C185=3,J185*Geometry!$I$22,0)+IF(C185=4,J185*Geometry!$J$22,0)+IF(C185=5,J185*Geometry!$K$22,0)</f>
        <v>0</v>
      </c>
      <c r="O185" s="59">
        <f>IF(C185=1,J185*Geometry!$G$23,0)+IF(C185=2,J185*Geometry!$H$23,0)+IF(C185=3,J185*Geometry!$I$23,0)+IF(C185=4,J185*Geometry!$J$23,0)+IF(C185=5,J185*Geometry!$K$23,0)</f>
        <v>0</v>
      </c>
      <c r="P185">
        <f>IF(C185=1,J185*Geometry!$G$24,0)+IF(C185=2,J185*Geometry!$H$24,0)+IF(C185=3,J185*Geometry!$I$24,0)+IF(C185=4,J185*Geometry!$J$24,0)+IF(C185=5,J185*Geometry!$K$24,0)</f>
        <v>0</v>
      </c>
    </row>
    <row r="186" spans="1:16">
      <c r="A186">
        <f t="shared" si="28"/>
        <v>180</v>
      </c>
      <c r="C186" s="7">
        <f t="shared" si="33"/>
        <v>3</v>
      </c>
      <c r="D186" s="69">
        <f>D185+Geometry!$C$15</f>
        <v>1037.5</v>
      </c>
      <c r="E186" s="59">
        <f t="shared" si="29"/>
        <v>-831.25</v>
      </c>
      <c r="F186" s="4">
        <f>Geometry!$D$12*D186</f>
        <v>38.821363636363643</v>
      </c>
      <c r="G186" s="4">
        <f t="shared" si="30"/>
        <v>0</v>
      </c>
      <c r="H186" s="4">
        <f>IF(ABS(E186*E186)&lt;=Geometry!$E$10,SQRT(Geometry!$E$10-E186*E186),0)</f>
        <v>0</v>
      </c>
      <c r="I186" s="4">
        <f t="shared" si="31"/>
        <v>0</v>
      </c>
      <c r="J186">
        <f t="shared" si="32"/>
        <v>0</v>
      </c>
      <c r="K186" s="59">
        <f>IF(C186=1,J186*Geometry!$G$21,0)+IF(C186=2,J186*Geometry!$H$21,0)+IF(C186=3,J186*Geometry!$I$21,0)+IF(C186=4,J186*Geometry!$J$21,0)+IF(C186=5,J186*Geometry!$K$21,0)</f>
        <v>0</v>
      </c>
      <c r="L186" s="59">
        <f>IF(C186=1,J186*Geometry!$G$20,0)+IF(C186=2,J186*Geometry!$H$20,0)+IF(C186=3,J186*Geometry!$I$20,0)+IF(C186=4,J186*Geometry!$J$20,0)+IF(C186=5,J186*Geometry!$K$20,0)</f>
        <v>0</v>
      </c>
      <c r="M186" s="59">
        <f>IF(C186=1,J186*Geometry!$G$19,0)+IF(C186=2,J186*Geometry!$H$19,0)+IF(C186=3,J186*Geometry!$I$19,0)+IF(C186=4,J186*Geometry!$J$19,0)+IF(C186=5,J186*Geometry!$K$19,0)</f>
        <v>0</v>
      </c>
      <c r="N186" s="59">
        <f>IF(C186=1,J186*Geometry!$G$22,0)+IF(C186=2,J186*Geometry!$H$22,0)+IF(C186=3,J186*Geometry!$I$22,0)+IF(C186=4,J186*Geometry!$J$22,0)+IF(C186=5,J186*Geometry!$K$22,0)</f>
        <v>0</v>
      </c>
      <c r="O186" s="59">
        <f>IF(C186=1,J186*Geometry!$G$23,0)+IF(C186=2,J186*Geometry!$H$23,0)+IF(C186=3,J186*Geometry!$I$23,0)+IF(C186=4,J186*Geometry!$J$23,0)+IF(C186=5,J186*Geometry!$K$23,0)</f>
        <v>0</v>
      </c>
      <c r="P186">
        <f>IF(C186=1,J186*Geometry!$G$24,0)+IF(C186=2,J186*Geometry!$H$24,0)+IF(C186=3,J186*Geometry!$I$24,0)+IF(C186=4,J186*Geometry!$J$24,0)+IF(C186=5,J186*Geometry!$K$24,0)</f>
        <v>0</v>
      </c>
    </row>
    <row r="187" spans="1:16">
      <c r="A187">
        <f t="shared" si="28"/>
        <v>181</v>
      </c>
      <c r="C187" s="7">
        <f t="shared" si="33"/>
        <v>3</v>
      </c>
      <c r="D187" s="69">
        <f>D186+Geometry!$C$15</f>
        <v>1042.5</v>
      </c>
      <c r="E187" s="59">
        <f t="shared" si="29"/>
        <v>-836.25</v>
      </c>
      <c r="F187" s="4">
        <f>Geometry!$D$12*D187</f>
        <v>39.008454545454548</v>
      </c>
      <c r="G187" s="4">
        <f t="shared" si="30"/>
        <v>0</v>
      </c>
      <c r="H187" s="4">
        <f>IF(ABS(E187*E187)&lt;=Geometry!$E$10,SQRT(Geometry!$E$10-E187*E187),0)</f>
        <v>0</v>
      </c>
      <c r="I187" s="4">
        <f t="shared" si="31"/>
        <v>0</v>
      </c>
      <c r="J187">
        <f t="shared" si="32"/>
        <v>0</v>
      </c>
      <c r="K187" s="59">
        <f>IF(C187=1,J187*Geometry!$G$21,0)+IF(C187=2,J187*Geometry!$H$21,0)+IF(C187=3,J187*Geometry!$I$21,0)+IF(C187=4,J187*Geometry!$J$21,0)+IF(C187=5,J187*Geometry!$K$21,0)</f>
        <v>0</v>
      </c>
      <c r="L187" s="59">
        <f>IF(C187=1,J187*Geometry!$G$20,0)+IF(C187=2,J187*Geometry!$H$20,0)+IF(C187=3,J187*Geometry!$I$20,0)+IF(C187=4,J187*Geometry!$J$20,0)+IF(C187=5,J187*Geometry!$K$20,0)</f>
        <v>0</v>
      </c>
      <c r="M187" s="59">
        <f>IF(C187=1,J187*Geometry!$G$19,0)+IF(C187=2,J187*Geometry!$H$19,0)+IF(C187=3,J187*Geometry!$I$19,0)+IF(C187=4,J187*Geometry!$J$19,0)+IF(C187=5,J187*Geometry!$K$19,0)</f>
        <v>0</v>
      </c>
      <c r="N187" s="59">
        <f>IF(C187=1,J187*Geometry!$G$22,0)+IF(C187=2,J187*Geometry!$H$22,0)+IF(C187=3,J187*Geometry!$I$22,0)+IF(C187=4,J187*Geometry!$J$22,0)+IF(C187=5,J187*Geometry!$K$22,0)</f>
        <v>0</v>
      </c>
      <c r="O187" s="59">
        <f>IF(C187=1,J187*Geometry!$G$23,0)+IF(C187=2,J187*Geometry!$H$23,0)+IF(C187=3,J187*Geometry!$I$23,0)+IF(C187=4,J187*Geometry!$J$23,0)+IF(C187=5,J187*Geometry!$K$23,0)</f>
        <v>0</v>
      </c>
      <c r="P187">
        <f>IF(C187=1,J187*Geometry!$G$24,0)+IF(C187=2,J187*Geometry!$H$24,0)+IF(C187=3,J187*Geometry!$I$24,0)+IF(C187=4,J187*Geometry!$J$24,0)+IF(C187=5,J187*Geometry!$K$24,0)</f>
        <v>0</v>
      </c>
    </row>
    <row r="188" spans="1:16">
      <c r="A188">
        <f t="shared" si="28"/>
        <v>182</v>
      </c>
      <c r="C188" s="7">
        <f t="shared" si="33"/>
        <v>3</v>
      </c>
      <c r="D188" s="69">
        <f>D187+Geometry!$C$15</f>
        <v>1047.5</v>
      </c>
      <c r="E188" s="59">
        <f t="shared" si="29"/>
        <v>-841.25</v>
      </c>
      <c r="F188" s="4">
        <f>Geometry!$D$12*D188</f>
        <v>39.19554545454546</v>
      </c>
      <c r="G188" s="4">
        <f t="shared" si="30"/>
        <v>0</v>
      </c>
      <c r="H188" s="4">
        <f>IF(ABS(E188*E188)&lt;=Geometry!$E$10,SQRT(Geometry!$E$10-E188*E188),0)</f>
        <v>0</v>
      </c>
      <c r="I188" s="4">
        <f t="shared" si="31"/>
        <v>0</v>
      </c>
      <c r="J188">
        <f t="shared" si="32"/>
        <v>0</v>
      </c>
      <c r="K188" s="59">
        <f>IF(C188=1,J188*Geometry!$G$21,0)+IF(C188=2,J188*Geometry!$H$21,0)+IF(C188=3,J188*Geometry!$I$21,0)+IF(C188=4,J188*Geometry!$J$21,0)+IF(C188=5,J188*Geometry!$K$21,0)</f>
        <v>0</v>
      </c>
      <c r="L188" s="59">
        <f>IF(C188=1,J188*Geometry!$G$20,0)+IF(C188=2,J188*Geometry!$H$20,0)+IF(C188=3,J188*Geometry!$I$20,0)+IF(C188=4,J188*Geometry!$J$20,0)+IF(C188=5,J188*Geometry!$K$20,0)</f>
        <v>0</v>
      </c>
      <c r="M188" s="59">
        <f>IF(C188=1,J188*Geometry!$G$19,0)+IF(C188=2,J188*Geometry!$H$19,0)+IF(C188=3,J188*Geometry!$I$19,0)+IF(C188=4,J188*Geometry!$J$19,0)+IF(C188=5,J188*Geometry!$K$19,0)</f>
        <v>0</v>
      </c>
      <c r="N188" s="59">
        <f>IF(C188=1,J188*Geometry!$G$22,0)+IF(C188=2,J188*Geometry!$H$22,0)+IF(C188=3,J188*Geometry!$I$22,0)+IF(C188=4,J188*Geometry!$J$22,0)+IF(C188=5,J188*Geometry!$K$22,0)</f>
        <v>0</v>
      </c>
      <c r="O188" s="59">
        <f>IF(C188=1,J188*Geometry!$G$23,0)+IF(C188=2,J188*Geometry!$H$23,0)+IF(C188=3,J188*Geometry!$I$23,0)+IF(C188=4,J188*Geometry!$J$23,0)+IF(C188=5,J188*Geometry!$K$23,0)</f>
        <v>0</v>
      </c>
      <c r="P188">
        <f>IF(C188=1,J188*Geometry!$G$24,0)+IF(C188=2,J188*Geometry!$H$24,0)+IF(C188=3,J188*Geometry!$I$24,0)+IF(C188=4,J188*Geometry!$J$24,0)+IF(C188=5,J188*Geometry!$K$24,0)</f>
        <v>0</v>
      </c>
    </row>
    <row r="189" spans="1:16">
      <c r="A189">
        <f t="shared" si="28"/>
        <v>183</v>
      </c>
      <c r="C189" s="7">
        <f t="shared" si="33"/>
        <v>3</v>
      </c>
      <c r="D189" s="69">
        <f>D188+Geometry!$C$15</f>
        <v>1052.5</v>
      </c>
      <c r="E189" s="59">
        <f t="shared" si="29"/>
        <v>-846.25</v>
      </c>
      <c r="F189" s="4">
        <f>Geometry!$D$12*D189</f>
        <v>39.382636363636365</v>
      </c>
      <c r="G189" s="4">
        <f t="shared" si="30"/>
        <v>0</v>
      </c>
      <c r="H189" s="4">
        <f>IF(ABS(E189*E189)&lt;=Geometry!$E$10,SQRT(Geometry!$E$10-E189*E189),0)</f>
        <v>0</v>
      </c>
      <c r="I189" s="4">
        <f t="shared" si="31"/>
        <v>0</v>
      </c>
      <c r="J189">
        <f t="shared" si="32"/>
        <v>0</v>
      </c>
      <c r="K189" s="59">
        <f>IF(C189=1,J189*Geometry!$G$21,0)+IF(C189=2,J189*Geometry!$H$21,0)+IF(C189=3,J189*Geometry!$I$21,0)+IF(C189=4,J189*Geometry!$J$21,0)+IF(C189=5,J189*Geometry!$K$21,0)</f>
        <v>0</v>
      </c>
      <c r="L189" s="59">
        <f>IF(C189=1,J189*Geometry!$G$20,0)+IF(C189=2,J189*Geometry!$H$20,0)+IF(C189=3,J189*Geometry!$I$20,0)+IF(C189=4,J189*Geometry!$J$20,0)+IF(C189=5,J189*Geometry!$K$20,0)</f>
        <v>0</v>
      </c>
      <c r="M189" s="59">
        <f>IF(C189=1,J189*Geometry!$G$19,0)+IF(C189=2,J189*Geometry!$H$19,0)+IF(C189=3,J189*Geometry!$I$19,0)+IF(C189=4,J189*Geometry!$J$19,0)+IF(C189=5,J189*Geometry!$K$19,0)</f>
        <v>0</v>
      </c>
      <c r="N189" s="59">
        <f>IF(C189=1,J189*Geometry!$G$22,0)+IF(C189=2,J189*Geometry!$H$22,0)+IF(C189=3,J189*Geometry!$I$22,0)+IF(C189=4,J189*Geometry!$J$22,0)+IF(C189=5,J189*Geometry!$K$22,0)</f>
        <v>0</v>
      </c>
      <c r="O189" s="59">
        <f>IF(C189=1,J189*Geometry!$G$23,0)+IF(C189=2,J189*Geometry!$H$23,0)+IF(C189=3,J189*Geometry!$I$23,0)+IF(C189=4,J189*Geometry!$J$23,0)+IF(C189=5,J189*Geometry!$K$23,0)</f>
        <v>0</v>
      </c>
      <c r="P189">
        <f>IF(C189=1,J189*Geometry!$G$24,0)+IF(C189=2,J189*Geometry!$H$24,0)+IF(C189=3,J189*Geometry!$I$24,0)+IF(C189=4,J189*Geometry!$J$24,0)+IF(C189=5,J189*Geometry!$K$24,0)</f>
        <v>0</v>
      </c>
    </row>
    <row r="190" spans="1:16">
      <c r="A190">
        <f t="shared" si="28"/>
        <v>184</v>
      </c>
      <c r="C190" s="7">
        <f t="shared" si="33"/>
        <v>3</v>
      </c>
      <c r="D190" s="69">
        <f>D189+Geometry!$C$15</f>
        <v>1057.5</v>
      </c>
      <c r="E190" s="59">
        <f t="shared" si="29"/>
        <v>-851.25</v>
      </c>
      <c r="F190" s="4">
        <f>Geometry!$D$12*D190</f>
        <v>39.569727272727278</v>
      </c>
      <c r="G190" s="4">
        <f t="shared" si="30"/>
        <v>0</v>
      </c>
      <c r="H190" s="4">
        <f>IF(ABS(E190*E190)&lt;=Geometry!$E$10,SQRT(Geometry!$E$10-E190*E190),0)</f>
        <v>0</v>
      </c>
      <c r="I190" s="4">
        <f t="shared" si="31"/>
        <v>0</v>
      </c>
      <c r="J190">
        <f t="shared" si="32"/>
        <v>0</v>
      </c>
      <c r="K190" s="59">
        <f>IF(C190=1,J190*Geometry!$G$21,0)+IF(C190=2,J190*Geometry!$H$21,0)+IF(C190=3,J190*Geometry!$I$21,0)+IF(C190=4,J190*Geometry!$J$21,0)+IF(C190=5,J190*Geometry!$K$21,0)</f>
        <v>0</v>
      </c>
      <c r="L190" s="59">
        <f>IF(C190=1,J190*Geometry!$G$20,0)+IF(C190=2,J190*Geometry!$H$20,0)+IF(C190=3,J190*Geometry!$I$20,0)+IF(C190=4,J190*Geometry!$J$20,0)+IF(C190=5,J190*Geometry!$K$20,0)</f>
        <v>0</v>
      </c>
      <c r="M190" s="59">
        <f>IF(C190=1,J190*Geometry!$G$19,0)+IF(C190=2,J190*Geometry!$H$19,0)+IF(C190=3,J190*Geometry!$I$19,0)+IF(C190=4,J190*Geometry!$J$19,0)+IF(C190=5,J190*Geometry!$K$19,0)</f>
        <v>0</v>
      </c>
      <c r="N190" s="59">
        <f>IF(C190=1,J190*Geometry!$G$22,0)+IF(C190=2,J190*Geometry!$H$22,0)+IF(C190=3,J190*Geometry!$I$22,0)+IF(C190=4,J190*Geometry!$J$22,0)+IF(C190=5,J190*Geometry!$K$22,0)</f>
        <v>0</v>
      </c>
      <c r="O190" s="59">
        <f>IF(C190=1,J190*Geometry!$G$23,0)+IF(C190=2,J190*Geometry!$H$23,0)+IF(C190=3,J190*Geometry!$I$23,0)+IF(C190=4,J190*Geometry!$J$23,0)+IF(C190=5,J190*Geometry!$K$23,0)</f>
        <v>0</v>
      </c>
      <c r="P190">
        <f>IF(C190=1,J190*Geometry!$G$24,0)+IF(C190=2,J190*Geometry!$H$24,0)+IF(C190=3,J190*Geometry!$I$24,0)+IF(C190=4,J190*Geometry!$J$24,0)+IF(C190=5,J190*Geometry!$K$24,0)</f>
        <v>0</v>
      </c>
    </row>
    <row r="191" spans="1:16">
      <c r="A191">
        <f t="shared" si="28"/>
        <v>185</v>
      </c>
      <c r="C191" s="7">
        <f t="shared" si="33"/>
        <v>3</v>
      </c>
      <c r="D191" s="69">
        <f>D190+Geometry!$C$15</f>
        <v>1062.5</v>
      </c>
      <c r="E191" s="59">
        <f t="shared" ref="E191:E198" si="34">E190-(D191-D190)</f>
        <v>-856.25</v>
      </c>
      <c r="F191" s="4">
        <f>Geometry!$D$12*D191</f>
        <v>39.75681818181819</v>
      </c>
      <c r="G191" s="4">
        <f t="shared" ref="G191:G198" si="35">IF(H191&gt;0,F191/9.8,0)</f>
        <v>0</v>
      </c>
      <c r="H191" s="4">
        <f>IF(ABS(E191*E191)&lt;=Geometry!$E$10,SQRT(Geometry!$E$10-E191*E191),0)</f>
        <v>0</v>
      </c>
      <c r="I191" s="4">
        <f t="shared" ref="I191:I198" si="36">IF(H191&gt;0,1,0)</f>
        <v>0</v>
      </c>
      <c r="J191">
        <f t="shared" ref="J191:J198" si="37">PI()*H191*H191</f>
        <v>0</v>
      </c>
      <c r="K191" s="59">
        <f>IF(C191=1,J191*Geometry!$G$21,0)+IF(C191=2,J191*Geometry!$H$21,0)+IF(C191=3,J191*Geometry!$I$21,0)+IF(C191=4,J191*Geometry!$J$21,0)+IF(C191=5,J191*Geometry!$K$21,0)</f>
        <v>0</v>
      </c>
      <c r="L191" s="59">
        <f>IF(C191=1,J191*Geometry!$G$20,0)+IF(C191=2,J191*Geometry!$H$20,0)+IF(C191=3,J191*Geometry!$I$20,0)+IF(C191=4,J191*Geometry!$J$20,0)+IF(C191=5,J191*Geometry!$K$20,0)</f>
        <v>0</v>
      </c>
      <c r="M191" s="59">
        <f>IF(C191=1,J191*Geometry!$G$19,0)+IF(C191=2,J191*Geometry!$H$19,0)+IF(C191=3,J191*Geometry!$I$19,0)+IF(C191=4,J191*Geometry!$J$19,0)+IF(C191=5,J191*Geometry!$K$19,0)</f>
        <v>0</v>
      </c>
      <c r="N191" s="59">
        <f>IF(C191=1,J191*Geometry!$G$22,0)+IF(C191=2,J191*Geometry!$H$22,0)+IF(C191=3,J191*Geometry!$I$22,0)+IF(C191=4,J191*Geometry!$J$22,0)+IF(C191=5,J191*Geometry!$K$22,0)</f>
        <v>0</v>
      </c>
      <c r="O191" s="59">
        <f>IF(C191=1,J191*Geometry!$G$23,0)+IF(C191=2,J191*Geometry!$H$23,0)+IF(C191=3,J191*Geometry!$I$23,0)+IF(C191=4,J191*Geometry!$J$23,0)+IF(C191=5,J191*Geometry!$K$23,0)</f>
        <v>0</v>
      </c>
      <c r="P191">
        <f>IF(C191=1,J191*Geometry!$G$24,0)+IF(C191=2,J191*Geometry!$H$24,0)+IF(C191=3,J191*Geometry!$I$24,0)+IF(C191=4,J191*Geometry!$J$24,0)+IF(C191=5,J191*Geometry!$K$24,0)</f>
        <v>0</v>
      </c>
    </row>
    <row r="192" spans="1:16">
      <c r="A192">
        <f t="shared" si="28"/>
        <v>186</v>
      </c>
      <c r="C192" s="7">
        <f t="shared" si="33"/>
        <v>3</v>
      </c>
      <c r="D192" s="69">
        <f>D191+Geometry!$C$15</f>
        <v>1067.5</v>
      </c>
      <c r="E192" s="59">
        <f t="shared" si="34"/>
        <v>-861.25</v>
      </c>
      <c r="F192" s="4">
        <f>Geometry!$D$12*D192</f>
        <v>39.943909090909095</v>
      </c>
      <c r="G192" s="4">
        <f t="shared" si="35"/>
        <v>0</v>
      </c>
      <c r="H192" s="4">
        <f>IF(ABS(E192*E192)&lt;=Geometry!$E$10,SQRT(Geometry!$E$10-E192*E192),0)</f>
        <v>0</v>
      </c>
      <c r="I192" s="4">
        <f t="shared" si="36"/>
        <v>0</v>
      </c>
      <c r="J192">
        <f t="shared" si="37"/>
        <v>0</v>
      </c>
      <c r="K192" s="59">
        <f>IF(C192=1,J192*Geometry!$G$21,0)+IF(C192=2,J192*Geometry!$H$21,0)+IF(C192=3,J192*Geometry!$I$21,0)+IF(C192=4,J192*Geometry!$J$21,0)+IF(C192=5,J192*Geometry!$K$21,0)</f>
        <v>0</v>
      </c>
      <c r="L192" s="59">
        <f>IF(C192=1,J192*Geometry!$G$20,0)+IF(C192=2,J192*Geometry!$H$20,0)+IF(C192=3,J192*Geometry!$I$20,0)+IF(C192=4,J192*Geometry!$J$20,0)+IF(C192=5,J192*Geometry!$K$20,0)</f>
        <v>0</v>
      </c>
      <c r="M192" s="59">
        <f>IF(C192=1,J192*Geometry!$G$19,0)+IF(C192=2,J192*Geometry!$H$19,0)+IF(C192=3,J192*Geometry!$I$19,0)+IF(C192=4,J192*Geometry!$J$19,0)+IF(C192=5,J192*Geometry!$K$19,0)</f>
        <v>0</v>
      </c>
      <c r="N192" s="59">
        <f>IF(C192=1,J192*Geometry!$G$22,0)+IF(C192=2,J192*Geometry!$H$22,0)+IF(C192=3,J192*Geometry!$I$22,0)+IF(C192=4,J192*Geometry!$J$22,0)+IF(C192=5,J192*Geometry!$K$22,0)</f>
        <v>0</v>
      </c>
      <c r="O192" s="59">
        <f>IF(C192=1,J192*Geometry!$G$23,0)+IF(C192=2,J192*Geometry!$H$23,0)+IF(C192=3,J192*Geometry!$I$23,0)+IF(C192=4,J192*Geometry!$J$23,0)+IF(C192=5,J192*Geometry!$K$23,0)</f>
        <v>0</v>
      </c>
      <c r="P192">
        <f>IF(C192=1,J192*Geometry!$G$24,0)+IF(C192=2,J192*Geometry!$H$24,0)+IF(C192=3,J192*Geometry!$I$24,0)+IF(C192=4,J192*Geometry!$J$24,0)+IF(C192=5,J192*Geometry!$K$24,0)</f>
        <v>0</v>
      </c>
    </row>
    <row r="193" spans="1:16">
      <c r="A193">
        <f t="shared" si="28"/>
        <v>187</v>
      </c>
      <c r="C193" s="7">
        <f t="shared" si="33"/>
        <v>3</v>
      </c>
      <c r="D193" s="69">
        <f>D192+Geometry!$C$15</f>
        <v>1072.5</v>
      </c>
      <c r="E193" s="59">
        <f t="shared" si="34"/>
        <v>-866.25</v>
      </c>
      <c r="F193" s="4">
        <f>Geometry!$D$12*D193</f>
        <v>40.131000000000007</v>
      </c>
      <c r="G193" s="4">
        <f t="shared" si="35"/>
        <v>0</v>
      </c>
      <c r="H193" s="4">
        <f>IF(ABS(E193*E193)&lt;=Geometry!$E$10,SQRT(Geometry!$E$10-E193*E193),0)</f>
        <v>0</v>
      </c>
      <c r="I193" s="4">
        <f t="shared" si="36"/>
        <v>0</v>
      </c>
      <c r="J193">
        <f t="shared" si="37"/>
        <v>0</v>
      </c>
      <c r="K193" s="59">
        <f>IF(C193=1,J193*Geometry!$G$21,0)+IF(C193=2,J193*Geometry!$H$21,0)+IF(C193=3,J193*Geometry!$I$21,0)+IF(C193=4,J193*Geometry!$J$21,0)+IF(C193=5,J193*Geometry!$K$21,0)</f>
        <v>0</v>
      </c>
      <c r="L193" s="59">
        <f>IF(C193=1,J193*Geometry!$G$20,0)+IF(C193=2,J193*Geometry!$H$20,0)+IF(C193=3,J193*Geometry!$I$20,0)+IF(C193=4,J193*Geometry!$J$20,0)+IF(C193=5,J193*Geometry!$K$20,0)</f>
        <v>0</v>
      </c>
      <c r="M193" s="59">
        <f>IF(C193=1,J193*Geometry!$G$19,0)+IF(C193=2,J193*Geometry!$H$19,0)+IF(C193=3,J193*Geometry!$I$19,0)+IF(C193=4,J193*Geometry!$J$19,0)+IF(C193=5,J193*Geometry!$K$19,0)</f>
        <v>0</v>
      </c>
      <c r="N193" s="59">
        <f>IF(C193=1,J193*Geometry!$G$22,0)+IF(C193=2,J193*Geometry!$H$22,0)+IF(C193=3,J193*Geometry!$I$22,0)+IF(C193=4,J193*Geometry!$J$22,0)+IF(C193=5,J193*Geometry!$K$22,0)</f>
        <v>0</v>
      </c>
      <c r="O193" s="59">
        <f>IF(C193=1,J193*Geometry!$G$23,0)+IF(C193=2,J193*Geometry!$H$23,0)+IF(C193=3,J193*Geometry!$I$23,0)+IF(C193=4,J193*Geometry!$J$23,0)+IF(C193=5,J193*Geometry!$K$23,0)</f>
        <v>0</v>
      </c>
      <c r="P193">
        <f>IF(C193=1,J193*Geometry!$G$24,0)+IF(C193=2,J193*Geometry!$H$24,0)+IF(C193=3,J193*Geometry!$I$24,0)+IF(C193=4,J193*Geometry!$J$24,0)+IF(C193=5,J193*Geometry!$K$24,0)</f>
        <v>0</v>
      </c>
    </row>
    <row r="194" spans="1:16">
      <c r="A194">
        <f t="shared" si="28"/>
        <v>188</v>
      </c>
      <c r="C194" s="7">
        <f t="shared" si="33"/>
        <v>3</v>
      </c>
      <c r="D194" s="69">
        <f>D193+Geometry!$C$15</f>
        <v>1077.5</v>
      </c>
      <c r="E194" s="59">
        <f t="shared" si="34"/>
        <v>-871.25</v>
      </c>
      <c r="F194" s="4">
        <f>Geometry!$D$12*D194</f>
        <v>40.318090909090913</v>
      </c>
      <c r="G194" s="4">
        <f t="shared" si="35"/>
        <v>0</v>
      </c>
      <c r="H194" s="4">
        <f>IF(ABS(E194*E194)&lt;=Geometry!$E$10,SQRT(Geometry!$E$10-E194*E194),0)</f>
        <v>0</v>
      </c>
      <c r="I194" s="4">
        <f t="shared" si="36"/>
        <v>0</v>
      </c>
      <c r="J194">
        <f t="shared" si="37"/>
        <v>0</v>
      </c>
      <c r="K194" s="59">
        <f>IF(C194=1,J194*Geometry!$G$21,0)+IF(C194=2,J194*Geometry!$H$21,0)+IF(C194=3,J194*Geometry!$I$21,0)+IF(C194=4,J194*Geometry!$J$21,0)+IF(C194=5,J194*Geometry!$K$21,0)</f>
        <v>0</v>
      </c>
      <c r="L194" s="59">
        <f>IF(C194=1,J194*Geometry!$G$20,0)+IF(C194=2,J194*Geometry!$H$20,0)+IF(C194=3,J194*Geometry!$I$20,0)+IF(C194=4,J194*Geometry!$J$20,0)+IF(C194=5,J194*Geometry!$K$20,0)</f>
        <v>0</v>
      </c>
      <c r="M194" s="59">
        <f>IF(C194=1,J194*Geometry!$G$19,0)+IF(C194=2,J194*Geometry!$H$19,0)+IF(C194=3,J194*Geometry!$I$19,0)+IF(C194=4,J194*Geometry!$J$19,0)+IF(C194=5,J194*Geometry!$K$19,0)</f>
        <v>0</v>
      </c>
      <c r="N194" s="59">
        <f>IF(C194=1,J194*Geometry!$G$22,0)+IF(C194=2,J194*Geometry!$H$22,0)+IF(C194=3,J194*Geometry!$I$22,0)+IF(C194=4,J194*Geometry!$J$22,0)+IF(C194=5,J194*Geometry!$K$22,0)</f>
        <v>0</v>
      </c>
      <c r="O194" s="59">
        <f>IF(C194=1,J194*Geometry!$G$23,0)+IF(C194=2,J194*Geometry!$H$23,0)+IF(C194=3,J194*Geometry!$I$23,0)+IF(C194=4,J194*Geometry!$J$23,0)+IF(C194=5,J194*Geometry!$K$23,0)</f>
        <v>0</v>
      </c>
      <c r="P194">
        <f>IF(C194=1,J194*Geometry!$G$24,0)+IF(C194=2,J194*Geometry!$H$24,0)+IF(C194=3,J194*Geometry!$I$24,0)+IF(C194=4,J194*Geometry!$J$24,0)+IF(C194=5,J194*Geometry!$K$24,0)</f>
        <v>0</v>
      </c>
    </row>
    <row r="195" spans="1:16">
      <c r="A195">
        <f t="shared" si="28"/>
        <v>189</v>
      </c>
      <c r="C195" s="7">
        <f t="shared" si="33"/>
        <v>3</v>
      </c>
      <c r="D195" s="69">
        <f>D194+Geometry!$C$15</f>
        <v>1082.5</v>
      </c>
      <c r="E195" s="59">
        <f t="shared" si="34"/>
        <v>-876.25</v>
      </c>
      <c r="F195" s="4">
        <f>Geometry!$D$12*D195</f>
        <v>40.505181818181825</v>
      </c>
      <c r="G195" s="4">
        <f t="shared" si="35"/>
        <v>0</v>
      </c>
      <c r="H195" s="4">
        <f>IF(ABS(E195*E195)&lt;=Geometry!$E$10,SQRT(Geometry!$E$10-E195*E195),0)</f>
        <v>0</v>
      </c>
      <c r="I195" s="4">
        <f t="shared" si="36"/>
        <v>0</v>
      </c>
      <c r="J195">
        <f t="shared" si="37"/>
        <v>0</v>
      </c>
      <c r="K195" s="59">
        <f>IF(C195=1,J195*Geometry!$G$21,0)+IF(C195=2,J195*Geometry!$H$21,0)+IF(C195=3,J195*Geometry!$I$21,0)+IF(C195=4,J195*Geometry!$J$21,0)+IF(C195=5,J195*Geometry!$K$21,0)</f>
        <v>0</v>
      </c>
      <c r="L195" s="59">
        <f>IF(C195=1,J195*Geometry!$G$20,0)+IF(C195=2,J195*Geometry!$H$20,0)+IF(C195=3,J195*Geometry!$I$20,0)+IF(C195=4,J195*Geometry!$J$20,0)+IF(C195=5,J195*Geometry!$K$20,0)</f>
        <v>0</v>
      </c>
      <c r="M195" s="59">
        <f>IF(C195=1,J195*Geometry!$G$19,0)+IF(C195=2,J195*Geometry!$H$19,0)+IF(C195=3,J195*Geometry!$I$19,0)+IF(C195=4,J195*Geometry!$J$19,0)+IF(C195=5,J195*Geometry!$K$19,0)</f>
        <v>0</v>
      </c>
      <c r="N195" s="59">
        <f>IF(C195=1,J195*Geometry!$G$22,0)+IF(C195=2,J195*Geometry!$H$22,0)+IF(C195=3,J195*Geometry!$I$22,0)+IF(C195=4,J195*Geometry!$J$22,0)+IF(C195=5,J195*Geometry!$K$22,0)</f>
        <v>0</v>
      </c>
      <c r="O195" s="59">
        <f>IF(C195=1,J195*Geometry!$G$23,0)+IF(C195=2,J195*Geometry!$H$23,0)+IF(C195=3,J195*Geometry!$I$23,0)+IF(C195=4,J195*Geometry!$J$23,0)+IF(C195=5,J195*Geometry!$K$23,0)</f>
        <v>0</v>
      </c>
      <c r="P195">
        <f>IF(C195=1,J195*Geometry!$G$24,0)+IF(C195=2,J195*Geometry!$H$24,0)+IF(C195=3,J195*Geometry!$I$24,0)+IF(C195=4,J195*Geometry!$J$24,0)+IF(C195=5,J195*Geometry!$K$24,0)</f>
        <v>0</v>
      </c>
    </row>
    <row r="196" spans="1:16">
      <c r="A196">
        <f t="shared" si="28"/>
        <v>190</v>
      </c>
      <c r="C196" s="7">
        <f t="shared" si="33"/>
        <v>3</v>
      </c>
      <c r="D196" s="69">
        <f>D195+Geometry!$C$15</f>
        <v>1087.5</v>
      </c>
      <c r="E196" s="59">
        <f t="shared" si="34"/>
        <v>-881.25</v>
      </c>
      <c r="F196" s="4">
        <f>Geometry!$D$12*D196</f>
        <v>40.69227272727273</v>
      </c>
      <c r="G196" s="4">
        <f t="shared" si="35"/>
        <v>0</v>
      </c>
      <c r="H196" s="4">
        <f>IF(ABS(E196*E196)&lt;=Geometry!$E$10,SQRT(Geometry!$E$10-E196*E196),0)</f>
        <v>0</v>
      </c>
      <c r="I196" s="4">
        <f t="shared" si="36"/>
        <v>0</v>
      </c>
      <c r="J196">
        <f t="shared" si="37"/>
        <v>0</v>
      </c>
      <c r="K196" s="59">
        <f>IF(C196=1,J196*Geometry!$G$21,0)+IF(C196=2,J196*Geometry!$H$21,0)+IF(C196=3,J196*Geometry!$I$21,0)+IF(C196=4,J196*Geometry!$J$21,0)+IF(C196=5,J196*Geometry!$K$21,0)</f>
        <v>0</v>
      </c>
      <c r="L196" s="59">
        <f>IF(C196=1,J196*Geometry!$G$20,0)+IF(C196=2,J196*Geometry!$H$20,0)+IF(C196=3,J196*Geometry!$I$20,0)+IF(C196=4,J196*Geometry!$J$20,0)+IF(C196=5,J196*Geometry!$K$20,0)</f>
        <v>0</v>
      </c>
      <c r="M196" s="59">
        <f>IF(C196=1,J196*Geometry!$G$19,0)+IF(C196=2,J196*Geometry!$H$19,0)+IF(C196=3,J196*Geometry!$I$19,0)+IF(C196=4,J196*Geometry!$J$19,0)+IF(C196=5,J196*Geometry!$K$19,0)</f>
        <v>0</v>
      </c>
      <c r="N196" s="59">
        <f>IF(C196=1,J196*Geometry!$G$22,0)+IF(C196=2,J196*Geometry!$H$22,0)+IF(C196=3,J196*Geometry!$I$22,0)+IF(C196=4,J196*Geometry!$J$22,0)+IF(C196=5,J196*Geometry!$K$22,0)</f>
        <v>0</v>
      </c>
      <c r="O196" s="59">
        <f>IF(C196=1,J196*Geometry!$G$23,0)+IF(C196=2,J196*Geometry!$H$23,0)+IF(C196=3,J196*Geometry!$I$23,0)+IF(C196=4,J196*Geometry!$J$23,0)+IF(C196=5,J196*Geometry!$K$23,0)</f>
        <v>0</v>
      </c>
      <c r="P196">
        <f>IF(C196=1,J196*Geometry!$G$24,0)+IF(C196=2,J196*Geometry!$H$24,0)+IF(C196=3,J196*Geometry!$I$24,0)+IF(C196=4,J196*Geometry!$J$24,0)+IF(C196=5,J196*Geometry!$K$24,0)</f>
        <v>0</v>
      </c>
    </row>
    <row r="197" spans="1:16">
      <c r="A197">
        <f t="shared" si="28"/>
        <v>191</v>
      </c>
      <c r="C197" s="7">
        <f t="shared" si="33"/>
        <v>3</v>
      </c>
      <c r="D197" s="69">
        <f>D196+Geometry!$C$15</f>
        <v>1092.5</v>
      </c>
      <c r="E197" s="59">
        <f t="shared" si="34"/>
        <v>-886.25</v>
      </c>
      <c r="F197" s="4">
        <f>Geometry!$D$12*D197</f>
        <v>40.879363636363642</v>
      </c>
      <c r="G197" s="4">
        <f t="shared" si="35"/>
        <v>0</v>
      </c>
      <c r="H197" s="4">
        <f>IF(ABS(E197*E197)&lt;=Geometry!$E$10,SQRT(Geometry!$E$10-E197*E197),0)</f>
        <v>0</v>
      </c>
      <c r="I197" s="4">
        <f t="shared" si="36"/>
        <v>0</v>
      </c>
      <c r="J197">
        <f t="shared" si="37"/>
        <v>0</v>
      </c>
      <c r="K197" s="59">
        <f>IF(C197=1,J197*Geometry!$G$21,0)+IF(C197=2,J197*Geometry!$H$21,0)+IF(C197=3,J197*Geometry!$I$21,0)+IF(C197=4,J197*Geometry!$J$21,0)+IF(C197=5,J197*Geometry!$K$21,0)</f>
        <v>0</v>
      </c>
      <c r="L197" s="59">
        <f>IF(C197=1,J197*Geometry!$G$20,0)+IF(C197=2,J197*Geometry!$H$20,0)+IF(C197=3,J197*Geometry!$I$20,0)+IF(C197=4,J197*Geometry!$J$20,0)+IF(C197=5,J197*Geometry!$K$20,0)</f>
        <v>0</v>
      </c>
      <c r="M197" s="59">
        <f>IF(C197=1,J197*Geometry!$G$19,0)+IF(C197=2,J197*Geometry!$H$19,0)+IF(C197=3,J197*Geometry!$I$19,0)+IF(C197=4,J197*Geometry!$J$19,0)+IF(C197=5,J197*Geometry!$K$19,0)</f>
        <v>0</v>
      </c>
      <c r="N197" s="59">
        <f>IF(C197=1,J197*Geometry!$G$22,0)+IF(C197=2,J197*Geometry!$H$22,0)+IF(C197=3,J197*Geometry!$I$22,0)+IF(C197=4,J197*Geometry!$J$22,0)+IF(C197=5,J197*Geometry!$K$22,0)</f>
        <v>0</v>
      </c>
      <c r="O197" s="59">
        <f>IF(C197=1,J197*Geometry!$G$23,0)+IF(C197=2,J197*Geometry!$H$23,0)+IF(C197=3,J197*Geometry!$I$23,0)+IF(C197=4,J197*Geometry!$J$23,0)+IF(C197=5,J197*Geometry!$K$23,0)</f>
        <v>0</v>
      </c>
      <c r="P197">
        <f>IF(C197=1,J197*Geometry!$G$24,0)+IF(C197=2,J197*Geometry!$H$24,0)+IF(C197=3,J197*Geometry!$I$24,0)+IF(C197=4,J197*Geometry!$J$24,0)+IF(C197=5,J197*Geometry!$K$24,0)</f>
        <v>0</v>
      </c>
    </row>
    <row r="198" spans="1:16">
      <c r="A198">
        <f t="shared" si="28"/>
        <v>192</v>
      </c>
      <c r="C198" s="7">
        <f t="shared" si="33"/>
        <v>3</v>
      </c>
      <c r="D198" s="69">
        <f>D197+Geometry!$C$15</f>
        <v>1097.5</v>
      </c>
      <c r="E198" s="59">
        <f t="shared" si="34"/>
        <v>-891.25</v>
      </c>
      <c r="F198" s="4">
        <f>Geometry!$D$12*D198</f>
        <v>41.066454545454548</v>
      </c>
      <c r="G198" s="4">
        <f t="shared" si="35"/>
        <v>0</v>
      </c>
      <c r="H198" s="4">
        <f>IF(ABS(E198*E198)&lt;=Geometry!$E$10,SQRT(Geometry!$E$10-E198*E198),0)</f>
        <v>0</v>
      </c>
      <c r="I198" s="4">
        <f t="shared" si="36"/>
        <v>0</v>
      </c>
      <c r="J198">
        <f t="shared" si="37"/>
        <v>0</v>
      </c>
      <c r="K198" s="59">
        <f>IF(C198=1,J198*Geometry!$G$21,0)+IF(C198=2,J198*Geometry!$H$21,0)+IF(C198=3,J198*Geometry!$I$21,0)+IF(C198=4,J198*Geometry!$J$21,0)+IF(C198=5,J198*Geometry!$K$21,0)</f>
        <v>0</v>
      </c>
      <c r="L198" s="59">
        <f>IF(C198=1,J198*Geometry!$G$20,0)+IF(C198=2,J198*Geometry!$H$20,0)+IF(C198=3,J198*Geometry!$I$20,0)+IF(C198=4,J198*Geometry!$J$20,0)+IF(C198=5,J198*Geometry!$K$20,0)</f>
        <v>0</v>
      </c>
      <c r="M198" s="59">
        <f>IF(C198=1,J198*Geometry!$G$19,0)+IF(C198=2,J198*Geometry!$H$19,0)+IF(C198=3,J198*Geometry!$I$19,0)+IF(C198=4,J198*Geometry!$J$19,0)+IF(C198=5,J198*Geometry!$K$19,0)</f>
        <v>0</v>
      </c>
      <c r="N198" s="59">
        <f>IF(C198=1,J198*Geometry!$G$22,0)+IF(C198=2,J198*Geometry!$H$22,0)+IF(C198=3,J198*Geometry!$I$22,0)+IF(C198=4,J198*Geometry!$J$22,0)+IF(C198=5,J198*Geometry!$K$22,0)</f>
        <v>0</v>
      </c>
      <c r="O198" s="59">
        <f>IF(C198=1,J198*Geometry!$G$23,0)+IF(C198=2,J198*Geometry!$H$23,0)+IF(C198=3,J198*Geometry!$I$23,0)+IF(C198=4,J198*Geometry!$J$23,0)+IF(C198=5,J198*Geometry!$K$23,0)</f>
        <v>0</v>
      </c>
      <c r="P198">
        <f>IF(C198=1,J198*Geometry!$G$24,0)+IF(C198=2,J198*Geometry!$H$24,0)+IF(C198=3,J198*Geometry!$I$24,0)+IF(C198=4,J198*Geometry!$J$24,0)+IF(C198=5,J198*Geometry!$K$24,0)</f>
        <v>0</v>
      </c>
    </row>
    <row r="199" spans="1:16">
      <c r="A199">
        <f t="shared" si="28"/>
        <v>193</v>
      </c>
      <c r="C199" s="7">
        <f t="shared" si="33"/>
        <v>3</v>
      </c>
      <c r="D199" s="69">
        <f>D198+Geometry!$C$15</f>
        <v>1102.5</v>
      </c>
      <c r="E199" s="59">
        <f t="shared" ref="E199:E208" si="38">E198-(D199-D198)</f>
        <v>-896.25</v>
      </c>
      <c r="F199" s="4">
        <f>Geometry!$D$12*D199</f>
        <v>41.25354545454546</v>
      </c>
      <c r="G199" s="4">
        <f t="shared" ref="G199:G208" si="39">IF(H199&gt;0,F199/9.8,0)</f>
        <v>0</v>
      </c>
      <c r="H199" s="4">
        <f>IF(ABS(E199*E199)&lt;=Geometry!$E$10,SQRT(Geometry!$E$10-E199*E199),0)</f>
        <v>0</v>
      </c>
      <c r="I199" s="4">
        <f t="shared" ref="I199:I208" si="40">IF(H199&gt;0,1,0)</f>
        <v>0</v>
      </c>
      <c r="J199">
        <f t="shared" ref="J199:J208" si="41">PI()*H199*H199</f>
        <v>0</v>
      </c>
      <c r="K199" s="59">
        <f>IF(C199=1,J199*Geometry!$G$21,0)+IF(C199=2,J199*Geometry!$H$21,0)+IF(C199=3,J199*Geometry!$I$21,0)+IF(C199=4,J199*Geometry!$J$21,0)+IF(C199=5,J199*Geometry!$K$21,0)</f>
        <v>0</v>
      </c>
      <c r="L199" s="59">
        <f>IF(C199=1,J199*Geometry!$G$20,0)+IF(C199=2,J199*Geometry!$H$20,0)+IF(C199=3,J199*Geometry!$I$20,0)+IF(C199=4,J199*Geometry!$J$20,0)+IF(C199=5,J199*Geometry!$K$20,0)</f>
        <v>0</v>
      </c>
      <c r="M199" s="59">
        <f>IF(C199=1,J199*Geometry!$G$19,0)+IF(C199=2,J199*Geometry!$H$19,0)+IF(C199=3,J199*Geometry!$I$19,0)+IF(C199=4,J199*Geometry!$J$19,0)+IF(C199=5,J199*Geometry!$K$19,0)</f>
        <v>0</v>
      </c>
      <c r="N199" s="59">
        <f>IF(C199=1,J199*Geometry!$G$22,0)+IF(C199=2,J199*Geometry!$H$22,0)+IF(C199=3,J199*Geometry!$I$22,0)+IF(C199=4,J199*Geometry!$J$22,0)+IF(C199=5,J199*Geometry!$K$22,0)</f>
        <v>0</v>
      </c>
      <c r="O199" s="59">
        <f>IF(C199=1,J199*Geometry!$G$23,0)+IF(C199=2,J199*Geometry!$H$23,0)+IF(C199=3,J199*Geometry!$I$23,0)+IF(C199=4,J199*Geometry!$J$23,0)+IF(C199=5,J199*Geometry!$K$23,0)</f>
        <v>0</v>
      </c>
      <c r="P199">
        <f>IF(C199=1,J199*Geometry!$G$24,0)+IF(C199=2,J199*Geometry!$H$24,0)+IF(C199=3,J199*Geometry!$I$24,0)+IF(C199=4,J199*Geometry!$J$24,0)+IF(C199=5,J199*Geometry!$K$24,0)</f>
        <v>0</v>
      </c>
    </row>
    <row r="200" spans="1:16">
      <c r="A200">
        <f t="shared" si="28"/>
        <v>194</v>
      </c>
      <c r="C200" s="7">
        <f t="shared" ref="C200:C208" si="42">IF(A200&gt;$C$1-$C$4,3,IF(A200&lt;2,3,IF(A200&lt;=$C$2-$C$3,1,IF(A200&gt;$C$2,1,2))))</f>
        <v>3</v>
      </c>
      <c r="D200" s="69">
        <f>D199+Geometry!$C$15</f>
        <v>1107.5</v>
      </c>
      <c r="E200" s="59">
        <f t="shared" si="38"/>
        <v>-901.25</v>
      </c>
      <c r="F200" s="4">
        <f>Geometry!$D$12*D200</f>
        <v>41.440636363636365</v>
      </c>
      <c r="G200" s="4">
        <f t="shared" si="39"/>
        <v>0</v>
      </c>
      <c r="H200" s="4">
        <f>IF(ABS(E200*E200)&lt;=Geometry!$E$10,SQRT(Geometry!$E$10-E200*E200),0)</f>
        <v>0</v>
      </c>
      <c r="I200" s="4">
        <f t="shared" si="40"/>
        <v>0</v>
      </c>
      <c r="J200">
        <f t="shared" si="41"/>
        <v>0</v>
      </c>
      <c r="K200" s="59">
        <f>IF(C200=1,J200*Geometry!$G$21,0)+IF(C200=2,J200*Geometry!$H$21,0)+IF(C200=3,J200*Geometry!$I$21,0)+IF(C200=4,J200*Geometry!$J$21,0)+IF(C200=5,J200*Geometry!$K$21,0)</f>
        <v>0</v>
      </c>
      <c r="L200" s="59">
        <f>IF(C200=1,J200*Geometry!$G$20,0)+IF(C200=2,J200*Geometry!$H$20,0)+IF(C200=3,J200*Geometry!$I$20,0)+IF(C200=4,J200*Geometry!$J$20,0)+IF(C200=5,J200*Geometry!$K$20,0)</f>
        <v>0</v>
      </c>
      <c r="M200" s="59">
        <f>IF(C200=1,J200*Geometry!$G$19,0)+IF(C200=2,J200*Geometry!$H$19,0)+IF(C200=3,J200*Geometry!$I$19,0)+IF(C200=4,J200*Geometry!$J$19,0)+IF(C200=5,J200*Geometry!$K$19,0)</f>
        <v>0</v>
      </c>
      <c r="N200" s="59">
        <f>IF(C200=1,J200*Geometry!$G$22,0)+IF(C200=2,J200*Geometry!$H$22,0)+IF(C200=3,J200*Geometry!$I$22,0)+IF(C200=4,J200*Geometry!$J$22,0)+IF(C200=5,J200*Geometry!$K$22,0)</f>
        <v>0</v>
      </c>
      <c r="O200" s="59">
        <f>IF(C200=1,J200*Geometry!$G$23,0)+IF(C200=2,J200*Geometry!$H$23,0)+IF(C200=3,J200*Geometry!$I$23,0)+IF(C200=4,J200*Geometry!$J$23,0)+IF(C200=5,J200*Geometry!$K$23,0)</f>
        <v>0</v>
      </c>
      <c r="P200">
        <f>IF(C200=1,J200*Geometry!$G$24,0)+IF(C200=2,J200*Geometry!$H$24,0)+IF(C200=3,J200*Geometry!$I$24,0)+IF(C200=4,J200*Geometry!$J$24,0)+IF(C200=5,J200*Geometry!$K$24,0)</f>
        <v>0</v>
      </c>
    </row>
    <row r="201" spans="1:16">
      <c r="A201">
        <f t="shared" si="28"/>
        <v>195</v>
      </c>
      <c r="C201" s="7">
        <f t="shared" si="42"/>
        <v>3</v>
      </c>
      <c r="D201" s="69">
        <f>D200+Geometry!$C$15</f>
        <v>1112.5</v>
      </c>
      <c r="E201" s="59">
        <f t="shared" si="38"/>
        <v>-906.25</v>
      </c>
      <c r="F201" s="4">
        <f>Geometry!$D$12*D201</f>
        <v>41.627727272727277</v>
      </c>
      <c r="G201" s="4">
        <f t="shared" si="39"/>
        <v>0</v>
      </c>
      <c r="H201" s="4">
        <f>IF(ABS(E201*E201)&lt;=Geometry!$E$10,SQRT(Geometry!$E$10-E201*E201),0)</f>
        <v>0</v>
      </c>
      <c r="I201" s="4">
        <f t="shared" si="40"/>
        <v>0</v>
      </c>
      <c r="J201">
        <f t="shared" si="41"/>
        <v>0</v>
      </c>
      <c r="K201" s="59">
        <f>IF(C201=1,J201*Geometry!$G$21,0)+IF(C201=2,J201*Geometry!$H$21,0)+IF(C201=3,J201*Geometry!$I$21,0)+IF(C201=4,J201*Geometry!$J$21,0)+IF(C201=5,J201*Geometry!$K$21,0)</f>
        <v>0</v>
      </c>
      <c r="L201" s="59">
        <f>IF(C201=1,J201*Geometry!$G$20,0)+IF(C201=2,J201*Geometry!$H$20,0)+IF(C201=3,J201*Geometry!$I$20,0)+IF(C201=4,J201*Geometry!$J$20,0)+IF(C201=5,J201*Geometry!$K$20,0)</f>
        <v>0</v>
      </c>
      <c r="M201" s="59">
        <f>IF(C201=1,J201*Geometry!$G$19,0)+IF(C201=2,J201*Geometry!$H$19,0)+IF(C201=3,J201*Geometry!$I$19,0)+IF(C201=4,J201*Geometry!$J$19,0)+IF(C201=5,J201*Geometry!$K$19,0)</f>
        <v>0</v>
      </c>
      <c r="N201" s="59">
        <f>IF(C201=1,J201*Geometry!$G$22,0)+IF(C201=2,J201*Geometry!$H$22,0)+IF(C201=3,J201*Geometry!$I$22,0)+IF(C201=4,J201*Geometry!$J$22,0)+IF(C201=5,J201*Geometry!$K$22,0)</f>
        <v>0</v>
      </c>
      <c r="O201" s="59">
        <f>IF(C201=1,J201*Geometry!$G$23,0)+IF(C201=2,J201*Geometry!$H$23,0)+IF(C201=3,J201*Geometry!$I$23,0)+IF(C201=4,J201*Geometry!$J$23,0)+IF(C201=5,J201*Geometry!$K$23,0)</f>
        <v>0</v>
      </c>
      <c r="P201">
        <f>IF(C201=1,J201*Geometry!$G$24,0)+IF(C201=2,J201*Geometry!$H$24,0)+IF(C201=3,J201*Geometry!$I$24,0)+IF(C201=4,J201*Geometry!$J$24,0)+IF(C201=5,J201*Geometry!$K$24,0)</f>
        <v>0</v>
      </c>
    </row>
    <row r="202" spans="1:16">
      <c r="A202">
        <f t="shared" si="28"/>
        <v>196</v>
      </c>
      <c r="C202" s="7">
        <f t="shared" si="42"/>
        <v>3</v>
      </c>
      <c r="D202" s="69">
        <f>D201+Geometry!$C$15</f>
        <v>1117.5</v>
      </c>
      <c r="E202" s="59">
        <f t="shared" si="38"/>
        <v>-911.25</v>
      </c>
      <c r="F202" s="4">
        <f>Geometry!$D$12*D202</f>
        <v>41.81481818181819</v>
      </c>
      <c r="G202" s="4">
        <f t="shared" si="39"/>
        <v>0</v>
      </c>
      <c r="H202" s="4">
        <f>IF(ABS(E202*E202)&lt;=Geometry!$E$10,SQRT(Geometry!$E$10-E202*E202),0)</f>
        <v>0</v>
      </c>
      <c r="I202" s="4">
        <f t="shared" si="40"/>
        <v>0</v>
      </c>
      <c r="J202">
        <f t="shared" si="41"/>
        <v>0</v>
      </c>
      <c r="K202" s="59">
        <f>IF(C202=1,J202*Geometry!$G$21,0)+IF(C202=2,J202*Geometry!$H$21,0)+IF(C202=3,J202*Geometry!$I$21,0)+IF(C202=4,J202*Geometry!$J$21,0)+IF(C202=5,J202*Geometry!$K$21,0)</f>
        <v>0</v>
      </c>
      <c r="L202" s="59">
        <f>IF(C202=1,J202*Geometry!$G$20,0)+IF(C202=2,J202*Geometry!$H$20,0)+IF(C202=3,J202*Geometry!$I$20,0)+IF(C202=4,J202*Geometry!$J$20,0)+IF(C202=5,J202*Geometry!$K$20,0)</f>
        <v>0</v>
      </c>
      <c r="M202" s="59">
        <f>IF(C202=1,J202*Geometry!$G$19,0)+IF(C202=2,J202*Geometry!$H$19,0)+IF(C202=3,J202*Geometry!$I$19,0)+IF(C202=4,J202*Geometry!$J$19,0)+IF(C202=5,J202*Geometry!$K$19,0)</f>
        <v>0</v>
      </c>
      <c r="N202" s="59">
        <f>IF(C202=1,J202*Geometry!$G$22,0)+IF(C202=2,J202*Geometry!$H$22,0)+IF(C202=3,J202*Geometry!$I$22,0)+IF(C202=4,J202*Geometry!$J$22,0)+IF(C202=5,J202*Geometry!$K$22,0)</f>
        <v>0</v>
      </c>
      <c r="O202" s="59">
        <f>IF(C202=1,J202*Geometry!$G$23,0)+IF(C202=2,J202*Geometry!$H$23,0)+IF(C202=3,J202*Geometry!$I$23,0)+IF(C202=4,J202*Geometry!$J$23,0)+IF(C202=5,J202*Geometry!$K$23,0)</f>
        <v>0</v>
      </c>
      <c r="P202">
        <f>IF(C202=1,J202*Geometry!$G$24,0)+IF(C202=2,J202*Geometry!$H$24,0)+IF(C202=3,J202*Geometry!$I$24,0)+IF(C202=4,J202*Geometry!$J$24,0)+IF(C202=5,J202*Geometry!$K$24,0)</f>
        <v>0</v>
      </c>
    </row>
    <row r="203" spans="1:16">
      <c r="A203">
        <f t="shared" si="28"/>
        <v>197</v>
      </c>
      <c r="C203" s="7">
        <f t="shared" si="42"/>
        <v>3</v>
      </c>
      <c r="D203" s="69">
        <f>D202+Geometry!$C$15</f>
        <v>1122.5</v>
      </c>
      <c r="E203" s="59">
        <f t="shared" si="38"/>
        <v>-916.25</v>
      </c>
      <c r="F203" s="4">
        <f>Geometry!$D$12*D203</f>
        <v>42.001909090909095</v>
      </c>
      <c r="G203" s="4">
        <f t="shared" si="39"/>
        <v>0</v>
      </c>
      <c r="H203" s="4">
        <f>IF(ABS(E203*E203)&lt;=Geometry!$E$10,SQRT(Geometry!$E$10-E203*E203),0)</f>
        <v>0</v>
      </c>
      <c r="I203" s="4">
        <f t="shared" si="40"/>
        <v>0</v>
      </c>
      <c r="J203">
        <f t="shared" si="41"/>
        <v>0</v>
      </c>
      <c r="K203" s="59">
        <f>IF(C203=1,J203*Geometry!$G$21,0)+IF(C203=2,J203*Geometry!$H$21,0)+IF(C203=3,J203*Geometry!$I$21,0)+IF(C203=4,J203*Geometry!$J$21,0)+IF(C203=5,J203*Geometry!$K$21,0)</f>
        <v>0</v>
      </c>
      <c r="L203" s="59">
        <f>IF(C203=1,J203*Geometry!$G$20,0)+IF(C203=2,J203*Geometry!$H$20,0)+IF(C203=3,J203*Geometry!$I$20,0)+IF(C203=4,J203*Geometry!$J$20,0)+IF(C203=5,J203*Geometry!$K$20,0)</f>
        <v>0</v>
      </c>
      <c r="M203" s="59">
        <f>IF(C203=1,J203*Geometry!$G$19,0)+IF(C203=2,J203*Geometry!$H$19,0)+IF(C203=3,J203*Geometry!$I$19,0)+IF(C203=4,J203*Geometry!$J$19,0)+IF(C203=5,J203*Geometry!$K$19,0)</f>
        <v>0</v>
      </c>
      <c r="N203" s="59">
        <f>IF(C203=1,J203*Geometry!$G$22,0)+IF(C203=2,J203*Geometry!$H$22,0)+IF(C203=3,J203*Geometry!$I$22,0)+IF(C203=4,J203*Geometry!$J$22,0)+IF(C203=5,J203*Geometry!$K$22,0)</f>
        <v>0</v>
      </c>
      <c r="O203" s="59">
        <f>IF(C203=1,J203*Geometry!$G$23,0)+IF(C203=2,J203*Geometry!$H$23,0)+IF(C203=3,J203*Geometry!$I$23,0)+IF(C203=4,J203*Geometry!$J$23,0)+IF(C203=5,J203*Geometry!$K$23,0)</f>
        <v>0</v>
      </c>
      <c r="P203">
        <f>IF(C203=1,J203*Geometry!$G$24,0)+IF(C203=2,J203*Geometry!$H$24,0)+IF(C203=3,J203*Geometry!$I$24,0)+IF(C203=4,J203*Geometry!$J$24,0)+IF(C203=5,J203*Geometry!$K$24,0)</f>
        <v>0</v>
      </c>
    </row>
    <row r="204" spans="1:16">
      <c r="A204">
        <f t="shared" si="28"/>
        <v>198</v>
      </c>
      <c r="C204" s="7">
        <f t="shared" si="42"/>
        <v>3</v>
      </c>
      <c r="D204" s="69">
        <f>D203+Geometry!$C$15</f>
        <v>1127.5</v>
      </c>
      <c r="E204" s="59">
        <f t="shared" si="38"/>
        <v>-921.25</v>
      </c>
      <c r="F204" s="4">
        <f>Geometry!$D$12*D204</f>
        <v>42.189000000000007</v>
      </c>
      <c r="G204" s="4">
        <f t="shared" si="39"/>
        <v>0</v>
      </c>
      <c r="H204" s="4">
        <f>IF(ABS(E204*E204)&lt;=Geometry!$E$10,SQRT(Geometry!$E$10-E204*E204),0)</f>
        <v>0</v>
      </c>
      <c r="I204" s="4">
        <f t="shared" si="40"/>
        <v>0</v>
      </c>
      <c r="J204">
        <f t="shared" si="41"/>
        <v>0</v>
      </c>
      <c r="K204" s="59">
        <f>IF(C204=1,J204*Geometry!$G$21,0)+IF(C204=2,J204*Geometry!$H$21,0)+IF(C204=3,J204*Geometry!$I$21,0)+IF(C204=4,J204*Geometry!$J$21,0)+IF(C204=5,J204*Geometry!$K$21,0)</f>
        <v>0</v>
      </c>
      <c r="L204" s="59">
        <f>IF(C204=1,J204*Geometry!$G$20,0)+IF(C204=2,J204*Geometry!$H$20,0)+IF(C204=3,J204*Geometry!$I$20,0)+IF(C204=4,J204*Geometry!$J$20,0)+IF(C204=5,J204*Geometry!$K$20,0)</f>
        <v>0</v>
      </c>
      <c r="M204" s="59">
        <f>IF(C204=1,J204*Geometry!$G$19,0)+IF(C204=2,J204*Geometry!$H$19,0)+IF(C204=3,J204*Geometry!$I$19,0)+IF(C204=4,J204*Geometry!$J$19,0)+IF(C204=5,J204*Geometry!$K$19,0)</f>
        <v>0</v>
      </c>
      <c r="N204" s="59">
        <f>IF(C204=1,J204*Geometry!$G$22,0)+IF(C204=2,J204*Geometry!$H$22,0)+IF(C204=3,J204*Geometry!$I$22,0)+IF(C204=4,J204*Geometry!$J$22,0)+IF(C204=5,J204*Geometry!$K$22,0)</f>
        <v>0</v>
      </c>
      <c r="O204" s="59">
        <f>IF(C204=1,J204*Geometry!$G$23,0)+IF(C204=2,J204*Geometry!$H$23,0)+IF(C204=3,J204*Geometry!$I$23,0)+IF(C204=4,J204*Geometry!$J$23,0)+IF(C204=5,J204*Geometry!$K$23,0)</f>
        <v>0</v>
      </c>
      <c r="P204">
        <f>IF(C204=1,J204*Geometry!$G$24,0)+IF(C204=2,J204*Geometry!$H$24,0)+IF(C204=3,J204*Geometry!$I$24,0)+IF(C204=4,J204*Geometry!$J$24,0)+IF(C204=5,J204*Geometry!$K$24,0)</f>
        <v>0</v>
      </c>
    </row>
    <row r="205" spans="1:16">
      <c r="A205">
        <f t="shared" si="28"/>
        <v>199</v>
      </c>
      <c r="C205" s="7">
        <f t="shared" si="42"/>
        <v>3</v>
      </c>
      <c r="D205" s="69">
        <f>D204+Geometry!$C$15</f>
        <v>1132.5</v>
      </c>
      <c r="E205" s="59">
        <f t="shared" si="38"/>
        <v>-926.25</v>
      </c>
      <c r="F205" s="4">
        <f>Geometry!$D$12*D205</f>
        <v>42.376090909090912</v>
      </c>
      <c r="G205" s="4">
        <f t="shared" si="39"/>
        <v>0</v>
      </c>
      <c r="H205" s="4">
        <f>IF(ABS(E205*E205)&lt;=Geometry!$E$10,SQRT(Geometry!$E$10-E205*E205),0)</f>
        <v>0</v>
      </c>
      <c r="I205" s="4">
        <f t="shared" si="40"/>
        <v>0</v>
      </c>
      <c r="J205">
        <f t="shared" si="41"/>
        <v>0</v>
      </c>
      <c r="K205" s="59">
        <f>IF(C205=1,J205*Geometry!$G$21,0)+IF(C205=2,J205*Geometry!$H$21,0)+IF(C205=3,J205*Geometry!$I$21,0)+IF(C205=4,J205*Geometry!$J$21,0)+IF(C205=5,J205*Geometry!$K$21,0)</f>
        <v>0</v>
      </c>
      <c r="L205" s="59">
        <f>IF(C205=1,J205*Geometry!$G$20,0)+IF(C205=2,J205*Geometry!$H$20,0)+IF(C205=3,J205*Geometry!$I$20,0)+IF(C205=4,J205*Geometry!$J$20,0)+IF(C205=5,J205*Geometry!$K$20,0)</f>
        <v>0</v>
      </c>
      <c r="M205" s="59">
        <f>IF(C205=1,J205*Geometry!$G$19,0)+IF(C205=2,J205*Geometry!$H$19,0)+IF(C205=3,J205*Geometry!$I$19,0)+IF(C205=4,J205*Geometry!$J$19,0)+IF(C205=5,J205*Geometry!$K$19,0)</f>
        <v>0</v>
      </c>
      <c r="N205" s="59">
        <f>IF(C205=1,J205*Geometry!$G$22,0)+IF(C205=2,J205*Geometry!$H$22,0)+IF(C205=3,J205*Geometry!$I$22,0)+IF(C205=4,J205*Geometry!$J$22,0)+IF(C205=5,J205*Geometry!$K$22,0)</f>
        <v>0</v>
      </c>
      <c r="O205" s="59">
        <f>IF(C205=1,J205*Geometry!$G$23,0)+IF(C205=2,J205*Geometry!$H$23,0)+IF(C205=3,J205*Geometry!$I$23,0)+IF(C205=4,J205*Geometry!$J$23,0)+IF(C205=5,J205*Geometry!$K$23,0)</f>
        <v>0</v>
      </c>
      <c r="P205">
        <f>IF(C205=1,J205*Geometry!$G$24,0)+IF(C205=2,J205*Geometry!$H$24,0)+IF(C205=3,J205*Geometry!$I$24,0)+IF(C205=4,J205*Geometry!$J$24,0)+IF(C205=5,J205*Geometry!$K$24,0)</f>
        <v>0</v>
      </c>
    </row>
    <row r="206" spans="1:16">
      <c r="A206">
        <f t="shared" si="28"/>
        <v>200</v>
      </c>
      <c r="C206" s="7">
        <f t="shared" si="42"/>
        <v>3</v>
      </c>
      <c r="D206" s="69">
        <f>D205+Geometry!$C$15</f>
        <v>1137.5</v>
      </c>
      <c r="E206" s="59">
        <f t="shared" si="38"/>
        <v>-931.25</v>
      </c>
      <c r="F206" s="4">
        <f>Geometry!$D$12*D206</f>
        <v>42.563181818181825</v>
      </c>
      <c r="G206" s="4">
        <f t="shared" si="39"/>
        <v>0</v>
      </c>
      <c r="H206" s="4">
        <f>IF(ABS(E206*E206)&lt;=Geometry!$E$10,SQRT(Geometry!$E$10-E206*E206),0)</f>
        <v>0</v>
      </c>
      <c r="I206" s="4">
        <f t="shared" si="40"/>
        <v>0</v>
      </c>
      <c r="J206">
        <f t="shared" si="41"/>
        <v>0</v>
      </c>
      <c r="K206" s="59">
        <f>IF(C206=1,J206*Geometry!$G$21,0)+IF(C206=2,J206*Geometry!$H$21,0)+IF(C206=3,J206*Geometry!$I$21,0)+IF(C206=4,J206*Geometry!$J$21,0)+IF(C206=5,J206*Geometry!$K$21,0)</f>
        <v>0</v>
      </c>
      <c r="L206" s="59">
        <f>IF(C206=1,J206*Geometry!$G$20,0)+IF(C206=2,J206*Geometry!$H$20,0)+IF(C206=3,J206*Geometry!$I$20,0)+IF(C206=4,J206*Geometry!$J$20,0)+IF(C206=5,J206*Geometry!$K$20,0)</f>
        <v>0</v>
      </c>
      <c r="M206" s="59">
        <f>IF(C206=1,J206*Geometry!$G$19,0)+IF(C206=2,J206*Geometry!$H$19,0)+IF(C206=3,J206*Geometry!$I$19,0)+IF(C206=4,J206*Geometry!$J$19,0)+IF(C206=5,J206*Geometry!$K$19,0)</f>
        <v>0</v>
      </c>
      <c r="N206" s="59">
        <f>IF(C206=1,J206*Geometry!$G$22,0)+IF(C206=2,J206*Geometry!$H$22,0)+IF(C206=3,J206*Geometry!$I$22,0)+IF(C206=4,J206*Geometry!$J$22,0)+IF(C206=5,J206*Geometry!$K$22,0)</f>
        <v>0</v>
      </c>
      <c r="O206" s="59">
        <f>IF(C206=1,J206*Geometry!$G$23,0)+IF(C206=2,J206*Geometry!$H$23,0)+IF(C206=3,J206*Geometry!$I$23,0)+IF(C206=4,J206*Geometry!$J$23,0)+IF(C206=5,J206*Geometry!$K$23,0)</f>
        <v>0</v>
      </c>
      <c r="P206">
        <f>IF(C206=1,J206*Geometry!$G$24,0)+IF(C206=2,J206*Geometry!$H$24,0)+IF(C206=3,J206*Geometry!$I$24,0)+IF(C206=4,J206*Geometry!$J$24,0)+IF(C206=5,J206*Geometry!$K$24,0)</f>
        <v>0</v>
      </c>
    </row>
    <row r="207" spans="1:16">
      <c r="A207">
        <f t="shared" si="28"/>
        <v>201</v>
      </c>
      <c r="C207" s="7">
        <f t="shared" si="42"/>
        <v>3</v>
      </c>
      <c r="D207" s="69">
        <f>D206+Geometry!$C$15</f>
        <v>1142.5</v>
      </c>
      <c r="E207" s="59">
        <f t="shared" si="38"/>
        <v>-936.25</v>
      </c>
      <c r="F207" s="4">
        <f>Geometry!$D$12*D207</f>
        <v>42.75027272727273</v>
      </c>
      <c r="G207" s="4">
        <f t="shared" si="39"/>
        <v>0</v>
      </c>
      <c r="H207" s="4">
        <f>IF(ABS(E207*E207)&lt;=Geometry!$E$10,SQRT(Geometry!$E$10-E207*E207),0)</f>
        <v>0</v>
      </c>
      <c r="I207" s="4">
        <f t="shared" si="40"/>
        <v>0</v>
      </c>
      <c r="J207">
        <f t="shared" si="41"/>
        <v>0</v>
      </c>
    </row>
    <row r="208" spans="1:16">
      <c r="A208">
        <f t="shared" si="28"/>
        <v>202</v>
      </c>
      <c r="C208" s="7">
        <f t="shared" si="42"/>
        <v>3</v>
      </c>
      <c r="D208" s="69">
        <f>D207+Geometry!$C$15</f>
        <v>1147.5</v>
      </c>
      <c r="E208" s="59">
        <f t="shared" si="38"/>
        <v>-941.25</v>
      </c>
      <c r="F208" s="4">
        <f>Geometry!$D$12*D208</f>
        <v>42.937363636363642</v>
      </c>
      <c r="G208" s="4">
        <f t="shared" si="39"/>
        <v>0</v>
      </c>
      <c r="H208" s="4">
        <f>IF(ABS(E208*E208)&lt;=Geometry!$E$10,SQRT(Geometry!$E$10-E208*E208),0)</f>
        <v>0</v>
      </c>
      <c r="I208" s="4">
        <f t="shared" si="40"/>
        <v>0</v>
      </c>
      <c r="J208">
        <f t="shared" si="41"/>
        <v>0</v>
      </c>
    </row>
  </sheetData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D0D86-477E-CD4E-8E1C-4C6B21809367}">
  <dimension ref="A1:H8"/>
  <sheetViews>
    <sheetView workbookViewId="0"/>
  </sheetViews>
  <sheetFormatPr baseColWidth="10" defaultRowHeight="16"/>
  <cols>
    <col min="1" max="1" width="17.33203125" bestFit="1" customWidth="1"/>
    <col min="7" max="7" width="55.6640625" bestFit="1" customWidth="1"/>
    <col min="8" max="8" width="46.6640625" bestFit="1" customWidth="1"/>
  </cols>
  <sheetData>
    <row r="1" spans="1:8">
      <c r="A1" t="s">
        <v>333</v>
      </c>
    </row>
    <row r="2" spans="1:8">
      <c r="B2" t="s">
        <v>335</v>
      </c>
      <c r="C2" t="s">
        <v>336</v>
      </c>
      <c r="D2" t="s">
        <v>328</v>
      </c>
      <c r="E2" t="s">
        <v>337</v>
      </c>
    </row>
    <row r="3" spans="1:8">
      <c r="A3" t="s">
        <v>334</v>
      </c>
      <c r="B3">
        <v>1240000</v>
      </c>
      <c r="C3" s="68">
        <v>930000000</v>
      </c>
      <c r="D3">
        <v>110</v>
      </c>
      <c r="E3">
        <f>C3/B3</f>
        <v>750</v>
      </c>
      <c r="G3" t="s">
        <v>331</v>
      </c>
      <c r="H3" t="s">
        <v>332</v>
      </c>
    </row>
    <row r="4" spans="1:8">
      <c r="A4" t="s">
        <v>338</v>
      </c>
      <c r="B4">
        <v>217045</v>
      </c>
      <c r="C4">
        <v>40000000</v>
      </c>
      <c r="D4">
        <v>64</v>
      </c>
      <c r="E4">
        <f>C4/B4</f>
        <v>184.29357967241816</v>
      </c>
      <c r="G4" t="s">
        <v>339</v>
      </c>
    </row>
    <row r="5" spans="1:8">
      <c r="A5" t="s">
        <v>341</v>
      </c>
      <c r="B5">
        <v>52000</v>
      </c>
      <c r="D5">
        <v>36</v>
      </c>
    </row>
    <row r="7" spans="1:8">
      <c r="B7">
        <f>222.97</f>
        <v>222.97</v>
      </c>
      <c r="C7">
        <f>74.4*2000/2.2</f>
        <v>67636.363636363632</v>
      </c>
      <c r="D7">
        <v>1</v>
      </c>
      <c r="E7">
        <f>C7/B7</f>
        <v>303.34288754704056</v>
      </c>
      <c r="G7" t="s">
        <v>342</v>
      </c>
    </row>
    <row r="8" spans="1:8">
      <c r="G8" t="s">
        <v>343</v>
      </c>
    </row>
  </sheetData>
  <pageMargins left="0.7" right="0.7" top="0.75" bottom="0.75" header="0.3" footer="0.3"/>
  <pageSetup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3CF4E-982B-F64A-90C0-F8C4D2081E9D}">
  <dimension ref="A1:J57"/>
  <sheetViews>
    <sheetView workbookViewId="0"/>
  </sheetViews>
  <sheetFormatPr baseColWidth="10" defaultRowHeight="16"/>
  <cols>
    <col min="1" max="1" width="16.5" customWidth="1"/>
    <col min="3" max="3" width="28" customWidth="1"/>
    <col min="5" max="5" width="43.5" bestFit="1" customWidth="1"/>
    <col min="6" max="6" width="11.6640625" bestFit="1" customWidth="1"/>
  </cols>
  <sheetData>
    <row r="1" spans="1:10">
      <c r="A1" t="s">
        <v>154</v>
      </c>
      <c r="C1">
        <f>Vehicle!B16</f>
        <v>300</v>
      </c>
      <c r="J1" s="3"/>
    </row>
    <row r="2" spans="1:10" ht="18">
      <c r="A2" t="s">
        <v>850</v>
      </c>
      <c r="C2" s="3">
        <f>Vehicle!B8</f>
        <v>476527502.13524342</v>
      </c>
      <c r="D2" t="s">
        <v>5</v>
      </c>
      <c r="I2" s="119"/>
    </row>
    <row r="3" spans="1:10">
      <c r="A3" t="s">
        <v>850</v>
      </c>
      <c r="C3" s="4">
        <f>Vehicle!B9</f>
        <v>15.100555406467754</v>
      </c>
      <c r="D3" t="s">
        <v>7</v>
      </c>
      <c r="H3" s="3"/>
      <c r="I3" s="3"/>
    </row>
    <row r="4" spans="1:10">
      <c r="A4" t="s">
        <v>161</v>
      </c>
      <c r="C4" s="3">
        <f>C7*3600*24*365.26</f>
        <v>1476922561.5795512</v>
      </c>
      <c r="D4" t="s">
        <v>5</v>
      </c>
    </row>
    <row r="5" spans="1:10">
      <c r="A5" t="s">
        <v>161</v>
      </c>
      <c r="C5" s="3">
        <f>C4/3600/24</f>
        <v>17094.011129392955</v>
      </c>
      <c r="D5" t="s">
        <v>489</v>
      </c>
    </row>
    <row r="6" spans="1:10">
      <c r="A6" t="s">
        <v>161</v>
      </c>
      <c r="C6" s="4">
        <f>Vehicle!B15</f>
        <v>35.100555406467755</v>
      </c>
      <c r="D6" t="s">
        <v>7</v>
      </c>
    </row>
    <row r="7" spans="1:10">
      <c r="A7" t="s">
        <v>164</v>
      </c>
      <c r="C7" s="4">
        <f>C6*1.3333</f>
        <v>46.799570523443457</v>
      </c>
      <c r="D7" t="s">
        <v>7</v>
      </c>
    </row>
    <row r="8" spans="1:10">
      <c r="A8" t="s">
        <v>204</v>
      </c>
      <c r="C8" s="4">
        <f>5*10000000</f>
        <v>50000000</v>
      </c>
      <c r="D8" t="s">
        <v>172</v>
      </c>
      <c r="E8" t="s">
        <v>754</v>
      </c>
    </row>
    <row r="9" spans="1:10">
      <c r="C9" s="3">
        <f>C8*Conversion!C37</f>
        <v>4320000000</v>
      </c>
      <c r="D9" t="s">
        <v>788</v>
      </c>
    </row>
    <row r="10" spans="1:10">
      <c r="C10" s="3"/>
    </row>
    <row r="11" spans="1:10">
      <c r="A11" t="s">
        <v>155</v>
      </c>
      <c r="C11" s="16">
        <f>1*18775</f>
        <v>18775</v>
      </c>
      <c r="D11" t="s">
        <v>170</v>
      </c>
      <c r="E11" t="s">
        <v>169</v>
      </c>
    </row>
    <row r="12" spans="1:10">
      <c r="A12" t="s">
        <v>156</v>
      </c>
      <c r="C12" s="3">
        <f>(C11*C1)/Conversion!B2</f>
        <v>15420.94455852156</v>
      </c>
      <c r="D12" t="s">
        <v>789</v>
      </c>
    </row>
    <row r="13" spans="1:10">
      <c r="C13" s="3">
        <f>C12*Conversion!B37</f>
        <v>178.48315461251804</v>
      </c>
      <c r="D13" t="s">
        <v>172</v>
      </c>
    </row>
    <row r="14" spans="1:10">
      <c r="C14" s="3"/>
      <c r="E14" t="s">
        <v>576</v>
      </c>
    </row>
    <row r="15" spans="1:10">
      <c r="A15" t="s">
        <v>235</v>
      </c>
      <c r="C15" s="59">
        <f>SUM(Crops!AD:AD)*Conversion!B32</f>
        <v>12864.179542301054</v>
      </c>
      <c r="D15" t="s">
        <v>170</v>
      </c>
      <c r="E15" t="s">
        <v>574</v>
      </c>
    </row>
    <row r="16" spans="1:10">
      <c r="C16" s="59">
        <f>C15/Conversion!B2</f>
        <v>35.220204085697617</v>
      </c>
      <c r="D16" t="s">
        <v>790</v>
      </c>
      <c r="E16" t="s">
        <v>575</v>
      </c>
    </row>
    <row r="17" spans="1:7">
      <c r="C17" s="4">
        <f>C15*Conversion!B36</f>
        <v>0.40764125099187054</v>
      </c>
      <c r="D17" t="s">
        <v>172</v>
      </c>
      <c r="E17" t="s">
        <v>779</v>
      </c>
    </row>
    <row r="18" spans="1:7">
      <c r="C18" s="4"/>
      <c r="E18" t="s">
        <v>576</v>
      </c>
    </row>
    <row r="19" spans="1:7">
      <c r="A19" t="s">
        <v>784</v>
      </c>
      <c r="E19" s="4" t="s">
        <v>778</v>
      </c>
    </row>
    <row r="20" spans="1:7">
      <c r="E20" s="4"/>
    </row>
    <row r="21" spans="1:7">
      <c r="C21" t="s">
        <v>816</v>
      </c>
      <c r="D21" t="s">
        <v>814</v>
      </c>
      <c r="E21" s="4" t="s">
        <v>815</v>
      </c>
    </row>
    <row r="22" spans="1:7">
      <c r="A22" t="s">
        <v>812</v>
      </c>
      <c r="C22">
        <v>120000</v>
      </c>
      <c r="D22" s="3">
        <v>1000</v>
      </c>
      <c r="E22" s="3">
        <v>100</v>
      </c>
      <c r="G22" t="s">
        <v>573</v>
      </c>
    </row>
    <row r="23" spans="1:7">
      <c r="A23" t="s">
        <v>813</v>
      </c>
      <c r="C23">
        <v>0.1</v>
      </c>
      <c r="D23" s="3">
        <v>100</v>
      </c>
      <c r="E23" s="3">
        <v>100</v>
      </c>
    </row>
    <row r="24" spans="1:7">
      <c r="A24" t="s">
        <v>780</v>
      </c>
      <c r="C24">
        <f>24-8</f>
        <v>16</v>
      </c>
      <c r="D24" s="4">
        <v>12</v>
      </c>
      <c r="E24" s="4">
        <v>24</v>
      </c>
    </row>
    <row r="25" spans="1:7">
      <c r="A25" t="s">
        <v>157</v>
      </c>
      <c r="C25">
        <v>266</v>
      </c>
      <c r="D25">
        <v>266</v>
      </c>
      <c r="E25">
        <v>266</v>
      </c>
      <c r="G25" t="s">
        <v>577</v>
      </c>
    </row>
    <row r="26" spans="1:7">
      <c r="A26" t="s">
        <v>335</v>
      </c>
      <c r="C26" s="3">
        <f>Vehicle!C34+Vehicle!B36</f>
        <v>1170883.6861643391</v>
      </c>
      <c r="D26" s="3">
        <f>Vehicle!B35+Vehicle!B38</f>
        <v>243950</v>
      </c>
      <c r="E26" s="3">
        <f>Vehicle!C40-C26-D26</f>
        <v>218009.09553895611</v>
      </c>
    </row>
    <row r="27" spans="1:7">
      <c r="A27" t="s">
        <v>782</v>
      </c>
      <c r="C27" s="3">
        <f>C22/C25*C26</f>
        <v>528218204.28466427</v>
      </c>
      <c r="D27" s="3">
        <f>D22/D25*D26</f>
        <v>917105.26315789472</v>
      </c>
      <c r="E27" s="3">
        <f>E22/E25*E26</f>
        <v>81958.306593592526</v>
      </c>
      <c r="G27" t="s">
        <v>783</v>
      </c>
    </row>
    <row r="28" spans="1:7">
      <c r="A28" t="s">
        <v>171</v>
      </c>
      <c r="C28" s="3">
        <f>C22/C25*C26*C24*3.6+C23*C25*C26*(24-C24)*3.6</f>
        <v>31322359141.093437</v>
      </c>
      <c r="D28" s="3">
        <f>D22/D25*D26*D24*3.6+D23*D25*D26*(24-D24)*3.6</f>
        <v>280367442947.36841</v>
      </c>
      <c r="E28" s="3">
        <f>E22/E25*E26*E24*3.6+E23*E25*E26*(24-E24)*3.6</f>
        <v>7081197.6896863952</v>
      </c>
      <c r="G28" t="s">
        <v>781</v>
      </c>
    </row>
    <row r="29" spans="1:7">
      <c r="C29" s="3"/>
    </row>
    <row r="30" spans="1:7">
      <c r="A30" t="s">
        <v>177</v>
      </c>
      <c r="C30" s="3">
        <v>0.04</v>
      </c>
      <c r="D30" t="s">
        <v>178</v>
      </c>
    </row>
    <row r="31" spans="1:7">
      <c r="A31" t="s">
        <v>182</v>
      </c>
      <c r="C31" s="3">
        <f>SUM(C27:E27)*C30</f>
        <v>21168690.714176632</v>
      </c>
      <c r="D31" s="47" t="s">
        <v>51</v>
      </c>
    </row>
    <row r="32" spans="1:7">
      <c r="C32" s="3"/>
      <c r="D32" s="47"/>
    </row>
    <row r="33" spans="1:6">
      <c r="A33" t="s">
        <v>785</v>
      </c>
      <c r="C33" s="3">
        <f>C13+C8+C17+SUM(C27:E27)</f>
        <v>579217446.7452116</v>
      </c>
      <c r="D33" s="47"/>
      <c r="E33" s="4">
        <f>C33/10000000</f>
        <v>57.921744674521157</v>
      </c>
    </row>
    <row r="34" spans="1:6">
      <c r="A34" t="s">
        <v>786</v>
      </c>
      <c r="C34" s="3">
        <f>C12+C9+C16+SUM(C28:E28)</f>
        <v>316016898742.31628</v>
      </c>
      <c r="D34" t="s">
        <v>234</v>
      </c>
      <c r="E34" s="4">
        <f>C34/10000000</f>
        <v>31601.68987423163</v>
      </c>
      <c r="F34" t="s">
        <v>578</v>
      </c>
    </row>
    <row r="35" spans="1:6">
      <c r="A35" t="s">
        <v>750</v>
      </c>
      <c r="C35" s="3">
        <f>C34*Conversion!B2</f>
        <v>115425172265631.02</v>
      </c>
      <c r="D35" t="s">
        <v>234</v>
      </c>
      <c r="E35" s="4"/>
    </row>
    <row r="36" spans="1:6">
      <c r="C36" s="3"/>
      <c r="E36" s="3"/>
    </row>
    <row r="37" spans="1:6">
      <c r="A37" t="s">
        <v>580</v>
      </c>
      <c r="B37" t="s">
        <v>581</v>
      </c>
    </row>
    <row r="38" spans="1:6">
      <c r="A38" t="s">
        <v>176</v>
      </c>
      <c r="C38" s="55">
        <f>(100+3000)/7000000000/Conversion!C4</f>
        <v>5.0520903105145081E-11</v>
      </c>
      <c r="D38" t="s">
        <v>174</v>
      </c>
      <c r="E38" t="s">
        <v>167</v>
      </c>
      <c r="F38" t="s">
        <v>55</v>
      </c>
    </row>
    <row r="39" spans="1:6">
      <c r="A39" t="s">
        <v>179</v>
      </c>
      <c r="C39" s="55">
        <v>1E-3</v>
      </c>
      <c r="D39" t="s">
        <v>165</v>
      </c>
    </row>
    <row r="40" spans="1:6">
      <c r="A40" t="s">
        <v>160</v>
      </c>
      <c r="C40" s="3">
        <v>1.1000000000000001</v>
      </c>
    </row>
    <row r="41" spans="1:6">
      <c r="A41" t="s">
        <v>793</v>
      </c>
      <c r="C41" s="3">
        <f>C33*C39</f>
        <v>579217.44674521161</v>
      </c>
    </row>
    <row r="42" spans="1:6">
      <c r="A42" t="s">
        <v>180</v>
      </c>
      <c r="C42" s="3">
        <f>C35*C38*Conversion!C4</f>
        <v>51116862.003350876</v>
      </c>
      <c r="D42" t="s">
        <v>51</v>
      </c>
    </row>
    <row r="43" spans="1:6">
      <c r="A43" t="s">
        <v>589</v>
      </c>
      <c r="C43" s="3">
        <f>C56</f>
        <v>126227.808</v>
      </c>
    </row>
    <row r="44" spans="1:6">
      <c r="C44" s="46"/>
    </row>
    <row r="45" spans="1:6">
      <c r="A45" t="s">
        <v>181</v>
      </c>
      <c r="C45" s="21">
        <f>C7*(C42-C43)</f>
        <v>2386339781.060431</v>
      </c>
      <c r="D45" t="s">
        <v>51</v>
      </c>
      <c r="E45" t="s">
        <v>792</v>
      </c>
      <c r="F45" s="4"/>
    </row>
    <row r="46" spans="1:6">
      <c r="C46" s="4">
        <f>C45/Conversion!$B$31</f>
        <v>2.2445844000273443</v>
      </c>
      <c r="D46" t="s">
        <v>185</v>
      </c>
    </row>
    <row r="47" spans="1:6">
      <c r="C47" s="3"/>
    </row>
    <row r="48" spans="1:6">
      <c r="A48" t="s">
        <v>584</v>
      </c>
      <c r="E48" t="s">
        <v>590</v>
      </c>
    </row>
    <row r="49" spans="1:5">
      <c r="A49" t="s">
        <v>585</v>
      </c>
      <c r="C49">
        <f>Geometry!E45</f>
        <v>59395.736106932025</v>
      </c>
    </row>
    <row r="50" spans="1:5">
      <c r="E50" s="3">
        <f>Geometry!E49</f>
        <v>244389705.78537515</v>
      </c>
    </row>
    <row r="51" spans="1:5">
      <c r="A51" t="s">
        <v>582</v>
      </c>
      <c r="C51" s="3">
        <f>0.02*10000/6.022E+23*18.0152/1000</f>
        <v>5.983128528727997E-24</v>
      </c>
      <c r="D51" t="s">
        <v>257</v>
      </c>
    </row>
    <row r="52" spans="1:5">
      <c r="A52" t="s">
        <v>583</v>
      </c>
      <c r="C52" s="3">
        <f>C51*Conversion!$C$3</f>
        <v>1.8880929979090003E-16</v>
      </c>
      <c r="D52" t="s">
        <v>588</v>
      </c>
    </row>
    <row r="53" spans="1:5">
      <c r="A53" t="s">
        <v>586</v>
      </c>
      <c r="C53" s="3">
        <f>4/1000</f>
        <v>4.0000000000000001E-3</v>
      </c>
      <c r="D53" t="s">
        <v>257</v>
      </c>
    </row>
    <row r="54" spans="1:5">
      <c r="C54" s="3">
        <f>C53*Conversion!$C$3</f>
        <v>126227.808</v>
      </c>
      <c r="D54" t="s">
        <v>588</v>
      </c>
    </row>
    <row r="55" spans="1:5">
      <c r="A55" t="s">
        <v>587</v>
      </c>
      <c r="C55">
        <f>4/1000</f>
        <v>4.0000000000000001E-3</v>
      </c>
      <c r="D55" t="s">
        <v>257</v>
      </c>
      <c r="E55" s="83">
        <f>C56/E50</f>
        <v>5.1650214805223503E-4</v>
      </c>
    </row>
    <row r="56" spans="1:5">
      <c r="C56" s="3">
        <f>C55*Conversion!$C$3</f>
        <v>126227.808</v>
      </c>
      <c r="D56" t="s">
        <v>588</v>
      </c>
    </row>
    <row r="57" spans="1:5">
      <c r="A57" t="s">
        <v>591</v>
      </c>
      <c r="C57" s="3">
        <f>C56+C54+C52</f>
        <v>252455.61600000001</v>
      </c>
    </row>
  </sheetData>
  <pageMargins left="0.7" right="0.7" top="0.75" bottom="0.75" header="0.3" footer="0.3"/>
  <pageSetup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473055-BCCC-804F-A1C5-A1102032AA92}">
  <dimension ref="A1:F412"/>
  <sheetViews>
    <sheetView workbookViewId="0">
      <selection sqref="A1:D1"/>
    </sheetView>
  </sheetViews>
  <sheetFormatPr baseColWidth="10" defaultRowHeight="16"/>
  <cols>
    <col min="1" max="1" width="15.83203125" bestFit="1" customWidth="1"/>
    <col min="2" max="3" width="12.1640625" bestFit="1" customWidth="1"/>
    <col min="4" max="4" width="12.6640625" bestFit="1" customWidth="1"/>
    <col min="5" max="5" width="11.33203125" bestFit="1" customWidth="1"/>
    <col min="6" max="6" width="11.6640625" bestFit="1" customWidth="1"/>
  </cols>
  <sheetData>
    <row r="1" spans="1:6">
      <c r="A1" s="161" t="s">
        <v>65</v>
      </c>
      <c r="B1" s="161"/>
      <c r="C1" s="161"/>
      <c r="D1" s="161"/>
    </row>
    <row r="2" spans="1:6">
      <c r="A2" s="161" t="s">
        <v>66</v>
      </c>
      <c r="B2" s="161"/>
      <c r="C2" s="161"/>
      <c r="D2" s="3">
        <f>Vehicle!B61+Vehicle!B73</f>
        <v>28063005010</v>
      </c>
    </row>
    <row r="3" spans="1:6">
      <c r="A3" s="161" t="s">
        <v>53</v>
      </c>
      <c r="B3" s="161"/>
      <c r="C3" s="161"/>
      <c r="D3" s="3">
        <f>Vehicle!B62</f>
        <v>9000000000</v>
      </c>
    </row>
    <row r="4" spans="1:6">
      <c r="A4" s="161" t="s">
        <v>8</v>
      </c>
      <c r="B4" s="161"/>
      <c r="C4" s="161"/>
      <c r="D4">
        <f>Vehicle!B4</f>
        <v>9.8000000000000007</v>
      </c>
    </row>
    <row r="5" spans="1:6">
      <c r="A5" s="161" t="s">
        <v>187</v>
      </c>
      <c r="B5" s="161"/>
      <c r="C5" s="161"/>
      <c r="D5" s="3">
        <f>'Power Consumption'!C38</f>
        <v>5.0520903105145081E-11</v>
      </c>
      <c r="E5" t="s">
        <v>174</v>
      </c>
    </row>
    <row r="6" spans="1:6">
      <c r="A6" s="25" t="s">
        <v>188</v>
      </c>
      <c r="B6" s="25"/>
      <c r="C6" s="25"/>
      <c r="D6" s="3">
        <f>Conversion!C36</f>
        <v>31557.600000000002</v>
      </c>
    </row>
    <row r="7" spans="1:6">
      <c r="A7" s="161" t="s">
        <v>12</v>
      </c>
      <c r="B7" s="161"/>
      <c r="C7" s="161"/>
      <c r="D7">
        <f>Conversion!B3*0.25</f>
        <v>7889400</v>
      </c>
    </row>
    <row r="8" spans="1:6">
      <c r="A8" s="25" t="s">
        <v>186</v>
      </c>
      <c r="B8" s="25"/>
      <c r="C8" s="25"/>
      <c r="D8" s="3">
        <f>'Power Consumption'!C42*0.25</f>
        <v>12779215.500837719</v>
      </c>
    </row>
    <row r="9" spans="1:6">
      <c r="A9" s="161" t="s">
        <v>77</v>
      </c>
      <c r="B9" s="161"/>
      <c r="C9" s="161"/>
      <c r="D9" s="49">
        <f>SUM(D12:D76)</f>
        <v>817906614.67909217</v>
      </c>
      <c r="E9" s="24">
        <f>D9/D3</f>
        <v>9.0878512742121359E-2</v>
      </c>
    </row>
    <row r="11" spans="1:6">
      <c r="A11" t="s">
        <v>13</v>
      </c>
      <c r="B11" t="s">
        <v>67</v>
      </c>
      <c r="C11" t="s">
        <v>56</v>
      </c>
      <c r="D11" t="s">
        <v>68</v>
      </c>
      <c r="E11" t="s">
        <v>205</v>
      </c>
    </row>
    <row r="12" spans="1:6">
      <c r="A12">
        <v>0</v>
      </c>
      <c r="B12" s="21">
        <f>D2+D3</f>
        <v>37063005010</v>
      </c>
      <c r="C12" s="21">
        <f>IF(B12&gt;$D$2,B12*$D$4/1000,0)</f>
        <v>363217449.09799999</v>
      </c>
      <c r="D12" s="21">
        <f>C12*$D$6*$D$5</f>
        <v>579.08428112390163</v>
      </c>
      <c r="E12" s="48">
        <f>1-(($B$12-B12)/$D$3)</f>
        <v>1</v>
      </c>
      <c r="F12" s="21">
        <f>D12</f>
        <v>579.08428112390163</v>
      </c>
    </row>
    <row r="13" spans="1:6">
      <c r="A13">
        <f>A12+0.25</f>
        <v>0.25</v>
      </c>
      <c r="B13" s="21">
        <f>B12-D12-$D$8</f>
        <v>37050225215.414879</v>
      </c>
      <c r="C13" s="21">
        <f t="shared" ref="C13:C76" si="0">IF(B13&gt;$D$2,B13*$D$4/1000,0)</f>
        <v>363092207.11106586</v>
      </c>
      <c r="D13" s="21">
        <f t="shared" ref="D13:D76" si="1">C13*$D$6*$D$5+$D$8</f>
        <v>12779794.385443233</v>
      </c>
      <c r="E13" s="48">
        <f t="shared" ref="E13:E76" si="2">1-(($B$12-B13)/$D$3)</f>
        <v>0.99858002282387548</v>
      </c>
      <c r="F13" s="21">
        <f>F12+D13</f>
        <v>12780373.469724357</v>
      </c>
    </row>
    <row r="14" spans="1:6">
      <c r="A14">
        <f>A13+0.25</f>
        <v>0.5</v>
      </c>
      <c r="B14" s="21">
        <f t="shared" ref="B14:B77" si="3">B13-D13-$D$8</f>
        <v>37024666205.528595</v>
      </c>
      <c r="C14" s="21">
        <f t="shared" si="0"/>
        <v>362841728.81418025</v>
      </c>
      <c r="D14" s="21">
        <f t="shared" si="1"/>
        <v>12779793.986101061</v>
      </c>
      <c r="E14" s="48">
        <f t="shared" si="2"/>
        <v>0.99574013283651053</v>
      </c>
      <c r="F14" s="21">
        <f t="shared" ref="F14:F77" si="4">F13+D14</f>
        <v>25560167.455825418</v>
      </c>
    </row>
    <row r="15" spans="1:6">
      <c r="A15">
        <f t="shared" ref="A15:A29" si="5">A14+0.25</f>
        <v>0.75</v>
      </c>
      <c r="B15" s="21">
        <f t="shared" si="3"/>
        <v>36999107196.041656</v>
      </c>
      <c r="C15" s="21">
        <f t="shared" si="0"/>
        <v>362591250.52120823</v>
      </c>
      <c r="D15" s="21">
        <f t="shared" si="1"/>
        <v>12779793.586758897</v>
      </c>
      <c r="E15" s="48">
        <f t="shared" si="2"/>
        <v>0.99290024289351742</v>
      </c>
      <c r="F15" s="21">
        <f t="shared" si="4"/>
        <v>38339961.042584315</v>
      </c>
    </row>
    <row r="16" spans="1:6">
      <c r="A16">
        <f t="shared" si="5"/>
        <v>1</v>
      </c>
      <c r="B16" s="21">
        <f t="shared" si="3"/>
        <v>36973548186.954056</v>
      </c>
      <c r="C16" s="21">
        <f t="shared" si="0"/>
        <v>362340772.23214978</v>
      </c>
      <c r="D16" s="21">
        <f t="shared" si="1"/>
        <v>12779793.18741674</v>
      </c>
      <c r="E16" s="48">
        <f t="shared" si="2"/>
        <v>0.99006035299489503</v>
      </c>
      <c r="F16" s="21">
        <f t="shared" si="4"/>
        <v>51119754.230001055</v>
      </c>
    </row>
    <row r="17" spans="1:6">
      <c r="A17">
        <f t="shared" si="5"/>
        <v>1.25</v>
      </c>
      <c r="B17" s="21">
        <f t="shared" si="3"/>
        <v>36947989178.2658</v>
      </c>
      <c r="C17" s="21">
        <f t="shared" si="0"/>
        <v>362090293.94700485</v>
      </c>
      <c r="D17" s="21">
        <f t="shared" si="1"/>
        <v>12779792.788074588</v>
      </c>
      <c r="E17" s="48">
        <f t="shared" si="2"/>
        <v>0.98722046314064449</v>
      </c>
      <c r="F17" s="21">
        <f t="shared" si="4"/>
        <v>63899547.018075645</v>
      </c>
    </row>
    <row r="18" spans="1:6">
      <c r="A18">
        <f t="shared" si="5"/>
        <v>1.5</v>
      </c>
      <c r="B18" s="21">
        <f t="shared" si="3"/>
        <v>36922430169.976883</v>
      </c>
      <c r="C18" s="21">
        <f t="shared" si="0"/>
        <v>361839815.66577351</v>
      </c>
      <c r="D18" s="21">
        <f t="shared" si="1"/>
        <v>12779792.388732443</v>
      </c>
      <c r="E18" s="48">
        <f t="shared" si="2"/>
        <v>0.98438057333076479</v>
      </c>
      <c r="F18" s="21">
        <f t="shared" si="4"/>
        <v>76679339.406808093</v>
      </c>
    </row>
    <row r="19" spans="1:6">
      <c r="A19">
        <f t="shared" si="5"/>
        <v>1.75</v>
      </c>
      <c r="B19" s="21">
        <f t="shared" si="3"/>
        <v>36896871162.087311</v>
      </c>
      <c r="C19" s="21">
        <f t="shared" si="0"/>
        <v>361589337.38845569</v>
      </c>
      <c r="D19" s="21">
        <f t="shared" si="1"/>
        <v>12779791.989390302</v>
      </c>
      <c r="E19" s="48">
        <f t="shared" si="2"/>
        <v>0.9815406835652567</v>
      </c>
      <c r="F19" s="21">
        <f t="shared" si="4"/>
        <v>89459131.396198392</v>
      </c>
    </row>
    <row r="20" spans="1:6">
      <c r="A20">
        <f t="shared" si="5"/>
        <v>2</v>
      </c>
      <c r="B20" s="21">
        <f t="shared" si="3"/>
        <v>36871312154.597084</v>
      </c>
      <c r="C20" s="21">
        <f t="shared" si="0"/>
        <v>361338859.11505145</v>
      </c>
      <c r="D20" s="21">
        <f t="shared" si="1"/>
        <v>12779791.59004817</v>
      </c>
      <c r="E20" s="48">
        <f t="shared" si="2"/>
        <v>0.97870079384412045</v>
      </c>
      <c r="F20" s="21">
        <f t="shared" si="4"/>
        <v>102238922.98624656</v>
      </c>
    </row>
    <row r="21" spans="1:6">
      <c r="A21">
        <f t="shared" si="5"/>
        <v>2.25</v>
      </c>
      <c r="B21" s="21">
        <f t="shared" si="3"/>
        <v>36845753147.506195</v>
      </c>
      <c r="C21" s="21">
        <f t="shared" si="0"/>
        <v>361088380.84556073</v>
      </c>
      <c r="D21" s="21">
        <f t="shared" si="1"/>
        <v>12779791.190706043</v>
      </c>
      <c r="E21" s="48">
        <f t="shared" si="2"/>
        <v>0.97586090416735505</v>
      </c>
      <c r="F21" s="21">
        <f t="shared" si="4"/>
        <v>115018714.1769526</v>
      </c>
    </row>
    <row r="22" spans="1:6">
      <c r="A22">
        <f t="shared" si="5"/>
        <v>2.5</v>
      </c>
      <c r="B22" s="21">
        <f t="shared" si="3"/>
        <v>36820194140.814651</v>
      </c>
      <c r="C22" s="21">
        <f t="shared" si="0"/>
        <v>360837902.57998359</v>
      </c>
      <c r="D22" s="21">
        <f t="shared" si="1"/>
        <v>12779790.791363923</v>
      </c>
      <c r="E22" s="48">
        <f t="shared" si="2"/>
        <v>0.97302101453496126</v>
      </c>
      <c r="F22" s="21">
        <f t="shared" si="4"/>
        <v>127798504.96831653</v>
      </c>
    </row>
    <row r="23" spans="1:6">
      <c r="A23">
        <f t="shared" si="5"/>
        <v>2.75</v>
      </c>
      <c r="B23" s="21">
        <f t="shared" si="3"/>
        <v>36794635134.522446</v>
      </c>
      <c r="C23" s="21">
        <f t="shared" si="0"/>
        <v>360587424.31832004</v>
      </c>
      <c r="D23" s="21">
        <f t="shared" si="1"/>
        <v>12779790.392021809</v>
      </c>
      <c r="E23" s="48">
        <f t="shared" si="2"/>
        <v>0.97018112494693842</v>
      </c>
      <c r="F23" s="21">
        <f t="shared" si="4"/>
        <v>140578295.36033833</v>
      </c>
    </row>
    <row r="24" spans="1:6">
      <c r="A24">
        <f t="shared" si="5"/>
        <v>3</v>
      </c>
      <c r="B24" s="21">
        <f t="shared" si="3"/>
        <v>36769076128.629585</v>
      </c>
      <c r="C24" s="21">
        <f t="shared" si="0"/>
        <v>360336946.06056994</v>
      </c>
      <c r="D24" s="21">
        <f t="shared" si="1"/>
        <v>12779789.9926797</v>
      </c>
      <c r="E24" s="48">
        <f t="shared" si="2"/>
        <v>0.9673412354032872</v>
      </c>
      <c r="F24" s="21">
        <f t="shared" si="4"/>
        <v>153358085.35301805</v>
      </c>
    </row>
    <row r="25" spans="1:6">
      <c r="A25">
        <f t="shared" si="5"/>
        <v>3.25</v>
      </c>
      <c r="B25" s="21">
        <f t="shared" si="3"/>
        <v>36743517123.136063</v>
      </c>
      <c r="C25" s="21">
        <f t="shared" si="0"/>
        <v>360086467.80673349</v>
      </c>
      <c r="D25" s="21">
        <f t="shared" si="1"/>
        <v>12779789.593337597</v>
      </c>
      <c r="E25" s="48">
        <f t="shared" si="2"/>
        <v>0.96450134590400693</v>
      </c>
      <c r="F25" s="21">
        <f t="shared" si="4"/>
        <v>166137874.94635564</v>
      </c>
    </row>
    <row r="26" spans="1:6">
      <c r="A26">
        <f t="shared" si="5"/>
        <v>3.5</v>
      </c>
      <c r="B26" s="21">
        <f t="shared" si="3"/>
        <v>36717958118.041885</v>
      </c>
      <c r="C26" s="21">
        <f t="shared" si="0"/>
        <v>359835989.5568105</v>
      </c>
      <c r="D26" s="21">
        <f t="shared" si="1"/>
        <v>12779789.193995502</v>
      </c>
      <c r="E26" s="48">
        <f t="shared" si="2"/>
        <v>0.9616614564490984</v>
      </c>
      <c r="F26" s="21">
        <f t="shared" si="4"/>
        <v>178917664.14035115</v>
      </c>
    </row>
    <row r="27" spans="1:6">
      <c r="A27">
        <f t="shared" si="5"/>
        <v>3.75</v>
      </c>
      <c r="B27" s="21">
        <f t="shared" si="3"/>
        <v>36692399113.347054</v>
      </c>
      <c r="C27" s="21">
        <f t="shared" si="0"/>
        <v>359585511.31080115</v>
      </c>
      <c r="D27" s="21">
        <f t="shared" si="1"/>
        <v>12779788.794653414</v>
      </c>
      <c r="E27" s="48">
        <f t="shared" si="2"/>
        <v>0.95882156703856147</v>
      </c>
      <c r="F27" s="21">
        <f t="shared" si="4"/>
        <v>191697452.93500456</v>
      </c>
    </row>
    <row r="28" spans="1:6">
      <c r="A28">
        <f t="shared" si="5"/>
        <v>4</v>
      </c>
      <c r="B28" s="21">
        <f t="shared" si="3"/>
        <v>36666840109.051559</v>
      </c>
      <c r="C28" s="21">
        <f t="shared" si="0"/>
        <v>359335033.06870532</v>
      </c>
      <c r="D28" s="21">
        <f t="shared" si="1"/>
        <v>12779788.39531133</v>
      </c>
      <c r="E28" s="48">
        <f t="shared" si="2"/>
        <v>0.9559816776723955</v>
      </c>
      <c r="F28" s="21">
        <f t="shared" si="4"/>
        <v>204477241.33031589</v>
      </c>
    </row>
    <row r="29" spans="1:6">
      <c r="A29">
        <f t="shared" si="5"/>
        <v>4.25</v>
      </c>
      <c r="B29" s="21">
        <f t="shared" si="3"/>
        <v>36641281105.155411</v>
      </c>
      <c r="C29" s="21">
        <f t="shared" si="0"/>
        <v>359084554.83052307</v>
      </c>
      <c r="D29" s="21">
        <f t="shared" si="1"/>
        <v>12779787.995969253</v>
      </c>
      <c r="E29" s="48">
        <f t="shared" si="2"/>
        <v>0.95314178835060115</v>
      </c>
      <c r="F29" s="21">
        <f t="shared" si="4"/>
        <v>217257029.32628515</v>
      </c>
    </row>
    <row r="30" spans="1:6">
      <c r="A30">
        <f t="shared" ref="A30:A43" si="6">A29+0.25</f>
        <v>4.5</v>
      </c>
      <c r="B30" s="21">
        <f t="shared" si="3"/>
        <v>36615722101.6586</v>
      </c>
      <c r="C30" s="21">
        <f t="shared" si="0"/>
        <v>358834076.59625435</v>
      </c>
      <c r="D30" s="21">
        <f t="shared" si="1"/>
        <v>12779787.596627181</v>
      </c>
      <c r="E30" s="48">
        <f t="shared" si="2"/>
        <v>0.95030189907317775</v>
      </c>
      <c r="F30" s="21">
        <f t="shared" si="4"/>
        <v>230036816.92291233</v>
      </c>
    </row>
    <row r="31" spans="1:6">
      <c r="A31">
        <f t="shared" si="6"/>
        <v>4.75</v>
      </c>
      <c r="B31" s="21">
        <f t="shared" si="3"/>
        <v>36590163098.561134</v>
      </c>
      <c r="C31" s="21">
        <f t="shared" si="0"/>
        <v>358583598.36589915</v>
      </c>
      <c r="D31" s="21">
        <f t="shared" si="1"/>
        <v>12779787.197285118</v>
      </c>
      <c r="E31" s="48">
        <f t="shared" si="2"/>
        <v>0.94746200984012607</v>
      </c>
      <c r="F31" s="21">
        <f t="shared" si="4"/>
        <v>242816604.12019745</v>
      </c>
    </row>
    <row r="32" spans="1:6">
      <c r="A32">
        <f t="shared" si="6"/>
        <v>5</v>
      </c>
      <c r="B32" s="21">
        <f t="shared" si="3"/>
        <v>36564604095.863007</v>
      </c>
      <c r="C32" s="21">
        <f t="shared" si="0"/>
        <v>358333120.13945752</v>
      </c>
      <c r="D32" s="21">
        <f t="shared" si="1"/>
        <v>12779786.797943059</v>
      </c>
      <c r="E32" s="48">
        <f t="shared" si="2"/>
        <v>0.94462212065144513</v>
      </c>
      <c r="F32" s="21">
        <f t="shared" si="4"/>
        <v>255596390.9181405</v>
      </c>
    </row>
    <row r="33" spans="1:6">
      <c r="A33">
        <f t="shared" si="6"/>
        <v>5.25</v>
      </c>
      <c r="B33" s="21">
        <f t="shared" si="3"/>
        <v>36539045093.564224</v>
      </c>
      <c r="C33" s="21">
        <f t="shared" si="0"/>
        <v>358082641.91692942</v>
      </c>
      <c r="D33" s="21">
        <f t="shared" si="1"/>
        <v>12779786.398601007</v>
      </c>
      <c r="E33" s="48">
        <f t="shared" si="2"/>
        <v>0.94178223150713603</v>
      </c>
      <c r="F33" s="21">
        <f t="shared" si="4"/>
        <v>268376177.3167415</v>
      </c>
    </row>
    <row r="34" spans="1:6">
      <c r="A34">
        <f t="shared" si="6"/>
        <v>5.5</v>
      </c>
      <c r="B34" s="21">
        <f t="shared" si="3"/>
        <v>36513486091.664787</v>
      </c>
      <c r="C34" s="21">
        <f t="shared" si="0"/>
        <v>357832163.69831496</v>
      </c>
      <c r="D34" s="21">
        <f t="shared" si="1"/>
        <v>12779785.999258962</v>
      </c>
      <c r="E34" s="48">
        <f t="shared" si="2"/>
        <v>0.93894234240719854</v>
      </c>
      <c r="F34" s="21">
        <f t="shared" si="4"/>
        <v>281155963.31600046</v>
      </c>
    </row>
    <row r="35" spans="1:6">
      <c r="A35">
        <f t="shared" si="6"/>
        <v>5.75</v>
      </c>
      <c r="B35" s="21">
        <f t="shared" si="3"/>
        <v>36487927090.164688</v>
      </c>
      <c r="C35" s="21">
        <f t="shared" si="0"/>
        <v>357581685.48361397</v>
      </c>
      <c r="D35" s="21">
        <f t="shared" si="1"/>
        <v>12779785.599916922</v>
      </c>
      <c r="E35" s="48">
        <f t="shared" si="2"/>
        <v>0.936102453351632</v>
      </c>
      <c r="F35" s="21">
        <f t="shared" si="4"/>
        <v>293935748.9159174</v>
      </c>
    </row>
    <row r="36" spans="1:6">
      <c r="A36">
        <f t="shared" si="6"/>
        <v>6</v>
      </c>
      <c r="B36" s="21">
        <f t="shared" si="3"/>
        <v>36462368089.063934</v>
      </c>
      <c r="C36" s="21">
        <f t="shared" si="0"/>
        <v>357331207.27282661</v>
      </c>
      <c r="D36" s="21">
        <f t="shared" si="1"/>
        <v>12779785.20057489</v>
      </c>
      <c r="E36" s="48">
        <f t="shared" si="2"/>
        <v>0.9332625643404372</v>
      </c>
      <c r="F36" s="21">
        <f t="shared" si="4"/>
        <v>306715534.11649227</v>
      </c>
    </row>
    <row r="37" spans="1:6">
      <c r="A37">
        <f t="shared" si="6"/>
        <v>6.25</v>
      </c>
      <c r="B37" s="21">
        <f t="shared" si="3"/>
        <v>36436809088.362518</v>
      </c>
      <c r="C37" s="21">
        <f t="shared" si="0"/>
        <v>357080729.06595272</v>
      </c>
      <c r="D37" s="21">
        <f t="shared" si="1"/>
        <v>12779784.801232861</v>
      </c>
      <c r="E37" s="48">
        <f t="shared" si="2"/>
        <v>0.93042267537361312</v>
      </c>
      <c r="F37" s="21">
        <f t="shared" si="4"/>
        <v>319495318.91772515</v>
      </c>
    </row>
    <row r="38" spans="1:6">
      <c r="A38">
        <f t="shared" si="6"/>
        <v>6.5</v>
      </c>
      <c r="B38" s="21">
        <f t="shared" si="3"/>
        <v>36411250088.060448</v>
      </c>
      <c r="C38" s="21">
        <f t="shared" si="0"/>
        <v>356830250.86299241</v>
      </c>
      <c r="D38" s="21">
        <f t="shared" si="1"/>
        <v>12779784.401890842</v>
      </c>
      <c r="E38" s="48">
        <f t="shared" si="2"/>
        <v>0.92758278645116088</v>
      </c>
      <c r="F38" s="21">
        <f t="shared" si="4"/>
        <v>332275103.31961596</v>
      </c>
    </row>
    <row r="39" spans="1:6">
      <c r="A39">
        <f t="shared" si="6"/>
        <v>6.75</v>
      </c>
      <c r="B39" s="21">
        <f t="shared" si="3"/>
        <v>36385691088.157715</v>
      </c>
      <c r="C39" s="21">
        <f t="shared" si="0"/>
        <v>356579772.66394562</v>
      </c>
      <c r="D39" s="21">
        <f t="shared" si="1"/>
        <v>12779784.002548827</v>
      </c>
      <c r="E39" s="48">
        <f t="shared" si="2"/>
        <v>0.92474289757307937</v>
      </c>
      <c r="F39" s="21">
        <f t="shared" si="4"/>
        <v>345054887.32216477</v>
      </c>
    </row>
    <row r="40" spans="1:6">
      <c r="A40">
        <f t="shared" si="6"/>
        <v>7</v>
      </c>
      <c r="B40" s="21">
        <f t="shared" si="3"/>
        <v>36360132088.654327</v>
      </c>
      <c r="C40" s="21">
        <f t="shared" si="0"/>
        <v>356329294.46881247</v>
      </c>
      <c r="D40" s="21">
        <f t="shared" si="1"/>
        <v>12779783.603206819</v>
      </c>
      <c r="E40" s="48">
        <f t="shared" si="2"/>
        <v>0.9219030087393697</v>
      </c>
      <c r="F40" s="21">
        <f t="shared" si="4"/>
        <v>357834670.92537159</v>
      </c>
    </row>
    <row r="41" spans="1:6">
      <c r="A41">
        <f t="shared" si="6"/>
        <v>7.25</v>
      </c>
      <c r="B41" s="21">
        <f t="shared" si="3"/>
        <v>36334573089.550278</v>
      </c>
      <c r="C41" s="21">
        <f t="shared" si="0"/>
        <v>356078816.27759278</v>
      </c>
      <c r="D41" s="21">
        <f t="shared" si="1"/>
        <v>12779783.203864817</v>
      </c>
      <c r="E41" s="48">
        <f t="shared" si="2"/>
        <v>0.91906311995003087</v>
      </c>
      <c r="F41" s="21">
        <f t="shared" si="4"/>
        <v>370614454.1292364</v>
      </c>
    </row>
    <row r="42" spans="1:6">
      <c r="A42">
        <f t="shared" si="6"/>
        <v>7.5</v>
      </c>
      <c r="B42" s="21">
        <f t="shared" si="3"/>
        <v>36309014090.845573</v>
      </c>
      <c r="C42" s="21">
        <f t="shared" si="0"/>
        <v>355828338.09028661</v>
      </c>
      <c r="D42" s="21">
        <f t="shared" si="1"/>
        <v>12779782.80452282</v>
      </c>
      <c r="E42" s="48">
        <f t="shared" si="2"/>
        <v>0.91622323120506377</v>
      </c>
      <c r="F42" s="21">
        <f t="shared" si="4"/>
        <v>383394236.93375921</v>
      </c>
    </row>
    <row r="43" spans="1:6">
      <c r="A43">
        <f t="shared" si="6"/>
        <v>7.75</v>
      </c>
      <c r="B43" s="21">
        <f t="shared" si="3"/>
        <v>36283455092.540215</v>
      </c>
      <c r="C43" s="21">
        <f t="shared" si="0"/>
        <v>355577859.90689409</v>
      </c>
      <c r="D43" s="21">
        <f t="shared" si="1"/>
        <v>12779782.405180831</v>
      </c>
      <c r="E43" s="48">
        <f t="shared" si="2"/>
        <v>0.91338334250446829</v>
      </c>
      <c r="F43" s="21">
        <f t="shared" si="4"/>
        <v>396174019.33894002</v>
      </c>
    </row>
    <row r="44" spans="1:6">
      <c r="A44">
        <f t="shared" ref="A44:A79" si="7">A43+0.25</f>
        <v>8</v>
      </c>
      <c r="B44" s="21">
        <f t="shared" si="3"/>
        <v>36257896094.634193</v>
      </c>
      <c r="C44" s="21">
        <f t="shared" si="0"/>
        <v>355327381.72741508</v>
      </c>
      <c r="D44" s="21">
        <f t="shared" si="1"/>
        <v>12779782.005838849</v>
      </c>
      <c r="E44" s="48">
        <f t="shared" si="2"/>
        <v>0.91054345384824376</v>
      </c>
      <c r="F44" s="21">
        <f t="shared" si="4"/>
        <v>408953801.3447789</v>
      </c>
    </row>
    <row r="45" spans="1:6">
      <c r="A45">
        <f t="shared" si="7"/>
        <v>8.25</v>
      </c>
      <c r="B45" s="21">
        <f t="shared" si="3"/>
        <v>36232337097.127518</v>
      </c>
      <c r="C45" s="21">
        <f t="shared" si="0"/>
        <v>355076903.55184966</v>
      </c>
      <c r="D45" s="21">
        <f t="shared" si="1"/>
        <v>12779781.606496871</v>
      </c>
      <c r="E45" s="48">
        <f t="shared" si="2"/>
        <v>0.90770356523639084</v>
      </c>
      <c r="F45" s="21">
        <f t="shared" si="4"/>
        <v>421733582.95127577</v>
      </c>
    </row>
    <row r="46" spans="1:6">
      <c r="A46">
        <f t="shared" si="7"/>
        <v>8.5</v>
      </c>
      <c r="B46" s="21">
        <f t="shared" si="3"/>
        <v>36206778100.02018</v>
      </c>
      <c r="C46" s="21">
        <f t="shared" si="0"/>
        <v>354826425.38019782</v>
      </c>
      <c r="D46" s="21">
        <f t="shared" si="1"/>
        <v>12779781.2071549</v>
      </c>
      <c r="E46" s="48">
        <f t="shared" si="2"/>
        <v>0.90486367666890888</v>
      </c>
      <c r="F46" s="21">
        <f t="shared" si="4"/>
        <v>434513364.1584307</v>
      </c>
    </row>
    <row r="47" spans="1:6">
      <c r="A47">
        <f t="shared" si="7"/>
        <v>8.75</v>
      </c>
      <c r="B47" s="21">
        <f t="shared" si="3"/>
        <v>36181219103.312187</v>
      </c>
      <c r="C47" s="21">
        <f t="shared" si="0"/>
        <v>354575947.21245944</v>
      </c>
      <c r="D47" s="21">
        <f t="shared" si="1"/>
        <v>12779780.807812935</v>
      </c>
      <c r="E47" s="48">
        <f t="shared" si="2"/>
        <v>0.90202378814579853</v>
      </c>
      <c r="F47" s="21">
        <f t="shared" si="4"/>
        <v>447293144.96624362</v>
      </c>
    </row>
    <row r="48" spans="1:6">
      <c r="A48">
        <f t="shared" si="7"/>
        <v>9</v>
      </c>
      <c r="B48" s="21">
        <f t="shared" si="3"/>
        <v>36155660107.003532</v>
      </c>
      <c r="C48" s="21">
        <f t="shared" si="0"/>
        <v>354325469.04863465</v>
      </c>
      <c r="D48" s="21">
        <f t="shared" si="1"/>
        <v>12779780.408470977</v>
      </c>
      <c r="E48" s="48">
        <f t="shared" si="2"/>
        <v>0.89918389966705914</v>
      </c>
      <c r="F48" s="21">
        <f t="shared" si="4"/>
        <v>460072925.37471461</v>
      </c>
    </row>
    <row r="49" spans="1:6">
      <c r="A49">
        <f t="shared" si="7"/>
        <v>9.25</v>
      </c>
      <c r="B49" s="21">
        <f t="shared" si="3"/>
        <v>36130101111.094223</v>
      </c>
      <c r="C49" s="21">
        <f t="shared" si="0"/>
        <v>354074990.88872337</v>
      </c>
      <c r="D49" s="21">
        <f t="shared" si="1"/>
        <v>12779780.009129025</v>
      </c>
      <c r="E49" s="48">
        <f t="shared" si="2"/>
        <v>0.89634401123269147</v>
      </c>
      <c r="F49" s="21">
        <f t="shared" si="4"/>
        <v>472852705.38384366</v>
      </c>
    </row>
    <row r="50" spans="1:6">
      <c r="A50">
        <f t="shared" si="7"/>
        <v>9.5</v>
      </c>
      <c r="B50" s="21">
        <f t="shared" si="3"/>
        <v>36104542115.584251</v>
      </c>
      <c r="C50" s="21">
        <f t="shared" si="0"/>
        <v>353824512.73272568</v>
      </c>
      <c r="D50" s="21">
        <f t="shared" si="1"/>
        <v>12779779.609787079</v>
      </c>
      <c r="E50" s="48">
        <f t="shared" si="2"/>
        <v>0.89350412284269465</v>
      </c>
      <c r="F50" s="21">
        <f t="shared" si="4"/>
        <v>485632484.99363077</v>
      </c>
    </row>
    <row r="51" spans="1:6">
      <c r="A51">
        <f t="shared" si="7"/>
        <v>9.75</v>
      </c>
      <c r="B51" s="21">
        <f t="shared" si="3"/>
        <v>36078983120.473625</v>
      </c>
      <c r="C51" s="21">
        <f t="shared" si="0"/>
        <v>353574034.58064157</v>
      </c>
      <c r="D51" s="21">
        <f t="shared" si="1"/>
        <v>12779779.21044514</v>
      </c>
      <c r="E51" s="48">
        <f t="shared" si="2"/>
        <v>0.89066423449706944</v>
      </c>
      <c r="F51" s="21">
        <f t="shared" si="4"/>
        <v>498412264.20407593</v>
      </c>
    </row>
    <row r="52" spans="1:6">
      <c r="A52">
        <f t="shared" si="7"/>
        <v>10</v>
      </c>
      <c r="B52" s="21">
        <f t="shared" si="3"/>
        <v>36053424125.762344</v>
      </c>
      <c r="C52" s="21">
        <f t="shared" si="0"/>
        <v>353323556.43247104</v>
      </c>
      <c r="D52" s="21">
        <f t="shared" si="1"/>
        <v>12779778.811103206</v>
      </c>
      <c r="E52" s="48">
        <f t="shared" si="2"/>
        <v>0.88782434619581607</v>
      </c>
      <c r="F52" s="21">
        <f t="shared" si="4"/>
        <v>511192043.01517916</v>
      </c>
    </row>
    <row r="53" spans="1:6">
      <c r="A53">
        <f t="shared" si="7"/>
        <v>10.25</v>
      </c>
      <c r="B53" s="21">
        <f t="shared" si="3"/>
        <v>36027865131.450401</v>
      </c>
      <c r="C53" s="21">
        <f t="shared" si="0"/>
        <v>353073078.28821391</v>
      </c>
      <c r="D53" s="21">
        <f t="shared" si="1"/>
        <v>12779778.411761278</v>
      </c>
      <c r="E53" s="48">
        <f t="shared" si="2"/>
        <v>0.88498445793893343</v>
      </c>
      <c r="F53" s="21">
        <f t="shared" si="4"/>
        <v>523971821.42694044</v>
      </c>
    </row>
    <row r="54" spans="1:6">
      <c r="A54">
        <f t="shared" si="7"/>
        <v>10.5</v>
      </c>
      <c r="B54" s="21">
        <f t="shared" si="3"/>
        <v>36002306137.537804</v>
      </c>
      <c r="C54" s="21">
        <f t="shared" si="0"/>
        <v>352822600.14787048</v>
      </c>
      <c r="D54" s="21">
        <f t="shared" si="1"/>
        <v>12779778.012419358</v>
      </c>
      <c r="E54" s="48">
        <f t="shared" si="2"/>
        <v>0.88214456972642263</v>
      </c>
      <c r="F54" s="21">
        <f t="shared" si="4"/>
        <v>536751599.43935978</v>
      </c>
    </row>
    <row r="55" spans="1:6">
      <c r="A55">
        <f t="shared" si="7"/>
        <v>10.75</v>
      </c>
      <c r="B55" s="21">
        <f t="shared" si="3"/>
        <v>35976747144.024544</v>
      </c>
      <c r="C55" s="21">
        <f t="shared" si="0"/>
        <v>352572122.01144058</v>
      </c>
      <c r="D55" s="21">
        <f t="shared" si="1"/>
        <v>12779777.613077443</v>
      </c>
      <c r="E55" s="48">
        <f t="shared" si="2"/>
        <v>0.87930468155828267</v>
      </c>
      <c r="F55" s="21">
        <f t="shared" si="4"/>
        <v>549531377.05243719</v>
      </c>
    </row>
    <row r="56" spans="1:6">
      <c r="A56">
        <f t="shared" si="7"/>
        <v>11</v>
      </c>
      <c r="B56" s="21">
        <f t="shared" si="3"/>
        <v>35951188150.910629</v>
      </c>
      <c r="C56" s="21">
        <f t="shared" si="0"/>
        <v>352321643.87892419</v>
      </c>
      <c r="D56" s="21">
        <f t="shared" si="1"/>
        <v>12779777.213735534</v>
      </c>
      <c r="E56" s="48">
        <f t="shared" si="2"/>
        <v>0.87646479343451433</v>
      </c>
      <c r="F56" s="21">
        <f t="shared" si="4"/>
        <v>562311154.26617277</v>
      </c>
    </row>
    <row r="57" spans="1:6">
      <c r="A57">
        <f t="shared" si="7"/>
        <v>11.25</v>
      </c>
      <c r="B57" s="21">
        <f t="shared" si="3"/>
        <v>35925629158.196053</v>
      </c>
      <c r="C57" s="21">
        <f t="shared" si="0"/>
        <v>352071165.75032133</v>
      </c>
      <c r="D57" s="21">
        <f t="shared" si="1"/>
        <v>12779776.814393632</v>
      </c>
      <c r="E57" s="48">
        <f t="shared" si="2"/>
        <v>0.87362490535511694</v>
      </c>
      <c r="F57" s="21">
        <f t="shared" si="4"/>
        <v>575090931.08056641</v>
      </c>
    </row>
    <row r="58" spans="1:6">
      <c r="A58">
        <f t="shared" si="7"/>
        <v>11.5</v>
      </c>
      <c r="B58" s="21">
        <f t="shared" si="3"/>
        <v>35900070165.880821</v>
      </c>
      <c r="C58" s="21">
        <f t="shared" si="0"/>
        <v>351820687.62563211</v>
      </c>
      <c r="D58" s="21">
        <f t="shared" si="1"/>
        <v>12779776.415051736</v>
      </c>
      <c r="E58" s="48">
        <f t="shared" si="2"/>
        <v>0.87078501732009128</v>
      </c>
      <c r="F58" s="21">
        <f t="shared" si="4"/>
        <v>587870707.4956181</v>
      </c>
    </row>
    <row r="59" spans="1:6">
      <c r="A59">
        <f t="shared" si="7"/>
        <v>11.75</v>
      </c>
      <c r="B59" s="21">
        <f t="shared" si="3"/>
        <v>35874511173.964928</v>
      </c>
      <c r="C59" s="21">
        <f t="shared" si="0"/>
        <v>351570209.50485635</v>
      </c>
      <c r="D59" s="21">
        <f t="shared" si="1"/>
        <v>12779776.015709847</v>
      </c>
      <c r="E59" s="48">
        <f t="shared" si="2"/>
        <v>0.86794512932943646</v>
      </c>
      <c r="F59" s="21">
        <f t="shared" si="4"/>
        <v>600650483.51132798</v>
      </c>
    </row>
    <row r="60" spans="1:6">
      <c r="A60">
        <f t="shared" si="7"/>
        <v>12</v>
      </c>
      <c r="B60" s="21">
        <f t="shared" si="3"/>
        <v>35848952182.44838</v>
      </c>
      <c r="C60" s="21">
        <f t="shared" si="0"/>
        <v>351319731.38799417</v>
      </c>
      <c r="D60" s="21">
        <f t="shared" si="1"/>
        <v>12779775.616367964</v>
      </c>
      <c r="E60" s="48">
        <f t="shared" si="2"/>
        <v>0.86510524138315326</v>
      </c>
      <c r="F60" s="21">
        <f t="shared" si="4"/>
        <v>613430259.12769592</v>
      </c>
    </row>
    <row r="61" spans="1:6">
      <c r="A61">
        <f t="shared" si="7"/>
        <v>12.25</v>
      </c>
      <c r="B61" s="21">
        <f t="shared" si="3"/>
        <v>35823393191.331169</v>
      </c>
      <c r="C61" s="21">
        <f t="shared" si="0"/>
        <v>351069253.27504545</v>
      </c>
      <c r="D61" s="21">
        <f t="shared" si="1"/>
        <v>12779775.217026087</v>
      </c>
      <c r="E61" s="48">
        <f t="shared" si="2"/>
        <v>0.862265353481241</v>
      </c>
      <c r="F61" s="21">
        <f t="shared" si="4"/>
        <v>626210034.34472203</v>
      </c>
    </row>
    <row r="62" spans="1:6">
      <c r="A62">
        <f t="shared" si="7"/>
        <v>12.5</v>
      </c>
      <c r="B62" s="21">
        <f t="shared" si="3"/>
        <v>35797834200.613304</v>
      </c>
      <c r="C62" s="21">
        <f t="shared" si="0"/>
        <v>350818775.16601038</v>
      </c>
      <c r="D62" s="21">
        <f t="shared" si="1"/>
        <v>12779774.817684215</v>
      </c>
      <c r="E62" s="48">
        <f t="shared" si="2"/>
        <v>0.85942546562370048</v>
      </c>
      <c r="F62" s="21">
        <f t="shared" si="4"/>
        <v>638989809.16240621</v>
      </c>
    </row>
    <row r="63" spans="1:6">
      <c r="A63">
        <f t="shared" si="7"/>
        <v>12.75</v>
      </c>
      <c r="B63" s="21">
        <f t="shared" si="3"/>
        <v>35772275210.294777</v>
      </c>
      <c r="C63" s="21">
        <f t="shared" si="0"/>
        <v>350568297.06088883</v>
      </c>
      <c r="D63" s="21">
        <f t="shared" si="1"/>
        <v>12779774.41834235</v>
      </c>
      <c r="E63" s="48">
        <f t="shared" si="2"/>
        <v>0.8565855778105308</v>
      </c>
      <c r="F63" s="21">
        <f t="shared" si="4"/>
        <v>651769583.58074856</v>
      </c>
    </row>
    <row r="64" spans="1:6">
      <c r="A64">
        <f t="shared" si="7"/>
        <v>13</v>
      </c>
      <c r="B64" s="21">
        <f t="shared" si="3"/>
        <v>35746716220.375595</v>
      </c>
      <c r="C64" s="21">
        <f t="shared" si="0"/>
        <v>350317818.95968086</v>
      </c>
      <c r="D64" s="21">
        <f t="shared" si="1"/>
        <v>12779774.019000491</v>
      </c>
      <c r="E64" s="48">
        <f t="shared" si="2"/>
        <v>0.85374569004173284</v>
      </c>
      <c r="F64" s="21">
        <f t="shared" si="4"/>
        <v>664549357.59974909</v>
      </c>
    </row>
    <row r="65" spans="1:6">
      <c r="A65">
        <f t="shared" si="7"/>
        <v>13.25</v>
      </c>
      <c r="B65" s="21">
        <f t="shared" si="3"/>
        <v>35721157230.855759</v>
      </c>
      <c r="C65" s="21">
        <f t="shared" si="0"/>
        <v>350067340.86238647</v>
      </c>
      <c r="D65" s="21">
        <f t="shared" si="1"/>
        <v>12779773.61965864</v>
      </c>
      <c r="E65" s="48">
        <f t="shared" si="2"/>
        <v>0.8509058023173065</v>
      </c>
      <c r="F65" s="21">
        <f t="shared" si="4"/>
        <v>677329131.21940768</v>
      </c>
    </row>
    <row r="66" spans="1:6">
      <c r="A66">
        <f t="shared" si="7"/>
        <v>13.5</v>
      </c>
      <c r="B66" s="21">
        <f t="shared" si="3"/>
        <v>35695598241.73526</v>
      </c>
      <c r="C66" s="21">
        <f t="shared" si="0"/>
        <v>349816862.76900554</v>
      </c>
      <c r="D66" s="21">
        <f t="shared" si="1"/>
        <v>12779773.220316794</v>
      </c>
      <c r="E66" s="48">
        <f t="shared" si="2"/>
        <v>0.84806591463725112</v>
      </c>
      <c r="F66" s="21">
        <f t="shared" si="4"/>
        <v>690108904.43972445</v>
      </c>
    </row>
    <row r="67" spans="1:6">
      <c r="A67">
        <f t="shared" si="7"/>
        <v>13.75</v>
      </c>
      <c r="B67" s="21">
        <f t="shared" si="3"/>
        <v>35670039253.014107</v>
      </c>
      <c r="C67" s="21">
        <f t="shared" si="0"/>
        <v>349566384.67953825</v>
      </c>
      <c r="D67" s="21">
        <f t="shared" si="1"/>
        <v>12779772.820974953</v>
      </c>
      <c r="E67" s="48">
        <f t="shared" si="2"/>
        <v>0.84522602700156746</v>
      </c>
      <c r="F67" s="21">
        <f t="shared" si="4"/>
        <v>702888677.26069939</v>
      </c>
    </row>
    <row r="68" spans="1:6">
      <c r="A68">
        <f t="shared" si="7"/>
        <v>14</v>
      </c>
      <c r="B68" s="21">
        <f t="shared" si="3"/>
        <v>35644480264.692291</v>
      </c>
      <c r="C68" s="21">
        <f t="shared" si="0"/>
        <v>349315906.59398448</v>
      </c>
      <c r="D68" s="21">
        <f t="shared" si="1"/>
        <v>12779772.421633121</v>
      </c>
      <c r="E68" s="48">
        <f t="shared" si="2"/>
        <v>0.84238613941025453</v>
      </c>
      <c r="F68" s="21">
        <f t="shared" si="4"/>
        <v>715668449.68233252</v>
      </c>
    </row>
    <row r="69" spans="1:6">
      <c r="A69">
        <f t="shared" si="7"/>
        <v>14.25</v>
      </c>
      <c r="B69" s="21">
        <f t="shared" si="3"/>
        <v>35618921276.769821</v>
      </c>
      <c r="C69" s="21">
        <f t="shared" si="0"/>
        <v>349065428.5123443</v>
      </c>
      <c r="D69" s="21">
        <f t="shared" si="1"/>
        <v>12779772.022291293</v>
      </c>
      <c r="E69" s="48">
        <f t="shared" si="2"/>
        <v>0.83954625186331344</v>
      </c>
      <c r="F69" s="21">
        <f t="shared" si="4"/>
        <v>728448221.70462382</v>
      </c>
    </row>
    <row r="70" spans="1:6">
      <c r="A70">
        <f t="shared" si="7"/>
        <v>14.5</v>
      </c>
      <c r="B70" s="21">
        <f t="shared" si="3"/>
        <v>35593362289.246689</v>
      </c>
      <c r="C70" s="21">
        <f t="shared" si="0"/>
        <v>348814950.43461758</v>
      </c>
      <c r="D70" s="21">
        <f t="shared" si="1"/>
        <v>12779771.622949472</v>
      </c>
      <c r="E70" s="48">
        <f t="shared" si="2"/>
        <v>0.83670636436074319</v>
      </c>
      <c r="F70" s="21">
        <f t="shared" si="4"/>
        <v>741227993.3275733</v>
      </c>
    </row>
    <row r="71" spans="1:6">
      <c r="A71">
        <f t="shared" si="7"/>
        <v>14.75</v>
      </c>
      <c r="B71" s="21">
        <f t="shared" si="3"/>
        <v>35567803302.122902</v>
      </c>
      <c r="C71" s="21">
        <f t="shared" si="0"/>
        <v>348564472.36080444</v>
      </c>
      <c r="D71" s="21">
        <f t="shared" si="1"/>
        <v>12779771.223607657</v>
      </c>
      <c r="E71" s="48">
        <f t="shared" si="2"/>
        <v>0.83386647690254467</v>
      </c>
      <c r="F71" s="21">
        <f t="shared" si="4"/>
        <v>754007764.55118096</v>
      </c>
    </row>
    <row r="72" spans="1:6">
      <c r="A72">
        <f t="shared" si="7"/>
        <v>15</v>
      </c>
      <c r="B72" s="21">
        <f t="shared" si="3"/>
        <v>35542244315.398453</v>
      </c>
      <c r="C72" s="21">
        <f t="shared" si="0"/>
        <v>348313994.29090482</v>
      </c>
      <c r="D72" s="21">
        <f t="shared" si="1"/>
        <v>12779770.824265849</v>
      </c>
      <c r="E72" s="48">
        <f t="shared" si="2"/>
        <v>0.83102658948871699</v>
      </c>
      <c r="F72" s="21">
        <f t="shared" si="4"/>
        <v>766787535.3754468</v>
      </c>
    </row>
    <row r="73" spans="1:6">
      <c r="A73">
        <f t="shared" si="7"/>
        <v>15.25</v>
      </c>
      <c r="B73" s="21">
        <f t="shared" si="3"/>
        <v>35516685329.073349</v>
      </c>
      <c r="C73" s="21">
        <f t="shared" si="0"/>
        <v>348063516.22491884</v>
      </c>
      <c r="D73" s="21">
        <f t="shared" si="1"/>
        <v>12779770.424924046</v>
      </c>
      <c r="E73" s="48">
        <f t="shared" si="2"/>
        <v>0.82818670211926104</v>
      </c>
      <c r="F73" s="21">
        <f t="shared" si="4"/>
        <v>779567305.80037081</v>
      </c>
    </row>
    <row r="74" spans="1:6">
      <c r="A74">
        <f t="shared" si="7"/>
        <v>15.5</v>
      </c>
      <c r="B74" s="21">
        <f t="shared" si="3"/>
        <v>35491126343.147583</v>
      </c>
      <c r="C74" s="21">
        <f t="shared" si="0"/>
        <v>347813038.16284633</v>
      </c>
      <c r="D74" s="21">
        <f t="shared" si="1"/>
        <v>12779770.02558225</v>
      </c>
      <c r="E74" s="48">
        <f t="shared" si="2"/>
        <v>0.82534681479417582</v>
      </c>
      <c r="F74" s="21">
        <f t="shared" si="4"/>
        <v>792347075.82595301</v>
      </c>
    </row>
    <row r="75" spans="1:6">
      <c r="A75">
        <f t="shared" si="7"/>
        <v>15.75</v>
      </c>
      <c r="B75" s="21">
        <f t="shared" si="3"/>
        <v>35465567357.621162</v>
      </c>
      <c r="C75" s="21">
        <f t="shared" si="0"/>
        <v>347562560.10468745</v>
      </c>
      <c r="D75" s="21">
        <f t="shared" si="1"/>
        <v>12779769.62624046</v>
      </c>
      <c r="E75" s="48">
        <f t="shared" si="2"/>
        <v>0.82250692751346244</v>
      </c>
      <c r="F75" s="21">
        <f t="shared" si="4"/>
        <v>805126845.4521935</v>
      </c>
    </row>
    <row r="76" spans="1:6">
      <c r="A76">
        <f t="shared" si="7"/>
        <v>16</v>
      </c>
      <c r="B76" s="21">
        <f t="shared" si="3"/>
        <v>35440008372.49408</v>
      </c>
      <c r="C76" s="21">
        <f t="shared" si="0"/>
        <v>347312082.05044204</v>
      </c>
      <c r="D76" s="21">
        <f t="shared" si="1"/>
        <v>12779769.226898676</v>
      </c>
      <c r="E76" s="48">
        <f t="shared" si="2"/>
        <v>0.81966704027712001</v>
      </c>
      <c r="F76" s="21">
        <f t="shared" si="4"/>
        <v>817906614.67909217</v>
      </c>
    </row>
    <row r="77" spans="1:6">
      <c r="A77">
        <f t="shared" si="7"/>
        <v>16.25</v>
      </c>
      <c r="B77" s="21">
        <f t="shared" si="3"/>
        <v>35414449387.766342</v>
      </c>
      <c r="C77" s="21">
        <f t="shared" ref="C77:C140" si="8">IF(B77&gt;$D$2,B77*$D$4/1000,0)</f>
        <v>347061604.00011015</v>
      </c>
      <c r="D77" s="21">
        <f t="shared" ref="D77:D140" si="9">C77*$D$6*$D$5+$D$8</f>
        <v>12779768.827556899</v>
      </c>
      <c r="E77" s="48">
        <f t="shared" ref="E77:E140" si="10">1-(($B$12-B77)/$D$3)</f>
        <v>0.81682715308514919</v>
      </c>
      <c r="F77" s="21">
        <f t="shared" si="4"/>
        <v>830686383.50664902</v>
      </c>
    </row>
    <row r="78" spans="1:6">
      <c r="A78">
        <f t="shared" si="7"/>
        <v>16.5</v>
      </c>
      <c r="B78" s="21">
        <f t="shared" ref="B78:B141" si="11">B77-D77-$D$8</f>
        <v>35388890403.437943</v>
      </c>
      <c r="C78" s="21">
        <f t="shared" si="8"/>
        <v>346811125.95369184</v>
      </c>
      <c r="D78" s="21">
        <f t="shared" si="9"/>
        <v>12779768.428215127</v>
      </c>
      <c r="E78" s="48">
        <f t="shared" si="10"/>
        <v>0.81398726593754911</v>
      </c>
    </row>
    <row r="79" spans="1:6">
      <c r="A79">
        <f t="shared" si="7"/>
        <v>16.75</v>
      </c>
      <c r="B79" s="21">
        <f t="shared" si="11"/>
        <v>35363331419.508888</v>
      </c>
      <c r="C79" s="21">
        <f t="shared" si="8"/>
        <v>346560647.91118711</v>
      </c>
      <c r="D79" s="21">
        <f t="shared" si="9"/>
        <v>12779768.028873362</v>
      </c>
      <c r="E79" s="48">
        <f t="shared" si="10"/>
        <v>0.81114737883432086</v>
      </c>
    </row>
    <row r="80" spans="1:6">
      <c r="A80">
        <f t="shared" ref="A80:A112" si="12">A79+0.25</f>
        <v>17</v>
      </c>
      <c r="B80" s="21">
        <f t="shared" si="11"/>
        <v>35337772435.979179</v>
      </c>
      <c r="C80" s="21">
        <f t="shared" si="8"/>
        <v>346310169.87259603</v>
      </c>
      <c r="D80" s="21">
        <f t="shared" si="9"/>
        <v>12779767.629531603</v>
      </c>
      <c r="E80" s="48">
        <f t="shared" si="10"/>
        <v>0.80830749177546435</v>
      </c>
    </row>
    <row r="81" spans="1:5">
      <c r="A81">
        <f t="shared" si="12"/>
        <v>17.25</v>
      </c>
      <c r="B81" s="21">
        <f t="shared" si="11"/>
        <v>35312213452.848808</v>
      </c>
      <c r="C81" s="21">
        <f t="shared" si="8"/>
        <v>346059691.83791834</v>
      </c>
      <c r="D81" s="21">
        <f t="shared" si="9"/>
        <v>12779767.230189851</v>
      </c>
      <c r="E81" s="48">
        <f t="shared" si="10"/>
        <v>0.80546760476097867</v>
      </c>
    </row>
    <row r="82" spans="1:5">
      <c r="A82">
        <f t="shared" si="12"/>
        <v>17.5</v>
      </c>
      <c r="B82" s="21">
        <f t="shared" si="11"/>
        <v>35286654470.117783</v>
      </c>
      <c r="C82" s="21">
        <f t="shared" si="8"/>
        <v>345809213.8071543</v>
      </c>
      <c r="D82" s="21">
        <f t="shared" si="9"/>
        <v>12779766.830848105</v>
      </c>
      <c r="E82" s="48">
        <f t="shared" si="10"/>
        <v>0.80262771779086473</v>
      </c>
    </row>
    <row r="83" spans="1:5">
      <c r="A83">
        <f t="shared" si="12"/>
        <v>17.75</v>
      </c>
      <c r="B83" s="21">
        <f t="shared" si="11"/>
        <v>35261095487.786095</v>
      </c>
      <c r="C83" s="21">
        <f t="shared" si="8"/>
        <v>345558735.78030378</v>
      </c>
      <c r="D83" s="21">
        <f t="shared" si="9"/>
        <v>12779766.431506366</v>
      </c>
      <c r="E83" s="48">
        <f t="shared" si="10"/>
        <v>0.79978783086512162</v>
      </c>
    </row>
    <row r="84" spans="1:5">
      <c r="A84">
        <f t="shared" si="12"/>
        <v>18</v>
      </c>
      <c r="B84" s="21">
        <f t="shared" si="11"/>
        <v>35235536505.853752</v>
      </c>
      <c r="C84" s="21">
        <f t="shared" si="8"/>
        <v>345308257.75736684</v>
      </c>
      <c r="D84" s="21">
        <f t="shared" si="9"/>
        <v>12779766.032164631</v>
      </c>
      <c r="E84" s="48">
        <f t="shared" si="10"/>
        <v>0.79694794398375024</v>
      </c>
    </row>
    <row r="85" spans="1:5">
      <c r="A85">
        <f t="shared" si="12"/>
        <v>18.25</v>
      </c>
      <c r="B85" s="21">
        <f t="shared" si="11"/>
        <v>35209977524.320747</v>
      </c>
      <c r="C85" s="21">
        <f t="shared" si="8"/>
        <v>345057779.7383433</v>
      </c>
      <c r="D85" s="21">
        <f t="shared" si="9"/>
        <v>12779765.632822903</v>
      </c>
      <c r="E85" s="48">
        <f t="shared" si="10"/>
        <v>0.7941080571467497</v>
      </c>
    </row>
    <row r="86" spans="1:5">
      <c r="A86">
        <f t="shared" si="12"/>
        <v>18.5</v>
      </c>
      <c r="B86" s="21">
        <f t="shared" si="11"/>
        <v>35184418543.187088</v>
      </c>
      <c r="C86" s="21">
        <f t="shared" si="8"/>
        <v>344807301.72323346</v>
      </c>
      <c r="D86" s="21">
        <f t="shared" si="9"/>
        <v>12779765.233481182</v>
      </c>
      <c r="E86" s="48">
        <f t="shared" si="10"/>
        <v>0.79126817035412089</v>
      </c>
    </row>
    <row r="87" spans="1:5">
      <c r="A87">
        <f t="shared" si="12"/>
        <v>18.75</v>
      </c>
      <c r="B87" s="21">
        <f t="shared" si="11"/>
        <v>35158859562.452766</v>
      </c>
      <c r="C87" s="21">
        <f t="shared" si="8"/>
        <v>344556823.71203709</v>
      </c>
      <c r="D87" s="21">
        <f t="shared" si="9"/>
        <v>12779764.834139468</v>
      </c>
      <c r="E87" s="48">
        <f t="shared" si="10"/>
        <v>0.78842828360586292</v>
      </c>
    </row>
    <row r="88" spans="1:5">
      <c r="A88">
        <f t="shared" si="12"/>
        <v>19</v>
      </c>
      <c r="B88" s="21">
        <f t="shared" si="11"/>
        <v>35133300582.11779</v>
      </c>
      <c r="C88" s="21">
        <f t="shared" si="8"/>
        <v>344306345.70475441</v>
      </c>
      <c r="D88" s="21">
        <f t="shared" si="9"/>
        <v>12779764.434797758</v>
      </c>
      <c r="E88" s="48">
        <f t="shared" si="10"/>
        <v>0.78558839690197668</v>
      </c>
    </row>
    <row r="89" spans="1:5">
      <c r="A89">
        <f t="shared" si="12"/>
        <v>19.25</v>
      </c>
      <c r="B89" s="21">
        <f t="shared" si="11"/>
        <v>35107741602.182152</v>
      </c>
      <c r="C89" s="21">
        <f t="shared" si="8"/>
        <v>344055867.70138514</v>
      </c>
      <c r="D89" s="21">
        <f t="shared" si="9"/>
        <v>12779764.035456056</v>
      </c>
      <c r="E89" s="48">
        <f t="shared" si="10"/>
        <v>0.78274851024246128</v>
      </c>
    </row>
    <row r="90" spans="1:5">
      <c r="A90">
        <f t="shared" si="12"/>
        <v>19.5</v>
      </c>
      <c r="B90" s="21">
        <f t="shared" si="11"/>
        <v>35082182622.645859</v>
      </c>
      <c r="C90" s="21">
        <f t="shared" si="8"/>
        <v>343805389.70192945</v>
      </c>
      <c r="D90" s="21">
        <f t="shared" si="9"/>
        <v>12779763.636114359</v>
      </c>
      <c r="E90" s="48">
        <f t="shared" si="10"/>
        <v>0.77990862362731761</v>
      </c>
    </row>
    <row r="91" spans="1:5">
      <c r="A91">
        <f t="shared" si="12"/>
        <v>19.75</v>
      </c>
      <c r="B91" s="21">
        <f t="shared" si="11"/>
        <v>35056623643.508904</v>
      </c>
      <c r="C91" s="21">
        <f t="shared" si="8"/>
        <v>343554911.70638728</v>
      </c>
      <c r="D91" s="21">
        <f t="shared" si="9"/>
        <v>12779763.236772669</v>
      </c>
      <c r="E91" s="48">
        <f t="shared" si="10"/>
        <v>0.77706873705654478</v>
      </c>
    </row>
    <row r="92" spans="1:5">
      <c r="A92">
        <f t="shared" si="12"/>
        <v>20</v>
      </c>
      <c r="B92" s="21">
        <f t="shared" si="11"/>
        <v>35031064664.771294</v>
      </c>
      <c r="C92" s="21">
        <f t="shared" si="8"/>
        <v>343304433.71475875</v>
      </c>
      <c r="D92" s="21">
        <f t="shared" si="9"/>
        <v>12779762.837430986</v>
      </c>
      <c r="E92" s="48">
        <f t="shared" si="10"/>
        <v>0.77422885053014379</v>
      </c>
    </row>
    <row r="93" spans="1:5">
      <c r="A93">
        <f t="shared" si="12"/>
        <v>20.25</v>
      </c>
      <c r="B93" s="21">
        <f t="shared" si="11"/>
        <v>35005505686.433022</v>
      </c>
      <c r="C93" s="21">
        <f t="shared" si="8"/>
        <v>343053955.72704363</v>
      </c>
      <c r="D93" s="21">
        <f t="shared" si="9"/>
        <v>12779762.438089307</v>
      </c>
      <c r="E93" s="48">
        <f t="shared" si="10"/>
        <v>0.77138896404811352</v>
      </c>
    </row>
    <row r="94" spans="1:5">
      <c r="A94">
        <f t="shared" si="12"/>
        <v>20.5</v>
      </c>
      <c r="B94" s="21">
        <f t="shared" si="11"/>
        <v>34979946708.494095</v>
      </c>
      <c r="C94" s="21">
        <f t="shared" si="8"/>
        <v>342803477.74324214</v>
      </c>
      <c r="D94" s="21">
        <f t="shared" si="9"/>
        <v>12779762.038747637</v>
      </c>
      <c r="E94" s="48">
        <f t="shared" si="10"/>
        <v>0.76854907761045499</v>
      </c>
    </row>
    <row r="95" spans="1:5">
      <c r="A95">
        <f t="shared" si="12"/>
        <v>20.75</v>
      </c>
      <c r="B95" s="21">
        <f t="shared" si="11"/>
        <v>34954387730.954506</v>
      </c>
      <c r="C95" s="21">
        <f t="shared" si="8"/>
        <v>342552999.76335418</v>
      </c>
      <c r="D95" s="21">
        <f t="shared" si="9"/>
        <v>12779761.639405971</v>
      </c>
      <c r="E95" s="48">
        <f t="shared" si="10"/>
        <v>0.7657091912171673</v>
      </c>
    </row>
    <row r="96" spans="1:5">
      <c r="A96">
        <f t="shared" si="12"/>
        <v>21</v>
      </c>
      <c r="B96" s="21">
        <f t="shared" si="11"/>
        <v>34928828753.814262</v>
      </c>
      <c r="C96" s="21">
        <f t="shared" si="8"/>
        <v>342302521.7873798</v>
      </c>
      <c r="D96" s="21">
        <f t="shared" si="9"/>
        <v>12779761.240064314</v>
      </c>
      <c r="E96" s="48">
        <f t="shared" si="10"/>
        <v>0.76286930486825133</v>
      </c>
    </row>
    <row r="97" spans="1:5">
      <c r="A97">
        <f t="shared" si="12"/>
        <v>21.25</v>
      </c>
      <c r="B97" s="21">
        <f t="shared" si="11"/>
        <v>34903269777.073357</v>
      </c>
      <c r="C97" s="21">
        <f t="shared" si="8"/>
        <v>342052043.81531888</v>
      </c>
      <c r="D97" s="21">
        <f t="shared" si="9"/>
        <v>12779760.84072266</v>
      </c>
      <c r="E97" s="48">
        <f t="shared" si="10"/>
        <v>0.76002941856370632</v>
      </c>
    </row>
    <row r="98" spans="1:5">
      <c r="A98">
        <f t="shared" si="12"/>
        <v>21.5</v>
      </c>
      <c r="B98" s="21">
        <f t="shared" si="11"/>
        <v>34877710800.731796</v>
      </c>
      <c r="C98" s="21">
        <f t="shared" si="8"/>
        <v>341801565.8471716</v>
      </c>
      <c r="D98" s="21">
        <f t="shared" si="9"/>
        <v>12779760.441381013</v>
      </c>
      <c r="E98" s="48">
        <f t="shared" si="10"/>
        <v>0.75718953230353292</v>
      </c>
    </row>
    <row r="99" spans="1:5">
      <c r="A99">
        <f t="shared" si="12"/>
        <v>21.75</v>
      </c>
      <c r="B99" s="21">
        <f t="shared" si="11"/>
        <v>34852151824.789574</v>
      </c>
      <c r="C99" s="21">
        <f t="shared" si="8"/>
        <v>341551087.88293785</v>
      </c>
      <c r="D99" s="21">
        <f t="shared" si="9"/>
        <v>12779760.042039374</v>
      </c>
      <c r="E99" s="48">
        <f t="shared" si="10"/>
        <v>0.75434964608773036</v>
      </c>
    </row>
    <row r="100" spans="1:5">
      <c r="A100">
        <f t="shared" si="12"/>
        <v>22</v>
      </c>
      <c r="B100" s="21">
        <f t="shared" si="11"/>
        <v>34826592849.246696</v>
      </c>
      <c r="C100" s="21">
        <f t="shared" si="8"/>
        <v>341300609.92261767</v>
      </c>
      <c r="D100" s="21">
        <f t="shared" si="9"/>
        <v>12779759.64269774</v>
      </c>
      <c r="E100" s="48">
        <f t="shared" si="10"/>
        <v>0.75150975991629965</v>
      </c>
    </row>
    <row r="101" spans="1:5">
      <c r="A101">
        <f t="shared" si="12"/>
        <v>22.25</v>
      </c>
      <c r="B101" s="21">
        <f t="shared" si="11"/>
        <v>34801033874.103157</v>
      </c>
      <c r="C101" s="21">
        <f t="shared" si="8"/>
        <v>341050131.96621096</v>
      </c>
      <c r="D101" s="21">
        <f t="shared" si="9"/>
        <v>12779759.243356112</v>
      </c>
      <c r="E101" s="48">
        <f t="shared" si="10"/>
        <v>0.74866987378923966</v>
      </c>
    </row>
    <row r="102" spans="1:5">
      <c r="A102">
        <f t="shared" si="12"/>
        <v>22.5</v>
      </c>
      <c r="B102" s="21">
        <f t="shared" si="11"/>
        <v>34775474899.358963</v>
      </c>
      <c r="C102" s="21">
        <f t="shared" si="8"/>
        <v>340799654.01371783</v>
      </c>
      <c r="D102" s="21">
        <f t="shared" si="9"/>
        <v>12779758.84401449</v>
      </c>
      <c r="E102" s="48">
        <f t="shared" si="10"/>
        <v>0.74582998770655151</v>
      </c>
    </row>
    <row r="103" spans="1:5">
      <c r="A103">
        <f t="shared" si="12"/>
        <v>22.75</v>
      </c>
      <c r="B103" s="21">
        <f t="shared" si="11"/>
        <v>34749915925.014107</v>
      </c>
      <c r="C103" s="21">
        <f t="shared" si="8"/>
        <v>340549176.06513822</v>
      </c>
      <c r="D103" s="21">
        <f t="shared" si="9"/>
        <v>12779758.444672875</v>
      </c>
      <c r="E103" s="48">
        <f t="shared" si="10"/>
        <v>0.74299010166823409</v>
      </c>
    </row>
    <row r="104" spans="1:5">
      <c r="A104">
        <f t="shared" si="12"/>
        <v>23</v>
      </c>
      <c r="B104" s="21">
        <f t="shared" si="11"/>
        <v>34724356951.068596</v>
      </c>
      <c r="C104" s="21">
        <f t="shared" si="8"/>
        <v>340298698.12047231</v>
      </c>
      <c r="D104" s="21">
        <f t="shared" si="9"/>
        <v>12779758.045331266</v>
      </c>
      <c r="E104" s="48">
        <f t="shared" si="10"/>
        <v>0.74015021567428851</v>
      </c>
    </row>
    <row r="105" spans="1:5">
      <c r="A105">
        <f t="shared" si="12"/>
        <v>23.25</v>
      </c>
      <c r="B105" s="21">
        <f t="shared" si="11"/>
        <v>34698797977.522423</v>
      </c>
      <c r="C105" s="21">
        <f t="shared" si="8"/>
        <v>340048220.17971981</v>
      </c>
      <c r="D105" s="21">
        <f t="shared" si="9"/>
        <v>12779757.645989664</v>
      </c>
      <c r="E105" s="48">
        <f t="shared" si="10"/>
        <v>0.73731032972471366</v>
      </c>
    </row>
    <row r="106" spans="1:5">
      <c r="A106">
        <f t="shared" si="12"/>
        <v>23.5</v>
      </c>
      <c r="B106" s="21">
        <f t="shared" si="11"/>
        <v>34673239004.375595</v>
      </c>
      <c r="C106" s="21">
        <f t="shared" si="8"/>
        <v>339797742.24288088</v>
      </c>
      <c r="D106" s="21">
        <f t="shared" si="9"/>
        <v>12779757.246648068</v>
      </c>
      <c r="E106" s="48">
        <f t="shared" si="10"/>
        <v>0.73447044381951054</v>
      </c>
    </row>
    <row r="107" spans="1:5">
      <c r="A107">
        <f t="shared" si="12"/>
        <v>23.75</v>
      </c>
      <c r="B107" s="21">
        <f t="shared" si="11"/>
        <v>34647680031.628105</v>
      </c>
      <c r="C107" s="21">
        <f t="shared" si="8"/>
        <v>339547264.30995542</v>
      </c>
      <c r="D107" s="21">
        <f t="shared" si="9"/>
        <v>12779756.847306477</v>
      </c>
      <c r="E107" s="48">
        <f t="shared" si="10"/>
        <v>0.73163055795867837</v>
      </c>
    </row>
    <row r="108" spans="1:5">
      <c r="A108">
        <f t="shared" si="12"/>
        <v>24</v>
      </c>
      <c r="B108" s="21">
        <f t="shared" si="11"/>
        <v>34622121059.279961</v>
      </c>
      <c r="C108" s="21">
        <f t="shared" si="8"/>
        <v>339296786.38094366</v>
      </c>
      <c r="D108" s="21">
        <f t="shared" si="9"/>
        <v>12779756.447964894</v>
      </c>
      <c r="E108" s="48">
        <f t="shared" si="10"/>
        <v>0.72879067214221782</v>
      </c>
    </row>
    <row r="109" spans="1:5">
      <c r="A109">
        <f t="shared" si="12"/>
        <v>24.25</v>
      </c>
      <c r="B109" s="21">
        <f t="shared" si="11"/>
        <v>34596562087.331154</v>
      </c>
      <c r="C109" s="21">
        <f t="shared" si="8"/>
        <v>339046308.45584536</v>
      </c>
      <c r="D109" s="21">
        <f t="shared" si="9"/>
        <v>12779756.048623316</v>
      </c>
      <c r="E109" s="48">
        <f t="shared" si="10"/>
        <v>0.72595078637012822</v>
      </c>
    </row>
    <row r="110" spans="1:5">
      <c r="A110">
        <f t="shared" si="12"/>
        <v>24.5</v>
      </c>
      <c r="B110" s="21">
        <f t="shared" si="11"/>
        <v>34571003115.781693</v>
      </c>
      <c r="C110" s="21">
        <f t="shared" si="8"/>
        <v>338795830.53466058</v>
      </c>
      <c r="D110" s="21">
        <f t="shared" si="9"/>
        <v>12779755.649281744</v>
      </c>
      <c r="E110" s="48">
        <f t="shared" si="10"/>
        <v>0.72311090064241035</v>
      </c>
    </row>
    <row r="111" spans="1:5">
      <c r="A111">
        <f t="shared" si="12"/>
        <v>24.75</v>
      </c>
      <c r="B111" s="21">
        <f t="shared" si="11"/>
        <v>34545444144.631569</v>
      </c>
      <c r="C111" s="21">
        <f t="shared" si="8"/>
        <v>338545352.61738938</v>
      </c>
      <c r="D111" s="21">
        <f t="shared" si="9"/>
        <v>12779755.249940179</v>
      </c>
      <c r="E111" s="48">
        <f t="shared" si="10"/>
        <v>0.7202710149590632</v>
      </c>
    </row>
    <row r="112" spans="1:5">
      <c r="A112">
        <f t="shared" si="12"/>
        <v>25</v>
      </c>
      <c r="B112" s="21">
        <f t="shared" si="11"/>
        <v>34519885173.880791</v>
      </c>
      <c r="C112" s="21">
        <f t="shared" si="8"/>
        <v>338294874.70403183</v>
      </c>
      <c r="D112" s="21">
        <f t="shared" si="9"/>
        <v>12779754.85059862</v>
      </c>
      <c r="E112" s="48">
        <f t="shared" si="10"/>
        <v>0.7174311293200879</v>
      </c>
    </row>
    <row r="113" spans="1:5">
      <c r="A113">
        <f t="shared" ref="A113:A130" si="13">A112+0.25</f>
        <v>25.25</v>
      </c>
      <c r="B113" s="21">
        <f t="shared" si="11"/>
        <v>34494326203.52935</v>
      </c>
      <c r="C113" s="21">
        <f t="shared" si="8"/>
        <v>338044396.79458767</v>
      </c>
      <c r="D113" s="21">
        <f t="shared" si="9"/>
        <v>12779754.451257067</v>
      </c>
      <c r="E113" s="48">
        <f t="shared" si="10"/>
        <v>0.71459124372548333</v>
      </c>
    </row>
    <row r="114" spans="1:5">
      <c r="A114">
        <f t="shared" si="13"/>
        <v>25.5</v>
      </c>
      <c r="B114" s="21">
        <f t="shared" si="11"/>
        <v>34468767233.577255</v>
      </c>
      <c r="C114" s="21">
        <f t="shared" si="8"/>
        <v>337793918.8890571</v>
      </c>
      <c r="D114" s="21">
        <f t="shared" si="9"/>
        <v>12779754.051915521</v>
      </c>
      <c r="E114" s="48">
        <f t="shared" si="10"/>
        <v>0.71175135817525059</v>
      </c>
    </row>
    <row r="115" spans="1:5">
      <c r="A115">
        <f t="shared" si="13"/>
        <v>25.75</v>
      </c>
      <c r="B115" s="21">
        <f t="shared" si="11"/>
        <v>34443208264.024498</v>
      </c>
      <c r="C115" s="21">
        <f t="shared" si="8"/>
        <v>337543440.98744011</v>
      </c>
      <c r="D115" s="21">
        <f t="shared" si="9"/>
        <v>12779753.65257398</v>
      </c>
      <c r="E115" s="48">
        <f t="shared" si="10"/>
        <v>0.70891147266938859</v>
      </c>
    </row>
    <row r="116" spans="1:5">
      <c r="A116">
        <f t="shared" si="13"/>
        <v>26</v>
      </c>
      <c r="B116" s="21">
        <f t="shared" si="11"/>
        <v>34417649294.871086</v>
      </c>
      <c r="C116" s="21">
        <f t="shared" si="8"/>
        <v>337292963.0897367</v>
      </c>
      <c r="D116" s="21">
        <f t="shared" si="9"/>
        <v>12779753.253232446</v>
      </c>
      <c r="E116" s="48">
        <f t="shared" si="10"/>
        <v>0.70607158720789842</v>
      </c>
    </row>
    <row r="117" spans="1:5">
      <c r="A117">
        <f t="shared" si="13"/>
        <v>26.25</v>
      </c>
      <c r="B117" s="21">
        <f t="shared" si="11"/>
        <v>34392090326.117012</v>
      </c>
      <c r="C117" s="21">
        <f t="shared" si="8"/>
        <v>337042485.19594669</v>
      </c>
      <c r="D117" s="21">
        <f t="shared" si="9"/>
        <v>12779752.853890918</v>
      </c>
      <c r="E117" s="48">
        <f t="shared" si="10"/>
        <v>0.7032317017907791</v>
      </c>
    </row>
    <row r="118" spans="1:5">
      <c r="A118">
        <f t="shared" si="13"/>
        <v>26.5</v>
      </c>
      <c r="B118" s="21">
        <f t="shared" si="11"/>
        <v>34366531357.762283</v>
      </c>
      <c r="C118" s="21">
        <f t="shared" si="8"/>
        <v>336792007.30607039</v>
      </c>
      <c r="D118" s="21">
        <f t="shared" si="9"/>
        <v>12779752.454549396</v>
      </c>
      <c r="E118" s="48">
        <f t="shared" si="10"/>
        <v>0.7003918164180315</v>
      </c>
    </row>
    <row r="119" spans="1:5">
      <c r="A119">
        <f t="shared" si="13"/>
        <v>26.75</v>
      </c>
      <c r="B119" s="21">
        <f t="shared" si="11"/>
        <v>34340972389.806896</v>
      </c>
      <c r="C119" s="21">
        <f t="shared" si="8"/>
        <v>336541529.4201076</v>
      </c>
      <c r="D119" s="21">
        <f t="shared" si="9"/>
        <v>12779752.05520788</v>
      </c>
      <c r="E119" s="48">
        <f t="shared" si="10"/>
        <v>0.69755193108965519</v>
      </c>
    </row>
    <row r="120" spans="1:5">
      <c r="A120">
        <f t="shared" si="13"/>
        <v>27</v>
      </c>
      <c r="B120" s="21">
        <f t="shared" si="11"/>
        <v>34315413422.250851</v>
      </c>
      <c r="C120" s="21">
        <f t="shared" si="8"/>
        <v>336291051.53805834</v>
      </c>
      <c r="D120" s="21">
        <f t="shared" si="9"/>
        <v>12779751.655866371</v>
      </c>
      <c r="E120" s="48">
        <f t="shared" si="10"/>
        <v>0.69471204580565016</v>
      </c>
    </row>
    <row r="121" spans="1:5">
      <c r="A121">
        <f t="shared" si="13"/>
        <v>27.25</v>
      </c>
      <c r="B121" s="21">
        <f t="shared" si="11"/>
        <v>34289854455.094147</v>
      </c>
      <c r="C121" s="21">
        <f t="shared" si="8"/>
        <v>336040573.65992266</v>
      </c>
      <c r="D121" s="21">
        <f t="shared" si="9"/>
        <v>12779751.256524868</v>
      </c>
      <c r="E121" s="48">
        <f t="shared" si="10"/>
        <v>0.6918721605660163</v>
      </c>
    </row>
    <row r="122" spans="1:5">
      <c r="A122">
        <f t="shared" si="13"/>
        <v>27.5</v>
      </c>
      <c r="B122" s="21">
        <f t="shared" si="11"/>
        <v>34264295488.336784</v>
      </c>
      <c r="C122" s="21">
        <f t="shared" si="8"/>
        <v>335790095.7857005</v>
      </c>
      <c r="D122" s="21">
        <f t="shared" si="9"/>
        <v>12779750.857183373</v>
      </c>
      <c r="E122" s="48">
        <f t="shared" si="10"/>
        <v>0.68903227537075384</v>
      </c>
    </row>
    <row r="123" spans="1:5">
      <c r="A123">
        <f t="shared" si="13"/>
        <v>27.75</v>
      </c>
      <c r="B123" s="21">
        <f t="shared" si="11"/>
        <v>34238736521.978764</v>
      </c>
      <c r="C123" s="21">
        <f t="shared" si="8"/>
        <v>335539617.91539192</v>
      </c>
      <c r="D123" s="21">
        <f t="shared" si="9"/>
        <v>12779750.457841882</v>
      </c>
      <c r="E123" s="48">
        <f t="shared" si="10"/>
        <v>0.68619239021986256</v>
      </c>
    </row>
    <row r="124" spans="1:5">
      <c r="A124">
        <f t="shared" si="13"/>
        <v>28</v>
      </c>
      <c r="B124" s="21">
        <f t="shared" si="11"/>
        <v>34213177556.020081</v>
      </c>
      <c r="C124" s="21">
        <f t="shared" si="8"/>
        <v>335289140.04899681</v>
      </c>
      <c r="D124" s="21">
        <f t="shared" si="9"/>
        <v>12779750.058500398</v>
      </c>
      <c r="E124" s="48">
        <f t="shared" si="10"/>
        <v>0.68335250511334222</v>
      </c>
    </row>
    <row r="125" spans="1:5">
      <c r="A125">
        <f t="shared" si="13"/>
        <v>28.25</v>
      </c>
      <c r="B125" s="21">
        <f t="shared" si="11"/>
        <v>34187618590.460739</v>
      </c>
      <c r="C125" s="21">
        <f t="shared" si="8"/>
        <v>335038662.18651527</v>
      </c>
      <c r="D125" s="21">
        <f t="shared" si="9"/>
        <v>12779749.659158919</v>
      </c>
      <c r="E125" s="48">
        <f t="shared" si="10"/>
        <v>0.68051262005119328</v>
      </c>
    </row>
    <row r="126" spans="1:5">
      <c r="A126">
        <f t="shared" si="13"/>
        <v>28.5</v>
      </c>
      <c r="B126" s="21">
        <f t="shared" si="11"/>
        <v>34162059625.300739</v>
      </c>
      <c r="C126" s="21">
        <f t="shared" si="8"/>
        <v>334788184.32794726</v>
      </c>
      <c r="D126" s="21">
        <f t="shared" si="9"/>
        <v>12779749.259817448</v>
      </c>
      <c r="E126" s="48">
        <f t="shared" si="10"/>
        <v>0.67767273503341552</v>
      </c>
    </row>
    <row r="127" spans="1:5">
      <c r="A127">
        <f t="shared" si="13"/>
        <v>28.75</v>
      </c>
      <c r="B127" s="21">
        <f t="shared" si="11"/>
        <v>34136500660.540081</v>
      </c>
      <c r="C127" s="21">
        <f t="shared" si="8"/>
        <v>334537706.47329283</v>
      </c>
      <c r="D127" s="21">
        <f t="shared" si="9"/>
        <v>12779748.860475983</v>
      </c>
      <c r="E127" s="48">
        <f t="shared" si="10"/>
        <v>0.67483285006000893</v>
      </c>
    </row>
    <row r="128" spans="1:5">
      <c r="A128">
        <f t="shared" si="13"/>
        <v>29</v>
      </c>
      <c r="B128" s="21">
        <f t="shared" si="11"/>
        <v>34110941696.178764</v>
      </c>
      <c r="C128" s="21">
        <f t="shared" si="8"/>
        <v>334287228.62255192</v>
      </c>
      <c r="D128" s="21">
        <f t="shared" si="9"/>
        <v>12779748.461134523</v>
      </c>
      <c r="E128" s="48">
        <f t="shared" si="10"/>
        <v>0.67199296513097384</v>
      </c>
    </row>
    <row r="129" spans="1:5">
      <c r="A129">
        <f t="shared" si="13"/>
        <v>29.25</v>
      </c>
      <c r="B129" s="21">
        <f t="shared" si="11"/>
        <v>34085382732.216789</v>
      </c>
      <c r="C129" s="21">
        <f t="shared" si="8"/>
        <v>334036750.77572453</v>
      </c>
      <c r="D129" s="21">
        <f t="shared" si="9"/>
        <v>12779748.06179307</v>
      </c>
      <c r="E129" s="48">
        <f t="shared" si="10"/>
        <v>0.66915308024630993</v>
      </c>
    </row>
    <row r="130" spans="1:5">
      <c r="A130">
        <f t="shared" si="13"/>
        <v>29.5</v>
      </c>
      <c r="B130" s="21">
        <f t="shared" si="11"/>
        <v>34059823768.654156</v>
      </c>
      <c r="C130" s="21">
        <f t="shared" si="8"/>
        <v>333786272.93281072</v>
      </c>
      <c r="D130" s="21">
        <f t="shared" si="9"/>
        <v>12779747.662451623</v>
      </c>
      <c r="E130" s="48">
        <f t="shared" si="10"/>
        <v>0.6663131954060173</v>
      </c>
    </row>
    <row r="131" spans="1:5">
      <c r="A131">
        <f t="shared" ref="A131:A146" si="14">A130+0.25</f>
        <v>29.75</v>
      </c>
      <c r="B131" s="21">
        <f t="shared" si="11"/>
        <v>34034264805.490864</v>
      </c>
      <c r="C131" s="21">
        <f t="shared" si="8"/>
        <v>333535795.0938105</v>
      </c>
      <c r="D131" s="21">
        <f t="shared" si="9"/>
        <v>12779747.263110183</v>
      </c>
      <c r="E131" s="48">
        <f t="shared" si="10"/>
        <v>0.66347331061009596</v>
      </c>
    </row>
    <row r="132" spans="1:5">
      <c r="A132">
        <f t="shared" si="14"/>
        <v>30</v>
      </c>
      <c r="B132" s="21">
        <f t="shared" si="11"/>
        <v>34008705842.726913</v>
      </c>
      <c r="C132" s="21">
        <f t="shared" si="8"/>
        <v>333285317.25872374</v>
      </c>
      <c r="D132" s="21">
        <f t="shared" si="9"/>
        <v>12779746.863768749</v>
      </c>
      <c r="E132" s="48">
        <f t="shared" si="10"/>
        <v>0.66063342585854601</v>
      </c>
    </row>
    <row r="133" spans="1:5">
      <c r="A133">
        <f t="shared" si="14"/>
        <v>30.25</v>
      </c>
      <c r="B133" s="21">
        <f t="shared" si="11"/>
        <v>33983146880.362305</v>
      </c>
      <c r="C133" s="21">
        <f t="shared" si="8"/>
        <v>333034839.42755061</v>
      </c>
      <c r="D133" s="21">
        <f t="shared" si="9"/>
        <v>12779746.46442732</v>
      </c>
      <c r="E133" s="48">
        <f t="shared" si="10"/>
        <v>0.65779354115136712</v>
      </c>
    </row>
    <row r="134" spans="1:5">
      <c r="A134">
        <f t="shared" si="14"/>
        <v>30.5</v>
      </c>
      <c r="B134" s="21">
        <f t="shared" si="11"/>
        <v>33957587918.397038</v>
      </c>
      <c r="C134" s="21">
        <f t="shared" si="8"/>
        <v>332784361.60029101</v>
      </c>
      <c r="D134" s="21">
        <f t="shared" si="9"/>
        <v>12779746.065085899</v>
      </c>
      <c r="E134" s="48">
        <f t="shared" si="10"/>
        <v>0.65495365648855974</v>
      </c>
    </row>
    <row r="135" spans="1:5">
      <c r="A135">
        <f t="shared" si="14"/>
        <v>30.75</v>
      </c>
      <c r="B135" s="21">
        <f t="shared" si="11"/>
        <v>33932028956.831112</v>
      </c>
      <c r="C135" s="21">
        <f t="shared" si="8"/>
        <v>332533883.77694494</v>
      </c>
      <c r="D135" s="21">
        <f t="shared" si="9"/>
        <v>12779745.665744483</v>
      </c>
      <c r="E135" s="48">
        <f t="shared" si="10"/>
        <v>0.65211377187012354</v>
      </c>
    </row>
    <row r="136" spans="1:5">
      <c r="A136">
        <f t="shared" si="14"/>
        <v>31</v>
      </c>
      <c r="B136" s="21">
        <f t="shared" si="11"/>
        <v>33906469995.664528</v>
      </c>
      <c r="C136" s="21">
        <f t="shared" si="8"/>
        <v>332283405.95751238</v>
      </c>
      <c r="D136" s="21">
        <f t="shared" si="9"/>
        <v>12779745.266403073</v>
      </c>
      <c r="E136" s="48">
        <f t="shared" si="10"/>
        <v>0.64927388729605862</v>
      </c>
    </row>
    <row r="137" spans="1:5">
      <c r="A137">
        <f t="shared" si="14"/>
        <v>31.25</v>
      </c>
      <c r="B137" s="21">
        <f t="shared" si="11"/>
        <v>33880911034.897285</v>
      </c>
      <c r="C137" s="21">
        <f t="shared" si="8"/>
        <v>332032928.1419934</v>
      </c>
      <c r="D137" s="21">
        <f t="shared" si="9"/>
        <v>12779744.867061671</v>
      </c>
      <c r="E137" s="48">
        <f t="shared" si="10"/>
        <v>0.64643400276636509</v>
      </c>
    </row>
    <row r="138" spans="1:5">
      <c r="A138">
        <f t="shared" si="14"/>
        <v>31.5</v>
      </c>
      <c r="B138" s="21">
        <f t="shared" si="11"/>
        <v>33855352074.529385</v>
      </c>
      <c r="C138" s="21">
        <f t="shared" si="8"/>
        <v>331782450.33038801</v>
      </c>
      <c r="D138" s="21">
        <f t="shared" si="9"/>
        <v>12779744.467720274</v>
      </c>
      <c r="E138" s="48">
        <f t="shared" si="10"/>
        <v>0.64359411828104274</v>
      </c>
    </row>
    <row r="139" spans="1:5">
      <c r="A139">
        <f t="shared" si="14"/>
        <v>31.75</v>
      </c>
      <c r="B139" s="21">
        <f t="shared" si="11"/>
        <v>33829793114.560825</v>
      </c>
      <c r="C139" s="21">
        <f t="shared" si="8"/>
        <v>331531972.52269608</v>
      </c>
      <c r="D139" s="21">
        <f t="shared" si="9"/>
        <v>12779744.068378884</v>
      </c>
      <c r="E139" s="48">
        <f t="shared" si="10"/>
        <v>0.64075423384009178</v>
      </c>
    </row>
    <row r="140" spans="1:5">
      <c r="A140">
        <f t="shared" si="14"/>
        <v>32</v>
      </c>
      <c r="B140" s="21">
        <f t="shared" si="11"/>
        <v>33804234154.991608</v>
      </c>
      <c r="C140" s="21">
        <f t="shared" si="8"/>
        <v>331281494.71891779</v>
      </c>
      <c r="D140" s="21">
        <f t="shared" si="9"/>
        <v>12779743.6690375</v>
      </c>
      <c r="E140" s="48">
        <f t="shared" si="10"/>
        <v>0.637914349443512</v>
      </c>
    </row>
    <row r="141" spans="1:5">
      <c r="A141">
        <f t="shared" si="14"/>
        <v>32.25</v>
      </c>
      <c r="B141" s="21">
        <f t="shared" si="11"/>
        <v>33778675195.821732</v>
      </c>
      <c r="C141" s="21">
        <f t="shared" ref="C141:C204" si="15">IF(B141&gt;$D$2,B141*$D$4/1000,0)</f>
        <v>331031016.91905296</v>
      </c>
      <c r="D141" s="21">
        <f t="shared" ref="D141:D204" si="16">C141*$D$6*$D$5+$D$8</f>
        <v>12779743.269696122</v>
      </c>
      <c r="E141" s="48">
        <f t="shared" ref="E141:E204" si="17">1-(($B$12-B141)/$D$3)</f>
        <v>0.6350744650913035</v>
      </c>
    </row>
    <row r="142" spans="1:5">
      <c r="A142">
        <f t="shared" si="14"/>
        <v>32.5</v>
      </c>
      <c r="B142" s="21">
        <f t="shared" ref="B142:B205" si="18">B141-D141-$D$8</f>
        <v>33753116237.051197</v>
      </c>
      <c r="C142" s="21">
        <f t="shared" si="15"/>
        <v>330780539.12310177</v>
      </c>
      <c r="D142" s="21">
        <f t="shared" si="16"/>
        <v>12779742.870354749</v>
      </c>
      <c r="E142" s="48">
        <f t="shared" si="17"/>
        <v>0.63223458078346639</v>
      </c>
    </row>
    <row r="143" spans="1:5">
      <c r="A143">
        <f t="shared" si="14"/>
        <v>32.75</v>
      </c>
      <c r="B143" s="21">
        <f t="shared" si="18"/>
        <v>33727557278.680004</v>
      </c>
      <c r="C143" s="21">
        <f t="shared" si="15"/>
        <v>330530061.33106411</v>
      </c>
      <c r="D143" s="21">
        <f t="shared" si="16"/>
        <v>12779742.471013384</v>
      </c>
      <c r="E143" s="48">
        <f t="shared" si="17"/>
        <v>0.62939469652000046</v>
      </c>
    </row>
    <row r="144" spans="1:5">
      <c r="A144">
        <f t="shared" si="14"/>
        <v>33</v>
      </c>
      <c r="B144" s="21">
        <f t="shared" si="18"/>
        <v>33701998320.708153</v>
      </c>
      <c r="C144" s="21">
        <f t="shared" si="15"/>
        <v>330279583.54293996</v>
      </c>
      <c r="D144" s="21">
        <f t="shared" si="16"/>
        <v>12779742.071672024</v>
      </c>
      <c r="E144" s="48">
        <f t="shared" si="17"/>
        <v>0.62655481230090593</v>
      </c>
    </row>
    <row r="145" spans="1:5">
      <c r="A145">
        <f t="shared" si="14"/>
        <v>33.25</v>
      </c>
      <c r="B145" s="21">
        <f t="shared" si="18"/>
        <v>33676439363.135643</v>
      </c>
      <c r="C145" s="21">
        <f t="shared" si="15"/>
        <v>330029105.75872934</v>
      </c>
      <c r="D145" s="21">
        <f t="shared" si="16"/>
        <v>12779741.672330672</v>
      </c>
      <c r="E145" s="48">
        <f t="shared" si="17"/>
        <v>0.62371492812618257</v>
      </c>
    </row>
    <row r="146" spans="1:5">
      <c r="A146">
        <f t="shared" si="14"/>
        <v>33.5</v>
      </c>
      <c r="B146" s="21">
        <f t="shared" si="18"/>
        <v>33650880405.962475</v>
      </c>
      <c r="C146" s="21">
        <f t="shared" si="15"/>
        <v>329778627.97843224</v>
      </c>
      <c r="D146" s="21">
        <f t="shared" si="16"/>
        <v>12779741.272989325</v>
      </c>
      <c r="E146" s="48">
        <f t="shared" si="17"/>
        <v>0.6208750439958306</v>
      </c>
    </row>
    <row r="147" spans="1:5">
      <c r="A147">
        <f t="shared" ref="A147:A164" si="19">A146+0.25</f>
        <v>33.75</v>
      </c>
      <c r="B147" s="21">
        <f t="shared" si="18"/>
        <v>33625321449.188644</v>
      </c>
      <c r="C147" s="21">
        <f t="shared" si="15"/>
        <v>329528150.20204878</v>
      </c>
      <c r="D147" s="21">
        <f t="shared" si="16"/>
        <v>12779740.873647984</v>
      </c>
      <c r="E147" s="48">
        <f t="shared" si="17"/>
        <v>0.61803515990984936</v>
      </c>
    </row>
    <row r="148" spans="1:5">
      <c r="A148">
        <f t="shared" si="19"/>
        <v>34</v>
      </c>
      <c r="B148" s="21">
        <f t="shared" si="18"/>
        <v>33599762492.814156</v>
      </c>
      <c r="C148" s="21">
        <f t="shared" si="15"/>
        <v>329277672.42957872</v>
      </c>
      <c r="D148" s="21">
        <f t="shared" si="16"/>
        <v>12779740.474306649</v>
      </c>
      <c r="E148" s="48">
        <f t="shared" si="17"/>
        <v>0.61519527586823952</v>
      </c>
    </row>
    <row r="149" spans="1:5">
      <c r="A149">
        <f t="shared" si="19"/>
        <v>34.25</v>
      </c>
      <c r="B149" s="21">
        <f t="shared" si="18"/>
        <v>33574203536.839008</v>
      </c>
      <c r="C149" s="21">
        <f t="shared" si="15"/>
        <v>329027194.66102231</v>
      </c>
      <c r="D149" s="21">
        <f t="shared" si="16"/>
        <v>12779740.074965321</v>
      </c>
      <c r="E149" s="48">
        <f t="shared" si="17"/>
        <v>0.61235539187100096</v>
      </c>
    </row>
    <row r="150" spans="1:5">
      <c r="A150">
        <f t="shared" si="19"/>
        <v>34.5</v>
      </c>
      <c r="B150" s="21">
        <f t="shared" si="18"/>
        <v>33548644581.263203</v>
      </c>
      <c r="C150" s="21">
        <f t="shared" si="15"/>
        <v>328776716.89637941</v>
      </c>
      <c r="D150" s="21">
        <f t="shared" si="16"/>
        <v>12779739.675624</v>
      </c>
      <c r="E150" s="48">
        <f t="shared" si="17"/>
        <v>0.60951550791813358</v>
      </c>
    </row>
    <row r="151" spans="1:5">
      <c r="A151">
        <f t="shared" si="19"/>
        <v>34.75</v>
      </c>
      <c r="B151" s="21">
        <f t="shared" si="18"/>
        <v>33523085626.086739</v>
      </c>
      <c r="C151" s="21">
        <f t="shared" si="15"/>
        <v>328526239.1356501</v>
      </c>
      <c r="D151" s="21">
        <f t="shared" si="16"/>
        <v>12779739.276282683</v>
      </c>
      <c r="E151" s="48">
        <f t="shared" si="17"/>
        <v>0.60667562400963759</v>
      </c>
    </row>
    <row r="152" spans="1:5">
      <c r="A152">
        <f t="shared" si="19"/>
        <v>35</v>
      </c>
      <c r="B152" s="21">
        <f t="shared" si="18"/>
        <v>33497526671.309616</v>
      </c>
      <c r="C152" s="21">
        <f t="shared" si="15"/>
        <v>328275761.37883431</v>
      </c>
      <c r="D152" s="21">
        <f t="shared" si="16"/>
        <v>12779738.876941374</v>
      </c>
      <c r="E152" s="48">
        <f t="shared" si="17"/>
        <v>0.60383574014551289</v>
      </c>
    </row>
    <row r="153" spans="1:5">
      <c r="A153">
        <f t="shared" si="19"/>
        <v>35.25</v>
      </c>
      <c r="B153" s="21">
        <f t="shared" si="18"/>
        <v>33471967716.931835</v>
      </c>
      <c r="C153" s="21">
        <f t="shared" si="15"/>
        <v>328025283.62593198</v>
      </c>
      <c r="D153" s="21">
        <f t="shared" si="16"/>
        <v>12779738.477600072</v>
      </c>
      <c r="E153" s="48">
        <f t="shared" si="17"/>
        <v>0.60099585632575947</v>
      </c>
    </row>
    <row r="154" spans="1:5">
      <c r="A154">
        <f t="shared" si="19"/>
        <v>35.5</v>
      </c>
      <c r="B154" s="21">
        <f t="shared" si="18"/>
        <v>33446408762.953396</v>
      </c>
      <c r="C154" s="21">
        <f t="shared" si="15"/>
        <v>327774805.87694329</v>
      </c>
      <c r="D154" s="21">
        <f t="shared" si="16"/>
        <v>12779738.078258773</v>
      </c>
      <c r="E154" s="48">
        <f t="shared" si="17"/>
        <v>0.59815597255037734</v>
      </c>
    </row>
    <row r="155" spans="1:5">
      <c r="A155">
        <f t="shared" si="19"/>
        <v>35.75</v>
      </c>
      <c r="B155" s="21">
        <f t="shared" si="18"/>
        <v>33420849809.374298</v>
      </c>
      <c r="C155" s="21">
        <f t="shared" si="15"/>
        <v>327524328.13186818</v>
      </c>
      <c r="D155" s="21">
        <f t="shared" si="16"/>
        <v>12779737.678917482</v>
      </c>
      <c r="E155" s="48">
        <f t="shared" si="17"/>
        <v>0.59531608881936648</v>
      </c>
    </row>
    <row r="156" spans="1:5">
      <c r="A156">
        <f t="shared" si="19"/>
        <v>36</v>
      </c>
      <c r="B156" s="21">
        <f t="shared" si="18"/>
        <v>33395290856.194542</v>
      </c>
      <c r="C156" s="21">
        <f t="shared" si="15"/>
        <v>327273850.39070654</v>
      </c>
      <c r="D156" s="21">
        <f t="shared" si="16"/>
        <v>12779737.279576199</v>
      </c>
      <c r="E156" s="48">
        <f t="shared" si="17"/>
        <v>0.59247620513272681</v>
      </c>
    </row>
    <row r="157" spans="1:5">
      <c r="A157">
        <f t="shared" si="19"/>
        <v>36.25</v>
      </c>
      <c r="B157" s="21">
        <f t="shared" si="18"/>
        <v>33369731903.414127</v>
      </c>
      <c r="C157" s="21">
        <f t="shared" si="15"/>
        <v>327023372.65345848</v>
      </c>
      <c r="D157" s="21">
        <f t="shared" si="16"/>
        <v>12779736.880234921</v>
      </c>
      <c r="E157" s="48">
        <f t="shared" si="17"/>
        <v>0.58963632149045853</v>
      </c>
    </row>
    <row r="158" spans="1:5">
      <c r="A158">
        <f t="shared" si="19"/>
        <v>36.5</v>
      </c>
      <c r="B158" s="21">
        <f t="shared" si="18"/>
        <v>33344172951.033054</v>
      </c>
      <c r="C158" s="21">
        <f t="shared" si="15"/>
        <v>326772894.92012393</v>
      </c>
      <c r="D158" s="21">
        <f t="shared" si="16"/>
        <v>12779736.480893649</v>
      </c>
      <c r="E158" s="48">
        <f t="shared" si="17"/>
        <v>0.58679643789256164</v>
      </c>
    </row>
    <row r="159" spans="1:5">
      <c r="A159">
        <f t="shared" si="19"/>
        <v>36.75</v>
      </c>
      <c r="B159" s="21">
        <f t="shared" si="18"/>
        <v>33318613999.051323</v>
      </c>
      <c r="C159" s="21">
        <f t="shared" si="15"/>
        <v>326522417.19070297</v>
      </c>
      <c r="D159" s="21">
        <f t="shared" si="16"/>
        <v>12779736.081552383</v>
      </c>
      <c r="E159" s="48">
        <f t="shared" si="17"/>
        <v>0.58395655433903593</v>
      </c>
    </row>
    <row r="160" spans="1:5">
      <c r="A160">
        <f t="shared" si="19"/>
        <v>37</v>
      </c>
      <c r="B160" s="21">
        <f t="shared" si="18"/>
        <v>33293055047.468933</v>
      </c>
      <c r="C160" s="21">
        <f t="shared" si="15"/>
        <v>326271939.46519554</v>
      </c>
      <c r="D160" s="21">
        <f t="shared" si="16"/>
        <v>12779735.682211123</v>
      </c>
      <c r="E160" s="48">
        <f t="shared" si="17"/>
        <v>0.58111667082988139</v>
      </c>
    </row>
    <row r="161" spans="1:5">
      <c r="A161">
        <f t="shared" si="19"/>
        <v>37.25</v>
      </c>
      <c r="B161" s="21">
        <f t="shared" si="18"/>
        <v>33267496096.285881</v>
      </c>
      <c r="C161" s="21">
        <f t="shared" si="15"/>
        <v>326021461.74360168</v>
      </c>
      <c r="D161" s="21">
        <f t="shared" si="16"/>
        <v>12779735.28286987</v>
      </c>
      <c r="E161" s="48">
        <f t="shared" si="17"/>
        <v>0.57827678736509791</v>
      </c>
    </row>
    <row r="162" spans="1:5">
      <c r="A162">
        <f t="shared" si="19"/>
        <v>37.5</v>
      </c>
      <c r="B162" s="21">
        <f t="shared" si="18"/>
        <v>33241937145.502171</v>
      </c>
      <c r="C162" s="21">
        <f t="shared" si="15"/>
        <v>325770984.02592129</v>
      </c>
      <c r="D162" s="21">
        <f t="shared" si="16"/>
        <v>12779734.883528622</v>
      </c>
      <c r="E162" s="48">
        <f t="shared" si="17"/>
        <v>0.57543690394468561</v>
      </c>
    </row>
    <row r="163" spans="1:5">
      <c r="A163">
        <f t="shared" si="19"/>
        <v>37.75</v>
      </c>
      <c r="B163" s="21">
        <f t="shared" si="18"/>
        <v>33216378195.117802</v>
      </c>
      <c r="C163" s="21">
        <f t="shared" si="15"/>
        <v>325520506.31215447</v>
      </c>
      <c r="D163" s="21">
        <f t="shared" si="16"/>
        <v>12779734.484187381</v>
      </c>
      <c r="E163" s="48">
        <f t="shared" si="17"/>
        <v>0.57259702056864459</v>
      </c>
    </row>
    <row r="164" spans="1:5">
      <c r="A164">
        <f t="shared" si="19"/>
        <v>38</v>
      </c>
      <c r="B164" s="21">
        <f t="shared" si="18"/>
        <v>33190819245.132774</v>
      </c>
      <c r="C164" s="21">
        <f t="shared" si="15"/>
        <v>325270028.60230118</v>
      </c>
      <c r="D164" s="21">
        <f t="shared" si="16"/>
        <v>12779734.084846146</v>
      </c>
      <c r="E164" s="48">
        <f t="shared" si="17"/>
        <v>0.56975713723697496</v>
      </c>
    </row>
    <row r="165" spans="1:5">
      <c r="A165">
        <f t="shared" ref="A165:A184" si="20">A164+0.25</f>
        <v>38.25</v>
      </c>
      <c r="B165" s="21">
        <f t="shared" si="18"/>
        <v>33165260295.547089</v>
      </c>
      <c r="C165" s="21">
        <f t="shared" si="15"/>
        <v>325019550.89636153</v>
      </c>
      <c r="D165" s="21">
        <f t="shared" si="16"/>
        <v>12779733.685504919</v>
      </c>
      <c r="E165" s="48">
        <f t="shared" si="17"/>
        <v>0.56691725394967651</v>
      </c>
    </row>
    <row r="166" spans="1:5">
      <c r="A166">
        <f t="shared" si="20"/>
        <v>38.5</v>
      </c>
      <c r="B166" s="21">
        <f t="shared" si="18"/>
        <v>33139701346.360744</v>
      </c>
      <c r="C166" s="21">
        <f t="shared" si="15"/>
        <v>324769073.19433534</v>
      </c>
      <c r="D166" s="21">
        <f t="shared" si="16"/>
        <v>12779733.286163697</v>
      </c>
      <c r="E166" s="48">
        <f t="shared" si="17"/>
        <v>0.56407737070674946</v>
      </c>
    </row>
    <row r="167" spans="1:5">
      <c r="A167">
        <f t="shared" si="20"/>
        <v>38.75</v>
      </c>
      <c r="B167" s="21">
        <f t="shared" si="18"/>
        <v>33114142397.573742</v>
      </c>
      <c r="C167" s="21">
        <f t="shared" si="15"/>
        <v>324518595.49622273</v>
      </c>
      <c r="D167" s="21">
        <f t="shared" si="16"/>
        <v>12779732.886822481</v>
      </c>
      <c r="E167" s="48">
        <f t="shared" si="17"/>
        <v>0.56123748750819358</v>
      </c>
    </row>
    <row r="168" spans="1:5">
      <c r="A168">
        <f t="shared" si="20"/>
        <v>39</v>
      </c>
      <c r="B168" s="21">
        <f t="shared" si="18"/>
        <v>33088583449.186081</v>
      </c>
      <c r="C168" s="21">
        <f t="shared" si="15"/>
        <v>324268117.80202365</v>
      </c>
      <c r="D168" s="21">
        <f t="shared" si="16"/>
        <v>12779732.487481272</v>
      </c>
      <c r="E168" s="48">
        <f t="shared" si="17"/>
        <v>0.55839760435400898</v>
      </c>
    </row>
    <row r="169" spans="1:5">
      <c r="A169">
        <f t="shared" si="20"/>
        <v>39.25</v>
      </c>
      <c r="B169" s="21">
        <f t="shared" si="18"/>
        <v>33063024501.197762</v>
      </c>
      <c r="C169" s="21">
        <f t="shared" si="15"/>
        <v>324017640.11173809</v>
      </c>
      <c r="D169" s="21">
        <f t="shared" si="16"/>
        <v>12779732.088140069</v>
      </c>
      <c r="E169" s="48">
        <f t="shared" si="17"/>
        <v>0.55555772124419578</v>
      </c>
    </row>
    <row r="170" spans="1:5">
      <c r="A170">
        <f t="shared" si="20"/>
        <v>39.5</v>
      </c>
      <c r="B170" s="21">
        <f t="shared" si="18"/>
        <v>33037465553.608784</v>
      </c>
      <c r="C170" s="21">
        <f t="shared" si="15"/>
        <v>323767162.4253661</v>
      </c>
      <c r="D170" s="21">
        <f t="shared" si="16"/>
        <v>12779731.688798871</v>
      </c>
      <c r="E170" s="48">
        <f t="shared" si="17"/>
        <v>0.55271783817875375</v>
      </c>
    </row>
    <row r="171" spans="1:5">
      <c r="A171">
        <f t="shared" si="20"/>
        <v>39.75</v>
      </c>
      <c r="B171" s="21">
        <f t="shared" si="18"/>
        <v>33011906606.419147</v>
      </c>
      <c r="C171" s="21">
        <f t="shared" si="15"/>
        <v>323516684.74290764</v>
      </c>
      <c r="D171" s="21">
        <f t="shared" si="16"/>
        <v>12779731.289457681</v>
      </c>
      <c r="E171" s="48">
        <f t="shared" si="17"/>
        <v>0.54987795515768312</v>
      </c>
    </row>
    <row r="172" spans="1:5">
      <c r="A172">
        <f t="shared" si="20"/>
        <v>40</v>
      </c>
      <c r="B172" s="21">
        <f t="shared" si="18"/>
        <v>32986347659.628849</v>
      </c>
      <c r="C172" s="21">
        <f t="shared" si="15"/>
        <v>323266207.0643627</v>
      </c>
      <c r="D172" s="21">
        <f t="shared" si="16"/>
        <v>12779730.890116496</v>
      </c>
      <c r="E172" s="48">
        <f t="shared" si="17"/>
        <v>0.54703807218098321</v>
      </c>
    </row>
    <row r="173" spans="1:5">
      <c r="A173">
        <f t="shared" si="20"/>
        <v>40.25</v>
      </c>
      <c r="B173" s="21">
        <f t="shared" si="18"/>
        <v>32960788713.237892</v>
      </c>
      <c r="C173" s="21">
        <f t="shared" si="15"/>
        <v>323015729.38973141</v>
      </c>
      <c r="D173" s="21">
        <f t="shared" si="16"/>
        <v>12779730.490775317</v>
      </c>
      <c r="E173" s="48">
        <f t="shared" si="17"/>
        <v>0.54419818924865471</v>
      </c>
    </row>
    <row r="174" spans="1:5">
      <c r="A174">
        <f t="shared" si="20"/>
        <v>40.5</v>
      </c>
      <c r="B174" s="21">
        <f t="shared" si="18"/>
        <v>32935229767.246277</v>
      </c>
      <c r="C174" s="21">
        <f t="shared" si="15"/>
        <v>322765251.71901357</v>
      </c>
      <c r="D174" s="21">
        <f t="shared" si="16"/>
        <v>12779730.091434145</v>
      </c>
      <c r="E174" s="48">
        <f t="shared" si="17"/>
        <v>0.54135830636069748</v>
      </c>
    </row>
    <row r="175" spans="1:5">
      <c r="A175">
        <f t="shared" si="20"/>
        <v>40.75</v>
      </c>
      <c r="B175" s="21">
        <f t="shared" si="18"/>
        <v>32909670821.654003</v>
      </c>
      <c r="C175" s="21">
        <f t="shared" si="15"/>
        <v>322514774.05220926</v>
      </c>
      <c r="D175" s="21">
        <f t="shared" si="16"/>
        <v>12779729.692092979</v>
      </c>
      <c r="E175" s="48">
        <f t="shared" si="17"/>
        <v>0.53851842351711143</v>
      </c>
    </row>
    <row r="176" spans="1:5">
      <c r="A176">
        <f t="shared" si="20"/>
        <v>41</v>
      </c>
      <c r="B176" s="21">
        <f t="shared" si="18"/>
        <v>32884111876.461071</v>
      </c>
      <c r="C176" s="21">
        <f t="shared" si="15"/>
        <v>322264296.38931853</v>
      </c>
      <c r="D176" s="21">
        <f t="shared" si="16"/>
        <v>12779729.292751819</v>
      </c>
      <c r="E176" s="48">
        <f t="shared" si="17"/>
        <v>0.53567854071789678</v>
      </c>
    </row>
    <row r="177" spans="1:5">
      <c r="A177">
        <f t="shared" si="20"/>
        <v>41.25</v>
      </c>
      <c r="B177" s="21">
        <f t="shared" si="18"/>
        <v>32858552931.66748</v>
      </c>
      <c r="C177" s="21">
        <f t="shared" si="15"/>
        <v>322013818.73034132</v>
      </c>
      <c r="D177" s="21">
        <f t="shared" si="16"/>
        <v>12779728.893410666</v>
      </c>
      <c r="E177" s="48">
        <f t="shared" si="17"/>
        <v>0.53283865796305341</v>
      </c>
    </row>
    <row r="178" spans="1:5">
      <c r="A178">
        <f t="shared" si="20"/>
        <v>41.5</v>
      </c>
      <c r="B178" s="21">
        <f t="shared" si="18"/>
        <v>32832993987.273232</v>
      </c>
      <c r="C178" s="21">
        <f t="shared" si="15"/>
        <v>321763341.07527769</v>
      </c>
      <c r="D178" s="21">
        <f t="shared" si="16"/>
        <v>12779728.494069519</v>
      </c>
      <c r="E178" s="48">
        <f t="shared" si="17"/>
        <v>0.52999877525258121</v>
      </c>
    </row>
    <row r="179" spans="1:5">
      <c r="A179">
        <f t="shared" si="20"/>
        <v>41.75</v>
      </c>
      <c r="B179" s="21">
        <f t="shared" si="18"/>
        <v>32807435043.278324</v>
      </c>
      <c r="C179" s="21">
        <f t="shared" si="15"/>
        <v>321512863.42412764</v>
      </c>
      <c r="D179" s="21">
        <f t="shared" si="16"/>
        <v>12779728.094728377</v>
      </c>
      <c r="E179" s="48">
        <f t="shared" si="17"/>
        <v>0.52715889258648052</v>
      </c>
    </row>
    <row r="180" spans="1:5">
      <c r="A180">
        <f t="shared" si="20"/>
        <v>42</v>
      </c>
      <c r="B180" s="21">
        <f t="shared" si="18"/>
        <v>32781876099.682758</v>
      </c>
      <c r="C180" s="21">
        <f t="shared" si="15"/>
        <v>321262385.77689105</v>
      </c>
      <c r="D180" s="21">
        <f t="shared" si="16"/>
        <v>12779727.695387242</v>
      </c>
      <c r="E180" s="48">
        <f t="shared" si="17"/>
        <v>0.524319009964751</v>
      </c>
    </row>
    <row r="181" spans="1:5">
      <c r="A181">
        <f t="shared" si="20"/>
        <v>42.25</v>
      </c>
      <c r="B181" s="21">
        <f t="shared" si="18"/>
        <v>32756317156.48653</v>
      </c>
      <c r="C181" s="21">
        <f t="shared" si="15"/>
        <v>321011908.13356799</v>
      </c>
      <c r="D181" s="21">
        <f t="shared" si="16"/>
        <v>12779727.296046114</v>
      </c>
      <c r="E181" s="48">
        <f t="shared" si="17"/>
        <v>0.52147912738739222</v>
      </c>
    </row>
    <row r="182" spans="1:5">
      <c r="A182">
        <f t="shared" si="20"/>
        <v>42.5</v>
      </c>
      <c r="B182" s="21">
        <f t="shared" si="18"/>
        <v>32730758213.689644</v>
      </c>
      <c r="C182" s="21">
        <f t="shared" si="15"/>
        <v>320761430.49415851</v>
      </c>
      <c r="D182" s="21">
        <f t="shared" si="16"/>
        <v>12779726.896704992</v>
      </c>
      <c r="E182" s="48">
        <f t="shared" si="17"/>
        <v>0.51863924485440482</v>
      </c>
    </row>
    <row r="183" spans="1:5">
      <c r="A183">
        <f t="shared" si="20"/>
        <v>42.75</v>
      </c>
      <c r="B183" s="21">
        <f t="shared" si="18"/>
        <v>32705199271.292099</v>
      </c>
      <c r="C183" s="21">
        <f t="shared" si="15"/>
        <v>320510952.85866261</v>
      </c>
      <c r="D183" s="21">
        <f t="shared" si="16"/>
        <v>12779726.497363875</v>
      </c>
      <c r="E183" s="48">
        <f t="shared" si="17"/>
        <v>0.51579936236578883</v>
      </c>
    </row>
    <row r="184" spans="1:5">
      <c r="A184">
        <f t="shared" si="20"/>
        <v>43</v>
      </c>
      <c r="B184" s="21">
        <f t="shared" si="18"/>
        <v>32679640329.293896</v>
      </c>
      <c r="C184" s="21">
        <f t="shared" si="15"/>
        <v>320260475.22708023</v>
      </c>
      <c r="D184" s="21">
        <f t="shared" si="16"/>
        <v>12779726.098022766</v>
      </c>
      <c r="E184" s="48">
        <f t="shared" si="17"/>
        <v>0.512959479921544</v>
      </c>
    </row>
    <row r="185" spans="1:5">
      <c r="A185">
        <f t="shared" ref="A185:A193" si="21">A184+0.25</f>
        <v>43.25</v>
      </c>
      <c r="B185" s="21">
        <f t="shared" si="18"/>
        <v>32654081387.695034</v>
      </c>
      <c r="C185" s="21">
        <f t="shared" si="15"/>
        <v>320009997.59941137</v>
      </c>
      <c r="D185" s="21">
        <f t="shared" si="16"/>
        <v>12779725.698681662</v>
      </c>
      <c r="E185" s="48">
        <f t="shared" si="17"/>
        <v>0.51011959752167046</v>
      </c>
    </row>
    <row r="186" spans="1:5">
      <c r="A186">
        <f t="shared" si="21"/>
        <v>43.5</v>
      </c>
      <c r="B186" s="21">
        <f t="shared" si="18"/>
        <v>32628522446.495514</v>
      </c>
      <c r="C186" s="21">
        <f t="shared" si="15"/>
        <v>319759519.97565609</v>
      </c>
      <c r="D186" s="21">
        <f t="shared" si="16"/>
        <v>12779725.299340565</v>
      </c>
      <c r="E186" s="48">
        <f t="shared" si="17"/>
        <v>0.50727971516616821</v>
      </c>
    </row>
    <row r="187" spans="1:5">
      <c r="A187">
        <f t="shared" si="21"/>
        <v>43.75</v>
      </c>
      <c r="B187" s="21">
        <f t="shared" si="18"/>
        <v>32602963505.695335</v>
      </c>
      <c r="C187" s="21">
        <f t="shared" si="15"/>
        <v>319509042.35581434</v>
      </c>
      <c r="D187" s="21">
        <f t="shared" si="16"/>
        <v>12779724.899999473</v>
      </c>
      <c r="E187" s="48">
        <f t="shared" si="17"/>
        <v>0.50443983285503724</v>
      </c>
    </row>
    <row r="188" spans="1:5">
      <c r="A188">
        <f t="shared" si="21"/>
        <v>44</v>
      </c>
      <c r="B188" s="21">
        <f t="shared" si="18"/>
        <v>32577404565.294498</v>
      </c>
      <c r="C188" s="21">
        <f t="shared" si="15"/>
        <v>319258564.73988611</v>
      </c>
      <c r="D188" s="21">
        <f t="shared" si="16"/>
        <v>12779724.500658389</v>
      </c>
      <c r="E188" s="48">
        <f t="shared" si="17"/>
        <v>0.50159995058827755</v>
      </c>
    </row>
    <row r="189" spans="1:5">
      <c r="A189">
        <f t="shared" si="21"/>
        <v>44.25</v>
      </c>
      <c r="B189" s="21">
        <f t="shared" si="18"/>
        <v>32551845625.292999</v>
      </c>
      <c r="C189" s="21">
        <f t="shared" si="15"/>
        <v>319008087.12787139</v>
      </c>
      <c r="D189" s="21">
        <f t="shared" si="16"/>
        <v>12779724.101317311</v>
      </c>
      <c r="E189" s="48">
        <f t="shared" si="17"/>
        <v>0.49876006836588882</v>
      </c>
    </row>
    <row r="190" spans="1:5">
      <c r="A190">
        <f t="shared" si="21"/>
        <v>44.5</v>
      </c>
      <c r="B190" s="21">
        <f t="shared" si="18"/>
        <v>32526286685.690842</v>
      </c>
      <c r="C190" s="21">
        <f t="shared" si="15"/>
        <v>318757609.51977026</v>
      </c>
      <c r="D190" s="21">
        <f t="shared" si="16"/>
        <v>12779723.701976238</v>
      </c>
      <c r="E190" s="48">
        <f t="shared" si="17"/>
        <v>0.49592018618787126</v>
      </c>
    </row>
    <row r="191" spans="1:5">
      <c r="A191">
        <f t="shared" si="21"/>
        <v>44.75</v>
      </c>
      <c r="B191" s="21">
        <f t="shared" si="18"/>
        <v>32500727746.488026</v>
      </c>
      <c r="C191" s="21">
        <f t="shared" si="15"/>
        <v>318507131.91558272</v>
      </c>
      <c r="D191" s="21">
        <f t="shared" si="16"/>
        <v>12779723.302635172</v>
      </c>
      <c r="E191" s="48">
        <f t="shared" si="17"/>
        <v>0.49308030405422509</v>
      </c>
    </row>
    <row r="192" spans="1:5">
      <c r="A192">
        <f t="shared" si="21"/>
        <v>45</v>
      </c>
      <c r="B192" s="21">
        <f t="shared" si="18"/>
        <v>32475168807.684551</v>
      </c>
      <c r="C192" s="21">
        <f t="shared" si="15"/>
        <v>318256654.31530863</v>
      </c>
      <c r="D192" s="21">
        <f t="shared" si="16"/>
        <v>12779722.903294113</v>
      </c>
      <c r="E192" s="48">
        <f t="shared" si="17"/>
        <v>0.4902404219649501</v>
      </c>
    </row>
    <row r="193" spans="1:5">
      <c r="A193">
        <f t="shared" si="21"/>
        <v>45.25</v>
      </c>
      <c r="B193" s="21">
        <f t="shared" si="18"/>
        <v>32449609869.280418</v>
      </c>
      <c r="C193" s="21">
        <f t="shared" si="15"/>
        <v>318006176.71894813</v>
      </c>
      <c r="D193" s="21">
        <f t="shared" si="16"/>
        <v>12779722.503953058</v>
      </c>
      <c r="E193" s="48">
        <f t="shared" si="17"/>
        <v>0.4874005399200465</v>
      </c>
    </row>
    <row r="194" spans="1:5">
      <c r="A194">
        <f t="shared" ref="A194:A206" si="22">A193+0.25</f>
        <v>45.5</v>
      </c>
      <c r="B194" s="21">
        <f t="shared" si="18"/>
        <v>32424050931.275627</v>
      </c>
      <c r="C194" s="21">
        <f t="shared" si="15"/>
        <v>317755699.12650114</v>
      </c>
      <c r="D194" s="21">
        <f t="shared" si="16"/>
        <v>12779722.104612011</v>
      </c>
      <c r="E194" s="48">
        <f t="shared" si="17"/>
        <v>0.48456065791951408</v>
      </c>
    </row>
    <row r="195" spans="1:5">
      <c r="A195">
        <f t="shared" si="22"/>
        <v>45.75</v>
      </c>
      <c r="B195" s="21">
        <f t="shared" si="18"/>
        <v>32398491993.670177</v>
      </c>
      <c r="C195" s="21">
        <f t="shared" si="15"/>
        <v>317505221.5379678</v>
      </c>
      <c r="D195" s="21">
        <f t="shared" si="16"/>
        <v>12779721.70527097</v>
      </c>
      <c r="E195" s="48">
        <f t="shared" si="17"/>
        <v>0.48172077596335305</v>
      </c>
    </row>
    <row r="196" spans="1:5">
      <c r="A196">
        <f t="shared" si="22"/>
        <v>46</v>
      </c>
      <c r="B196" s="21">
        <f t="shared" si="18"/>
        <v>32372933056.464066</v>
      </c>
      <c r="C196" s="21">
        <f t="shared" si="15"/>
        <v>317254743.95334786</v>
      </c>
      <c r="D196" s="21">
        <f t="shared" si="16"/>
        <v>12779721.305929935</v>
      </c>
      <c r="E196" s="48">
        <f t="shared" si="17"/>
        <v>0.47888089405156287</v>
      </c>
    </row>
    <row r="197" spans="1:5">
      <c r="A197">
        <f t="shared" si="22"/>
        <v>46.25</v>
      </c>
      <c r="B197" s="21">
        <f t="shared" si="18"/>
        <v>32347374119.657295</v>
      </c>
      <c r="C197" s="21">
        <f t="shared" si="15"/>
        <v>317004266.37264156</v>
      </c>
      <c r="D197" s="21">
        <f t="shared" si="16"/>
        <v>12779720.906588906</v>
      </c>
      <c r="E197" s="48">
        <f t="shared" si="17"/>
        <v>0.47604101218414396</v>
      </c>
    </row>
    <row r="198" spans="1:5">
      <c r="A198">
        <f t="shared" si="22"/>
        <v>46.5</v>
      </c>
      <c r="B198" s="21">
        <f t="shared" si="18"/>
        <v>32321815183.249866</v>
      </c>
      <c r="C198" s="21">
        <f t="shared" si="15"/>
        <v>316753788.79584867</v>
      </c>
      <c r="D198" s="21">
        <f t="shared" si="16"/>
        <v>12779720.507247884</v>
      </c>
      <c r="E198" s="48">
        <f t="shared" si="17"/>
        <v>0.47320113036109623</v>
      </c>
    </row>
    <row r="199" spans="1:5">
      <c r="A199">
        <f t="shared" si="22"/>
        <v>46.75</v>
      </c>
      <c r="B199" s="21">
        <f t="shared" si="18"/>
        <v>32296256247.241779</v>
      </c>
      <c r="C199" s="21">
        <f t="shared" si="15"/>
        <v>316503311.22296947</v>
      </c>
      <c r="D199" s="21">
        <f t="shared" si="16"/>
        <v>12779720.107906867</v>
      </c>
      <c r="E199" s="48">
        <f t="shared" si="17"/>
        <v>0.4703612485824199</v>
      </c>
    </row>
    <row r="200" spans="1:5">
      <c r="A200">
        <f t="shared" si="22"/>
        <v>47</v>
      </c>
      <c r="B200" s="21">
        <f t="shared" si="18"/>
        <v>32270697311.633034</v>
      </c>
      <c r="C200" s="21">
        <f t="shared" si="15"/>
        <v>316252833.6540038</v>
      </c>
      <c r="D200" s="21">
        <f t="shared" si="16"/>
        <v>12779719.708565857</v>
      </c>
      <c r="E200" s="48">
        <f t="shared" si="17"/>
        <v>0.46752136684811485</v>
      </c>
    </row>
    <row r="201" spans="1:5">
      <c r="A201">
        <f t="shared" si="22"/>
        <v>47.25</v>
      </c>
      <c r="B201" s="21">
        <f t="shared" si="18"/>
        <v>32245138376.42363</v>
      </c>
      <c r="C201" s="21">
        <f t="shared" si="15"/>
        <v>316002356.08895159</v>
      </c>
      <c r="D201" s="21">
        <f t="shared" si="16"/>
        <v>12779719.309224853</v>
      </c>
      <c r="E201" s="48">
        <f t="shared" si="17"/>
        <v>0.46468148515818108</v>
      </c>
    </row>
    <row r="202" spans="1:5">
      <c r="A202">
        <f t="shared" si="22"/>
        <v>47.5</v>
      </c>
      <c r="B202" s="21">
        <f t="shared" si="18"/>
        <v>32219579441.613567</v>
      </c>
      <c r="C202" s="21">
        <f t="shared" si="15"/>
        <v>315751878.52781302</v>
      </c>
      <c r="D202" s="21">
        <f t="shared" si="16"/>
        <v>12779718.909883857</v>
      </c>
      <c r="E202" s="48">
        <f t="shared" si="17"/>
        <v>0.4618416035126186</v>
      </c>
    </row>
    <row r="203" spans="1:5">
      <c r="A203">
        <f t="shared" si="22"/>
        <v>47.75</v>
      </c>
      <c r="B203" s="21">
        <f t="shared" si="18"/>
        <v>32194020507.202843</v>
      </c>
      <c r="C203" s="21">
        <f t="shared" si="15"/>
        <v>315501400.97058791</v>
      </c>
      <c r="D203" s="21">
        <f t="shared" si="16"/>
        <v>12779718.510542866</v>
      </c>
      <c r="E203" s="48">
        <f t="shared" si="17"/>
        <v>0.45900172191142696</v>
      </c>
    </row>
    <row r="204" spans="1:5">
      <c r="A204">
        <f t="shared" si="22"/>
        <v>48</v>
      </c>
      <c r="B204" s="21">
        <f t="shared" si="18"/>
        <v>32168461573.19146</v>
      </c>
      <c r="C204" s="21">
        <f t="shared" si="15"/>
        <v>315250923.41727632</v>
      </c>
      <c r="D204" s="21">
        <f t="shared" si="16"/>
        <v>12779718.11120188</v>
      </c>
      <c r="E204" s="48">
        <f t="shared" si="17"/>
        <v>0.45616184035460661</v>
      </c>
    </row>
    <row r="205" spans="1:5">
      <c r="A205">
        <f t="shared" si="22"/>
        <v>48.25</v>
      </c>
      <c r="B205" s="21">
        <f t="shared" si="18"/>
        <v>32142902639.579418</v>
      </c>
      <c r="C205" s="21">
        <f t="shared" ref="C205:C268" si="23">IF(B205&gt;$D$2,B205*$D$4/1000,0)</f>
        <v>315000445.86787832</v>
      </c>
      <c r="D205" s="21">
        <f t="shared" ref="D205:D268" si="24">C205*$D$6*$D$5+$D$8</f>
        <v>12779717.711860901</v>
      </c>
      <c r="E205" s="48">
        <f t="shared" ref="E205:E263" si="25">1-(($B$12-B205)/$D$3)</f>
        <v>0.45332195884215754</v>
      </c>
    </row>
    <row r="206" spans="1:5">
      <c r="A206">
        <f t="shared" si="22"/>
        <v>48.5</v>
      </c>
      <c r="B206" s="21">
        <f t="shared" ref="B206:B263" si="26">B205-D205-$D$8</f>
        <v>32117343706.366718</v>
      </c>
      <c r="C206" s="21">
        <f t="shared" si="23"/>
        <v>314749968.32239383</v>
      </c>
      <c r="D206" s="21">
        <f t="shared" si="24"/>
        <v>12779717.312519928</v>
      </c>
      <c r="E206" s="48">
        <f t="shared" si="25"/>
        <v>0.45048207737407986</v>
      </c>
    </row>
    <row r="207" spans="1:5">
      <c r="A207">
        <f t="shared" ref="A207:A223" si="27">A206+0.25</f>
        <v>48.75</v>
      </c>
      <c r="B207" s="21">
        <f t="shared" si="26"/>
        <v>32091784773.55336</v>
      </c>
      <c r="C207" s="21">
        <f t="shared" si="23"/>
        <v>314499490.78082293</v>
      </c>
      <c r="D207" s="21">
        <f t="shared" si="24"/>
        <v>12779716.913178962</v>
      </c>
      <c r="E207" s="48">
        <f t="shared" si="25"/>
        <v>0.44764219595037336</v>
      </c>
    </row>
    <row r="208" spans="1:5">
      <c r="A208">
        <f t="shared" si="27"/>
        <v>49</v>
      </c>
      <c r="B208" s="21">
        <f t="shared" si="26"/>
        <v>32066225841.139343</v>
      </c>
      <c r="C208" s="21">
        <f t="shared" si="23"/>
        <v>314249013.24316561</v>
      </c>
      <c r="D208" s="21">
        <f t="shared" si="24"/>
        <v>12779716.513838002</v>
      </c>
      <c r="E208" s="48">
        <f t="shared" si="25"/>
        <v>0.44480231457103814</v>
      </c>
    </row>
    <row r="209" spans="1:5">
      <c r="A209">
        <f t="shared" si="27"/>
        <v>49.25</v>
      </c>
      <c r="B209" s="21">
        <f t="shared" si="26"/>
        <v>32040666909.124664</v>
      </c>
      <c r="C209" s="21">
        <f t="shared" si="23"/>
        <v>313998535.70942175</v>
      </c>
      <c r="D209" s="21">
        <f t="shared" si="24"/>
        <v>12779716.114497049</v>
      </c>
      <c r="E209" s="48">
        <f t="shared" si="25"/>
        <v>0.44196243323607376</v>
      </c>
    </row>
    <row r="210" spans="1:5">
      <c r="A210">
        <f t="shared" si="27"/>
        <v>49.5</v>
      </c>
      <c r="B210" s="21">
        <f t="shared" si="26"/>
        <v>32015107977.509327</v>
      </c>
      <c r="C210" s="21">
        <f t="shared" si="23"/>
        <v>313748058.17959142</v>
      </c>
      <c r="D210" s="21">
        <f t="shared" si="24"/>
        <v>12779715.715156101</v>
      </c>
      <c r="E210" s="48">
        <f t="shared" si="25"/>
        <v>0.43912255194548078</v>
      </c>
    </row>
    <row r="211" spans="1:5">
      <c r="A211">
        <f t="shared" si="27"/>
        <v>49.75</v>
      </c>
      <c r="B211" s="21">
        <f t="shared" si="26"/>
        <v>31989549046.293331</v>
      </c>
      <c r="C211" s="21">
        <f t="shared" si="23"/>
        <v>313497580.65367466</v>
      </c>
      <c r="D211" s="21">
        <f t="shared" si="24"/>
        <v>12779715.31581516</v>
      </c>
      <c r="E211" s="48">
        <f t="shared" si="25"/>
        <v>0.43628267069925897</v>
      </c>
    </row>
    <row r="212" spans="1:5">
      <c r="A212">
        <f t="shared" si="27"/>
        <v>50</v>
      </c>
      <c r="B212" s="21">
        <f t="shared" si="26"/>
        <v>31963990115.476677</v>
      </c>
      <c r="C212" s="21">
        <f t="shared" si="23"/>
        <v>313247103.13167143</v>
      </c>
      <c r="D212" s="21">
        <f t="shared" si="24"/>
        <v>12779714.916474225</v>
      </c>
      <c r="E212" s="48">
        <f t="shared" si="25"/>
        <v>0.43344278949740855</v>
      </c>
    </row>
    <row r="213" spans="1:5">
      <c r="A213">
        <f t="shared" si="27"/>
        <v>50.25</v>
      </c>
      <c r="B213" s="21">
        <f t="shared" si="26"/>
        <v>31938431185.059364</v>
      </c>
      <c r="C213" s="21">
        <f t="shared" si="23"/>
        <v>312996625.61358178</v>
      </c>
      <c r="D213" s="21">
        <f t="shared" si="24"/>
        <v>12779714.517133296</v>
      </c>
      <c r="E213" s="48">
        <f t="shared" si="25"/>
        <v>0.43060290833992931</v>
      </c>
    </row>
    <row r="214" spans="1:5">
      <c r="A214">
        <f t="shared" si="27"/>
        <v>50.5</v>
      </c>
      <c r="B214" s="21">
        <f t="shared" si="26"/>
        <v>31912872255.041393</v>
      </c>
      <c r="C214" s="21">
        <f t="shared" si="23"/>
        <v>312746148.09940571</v>
      </c>
      <c r="D214" s="21">
        <f t="shared" si="24"/>
        <v>12779714.117792374</v>
      </c>
      <c r="E214" s="48">
        <f t="shared" si="25"/>
        <v>0.42776302722682147</v>
      </c>
    </row>
    <row r="215" spans="1:5">
      <c r="A215">
        <f t="shared" si="27"/>
        <v>50.75</v>
      </c>
      <c r="B215" s="21">
        <f t="shared" si="26"/>
        <v>31887313325.42276</v>
      </c>
      <c r="C215" s="21">
        <f t="shared" si="23"/>
        <v>312495670.58914304</v>
      </c>
      <c r="D215" s="21">
        <f t="shared" si="24"/>
        <v>12779713.718451457</v>
      </c>
      <c r="E215" s="48">
        <f t="shared" si="25"/>
        <v>0.42492314615808446</v>
      </c>
    </row>
    <row r="216" spans="1:5">
      <c r="A216">
        <f t="shared" si="27"/>
        <v>51</v>
      </c>
      <c r="B216" s="21">
        <f t="shared" si="26"/>
        <v>31861754396.203468</v>
      </c>
      <c r="C216" s="21">
        <f t="shared" si="23"/>
        <v>312245193.08279401</v>
      </c>
      <c r="D216" s="21">
        <f t="shared" si="24"/>
        <v>12779713.319110546</v>
      </c>
      <c r="E216" s="48">
        <f t="shared" si="25"/>
        <v>0.42208326513371874</v>
      </c>
    </row>
    <row r="217" spans="1:5">
      <c r="A217">
        <f t="shared" si="27"/>
        <v>51.25</v>
      </c>
      <c r="B217" s="21">
        <f t="shared" si="26"/>
        <v>31836195467.383518</v>
      </c>
      <c r="C217" s="21">
        <f t="shared" si="23"/>
        <v>311994715.58035851</v>
      </c>
      <c r="D217" s="21">
        <f t="shared" si="24"/>
        <v>12779712.919769643</v>
      </c>
      <c r="E217" s="48">
        <f t="shared" si="25"/>
        <v>0.4192433841537242</v>
      </c>
    </row>
    <row r="218" spans="1:5">
      <c r="A218">
        <f t="shared" si="27"/>
        <v>51.5</v>
      </c>
      <c r="B218" s="21">
        <f t="shared" si="26"/>
        <v>31810636538.96291</v>
      </c>
      <c r="C218" s="21">
        <f t="shared" si="23"/>
        <v>311744238.08183652</v>
      </c>
      <c r="D218" s="21">
        <f t="shared" si="24"/>
        <v>12779712.520428745</v>
      </c>
      <c r="E218" s="48">
        <f t="shared" si="25"/>
        <v>0.41640350321810105</v>
      </c>
    </row>
    <row r="219" spans="1:5">
      <c r="A219">
        <f t="shared" si="27"/>
        <v>51.75</v>
      </c>
      <c r="B219" s="21">
        <f t="shared" si="26"/>
        <v>31785077610.941643</v>
      </c>
      <c r="C219" s="21">
        <f t="shared" si="23"/>
        <v>311493760.58722818</v>
      </c>
      <c r="D219" s="21">
        <f t="shared" si="24"/>
        <v>12779712.121087853</v>
      </c>
      <c r="E219" s="48">
        <f t="shared" si="25"/>
        <v>0.41356362232684918</v>
      </c>
    </row>
    <row r="220" spans="1:5">
      <c r="A220">
        <f t="shared" si="27"/>
        <v>52</v>
      </c>
      <c r="B220" s="21">
        <f t="shared" si="26"/>
        <v>31759518683.319717</v>
      </c>
      <c r="C220" s="21">
        <f t="shared" si="23"/>
        <v>311243283.09653324</v>
      </c>
      <c r="D220" s="21">
        <f t="shared" si="24"/>
        <v>12779711.721746968</v>
      </c>
      <c r="E220" s="48">
        <f t="shared" si="25"/>
        <v>0.4107237414799686</v>
      </c>
    </row>
    <row r="221" spans="1:5">
      <c r="A221">
        <f t="shared" si="27"/>
        <v>52.25</v>
      </c>
      <c r="B221" s="21">
        <f t="shared" si="26"/>
        <v>31733959756.09713</v>
      </c>
      <c r="C221" s="21">
        <f t="shared" si="23"/>
        <v>310992805.60975188</v>
      </c>
      <c r="D221" s="21">
        <f t="shared" si="24"/>
        <v>12779711.322406089</v>
      </c>
      <c r="E221" s="48">
        <f t="shared" si="25"/>
        <v>0.40788386067745885</v>
      </c>
    </row>
    <row r="222" spans="1:5">
      <c r="A222">
        <f t="shared" si="27"/>
        <v>52.5</v>
      </c>
      <c r="B222" s="21">
        <f t="shared" si="26"/>
        <v>31708400829.273884</v>
      </c>
      <c r="C222" s="21">
        <f t="shared" si="23"/>
        <v>310742328.1268841</v>
      </c>
      <c r="D222" s="21">
        <f t="shared" si="24"/>
        <v>12779710.923065217</v>
      </c>
      <c r="E222" s="48">
        <f t="shared" si="25"/>
        <v>0.4050439799193204</v>
      </c>
    </row>
    <row r="223" spans="1:5">
      <c r="A223">
        <f t="shared" si="27"/>
        <v>52.75</v>
      </c>
      <c r="B223" s="21">
        <f t="shared" si="26"/>
        <v>31682841902.849979</v>
      </c>
      <c r="C223" s="21">
        <f t="shared" si="23"/>
        <v>310491850.64792979</v>
      </c>
      <c r="D223" s="21">
        <f t="shared" si="24"/>
        <v>12779710.523724351</v>
      </c>
      <c r="E223" s="48">
        <f t="shared" si="25"/>
        <v>0.40220409920555322</v>
      </c>
    </row>
    <row r="224" spans="1:5">
      <c r="A224">
        <f t="shared" ref="A224:A240" si="28">A223+0.25</f>
        <v>53</v>
      </c>
      <c r="B224" s="21">
        <f t="shared" si="26"/>
        <v>31657282976.825417</v>
      </c>
      <c r="C224" s="21">
        <f t="shared" si="23"/>
        <v>310241373.17288911</v>
      </c>
      <c r="D224" s="21">
        <f t="shared" si="24"/>
        <v>12779710.124383491</v>
      </c>
      <c r="E224" s="48">
        <f t="shared" si="25"/>
        <v>0.39936421853615744</v>
      </c>
    </row>
    <row r="225" spans="1:5">
      <c r="A225">
        <f t="shared" si="28"/>
        <v>53.25</v>
      </c>
      <c r="B225" s="21">
        <f t="shared" si="26"/>
        <v>31631724051.200195</v>
      </c>
      <c r="C225" s="21">
        <f t="shared" si="23"/>
        <v>309990895.70176196</v>
      </c>
      <c r="D225" s="21">
        <f t="shared" si="24"/>
        <v>12779709.725042636</v>
      </c>
      <c r="E225" s="48">
        <f t="shared" si="25"/>
        <v>0.39652433791113284</v>
      </c>
    </row>
    <row r="226" spans="1:5">
      <c r="A226">
        <f t="shared" si="28"/>
        <v>53.5</v>
      </c>
      <c r="B226" s="21">
        <f t="shared" si="26"/>
        <v>31606165125.974312</v>
      </c>
      <c r="C226" s="21">
        <f t="shared" si="23"/>
        <v>309740418.23454827</v>
      </c>
      <c r="D226" s="21">
        <f t="shared" si="24"/>
        <v>12779709.325701788</v>
      </c>
      <c r="E226" s="48">
        <f t="shared" si="25"/>
        <v>0.39368445733047908</v>
      </c>
    </row>
    <row r="227" spans="1:5">
      <c r="A227">
        <f t="shared" si="28"/>
        <v>53.75</v>
      </c>
      <c r="B227" s="21">
        <f t="shared" si="26"/>
        <v>31580606201.14777</v>
      </c>
      <c r="C227" s="21">
        <f t="shared" si="23"/>
        <v>309489940.77124816</v>
      </c>
      <c r="D227" s="21">
        <f t="shared" si="24"/>
        <v>12779708.926360946</v>
      </c>
      <c r="E227" s="48">
        <f t="shared" si="25"/>
        <v>0.39084457679419671</v>
      </c>
    </row>
    <row r="228" spans="1:5">
      <c r="A228">
        <f t="shared" si="28"/>
        <v>54</v>
      </c>
      <c r="B228" s="21">
        <f t="shared" si="26"/>
        <v>31555047276.72057</v>
      </c>
      <c r="C228" s="21">
        <f t="shared" si="23"/>
        <v>309239463.31186163</v>
      </c>
      <c r="D228" s="21">
        <f t="shared" si="24"/>
        <v>12779708.527020112</v>
      </c>
      <c r="E228" s="48">
        <f t="shared" si="25"/>
        <v>0.38800469630228551</v>
      </c>
    </row>
    <row r="229" spans="1:5">
      <c r="A229">
        <f t="shared" si="28"/>
        <v>54.25</v>
      </c>
      <c r="B229" s="21">
        <f t="shared" si="26"/>
        <v>31529488352.692711</v>
      </c>
      <c r="C229" s="21">
        <f t="shared" si="23"/>
        <v>308988985.85638863</v>
      </c>
      <c r="D229" s="21">
        <f t="shared" si="24"/>
        <v>12779708.127679283</v>
      </c>
      <c r="E229" s="48">
        <f t="shared" si="25"/>
        <v>0.3851648158547456</v>
      </c>
    </row>
    <row r="230" spans="1:5">
      <c r="A230">
        <f t="shared" si="28"/>
        <v>54.5</v>
      </c>
      <c r="B230" s="21">
        <f t="shared" si="26"/>
        <v>31503929429.064194</v>
      </c>
      <c r="C230" s="21">
        <f t="shared" si="23"/>
        <v>308738508.40482908</v>
      </c>
      <c r="D230" s="21">
        <f t="shared" si="24"/>
        <v>12779707.72833846</v>
      </c>
      <c r="E230" s="48">
        <f t="shared" si="25"/>
        <v>0.38232493545157709</v>
      </c>
    </row>
    <row r="231" spans="1:5">
      <c r="A231">
        <f t="shared" si="28"/>
        <v>54.75</v>
      </c>
      <c r="B231" s="21">
        <f t="shared" si="26"/>
        <v>31478370505.835014</v>
      </c>
      <c r="C231" s="21">
        <f t="shared" si="23"/>
        <v>308488030.95718318</v>
      </c>
      <c r="D231" s="21">
        <f t="shared" si="24"/>
        <v>12779707.328997644</v>
      </c>
      <c r="E231" s="48">
        <f t="shared" si="25"/>
        <v>0.37948505509277941</v>
      </c>
    </row>
    <row r="232" spans="1:5">
      <c r="A232">
        <f t="shared" si="28"/>
        <v>55</v>
      </c>
      <c r="B232" s="21">
        <f t="shared" si="26"/>
        <v>31452811583.005177</v>
      </c>
      <c r="C232" s="21">
        <f t="shared" si="23"/>
        <v>308237553.51345074</v>
      </c>
      <c r="D232" s="21">
        <f t="shared" si="24"/>
        <v>12779706.929656833</v>
      </c>
      <c r="E232" s="48">
        <f t="shared" si="25"/>
        <v>0.37664517477835291</v>
      </c>
    </row>
    <row r="233" spans="1:5">
      <c r="A233">
        <f t="shared" si="28"/>
        <v>55.25</v>
      </c>
      <c r="B233" s="21">
        <f t="shared" si="26"/>
        <v>31427252660.57468</v>
      </c>
      <c r="C233" s="21">
        <f t="shared" si="23"/>
        <v>307987076.07363188</v>
      </c>
      <c r="D233" s="21">
        <f t="shared" si="24"/>
        <v>12779706.530316029</v>
      </c>
      <c r="E233" s="48">
        <f t="shared" si="25"/>
        <v>0.3738052945082978</v>
      </c>
    </row>
    <row r="234" spans="1:5">
      <c r="A234">
        <f t="shared" si="28"/>
        <v>55.5</v>
      </c>
      <c r="B234" s="21">
        <f t="shared" si="26"/>
        <v>31401693738.543526</v>
      </c>
      <c r="C234" s="21">
        <f t="shared" si="23"/>
        <v>307736598.63772655</v>
      </c>
      <c r="D234" s="21">
        <f t="shared" si="24"/>
        <v>12779706.130975232</v>
      </c>
      <c r="E234" s="48">
        <f t="shared" si="25"/>
        <v>0.37096541428261398</v>
      </c>
    </row>
    <row r="235" spans="1:5">
      <c r="A235">
        <f t="shared" si="28"/>
        <v>55.75</v>
      </c>
      <c r="B235" s="21">
        <f t="shared" si="26"/>
        <v>31376134816.911713</v>
      </c>
      <c r="C235" s="21">
        <f t="shared" si="23"/>
        <v>307486121.20573479</v>
      </c>
      <c r="D235" s="21">
        <f t="shared" si="24"/>
        <v>12779705.73163444</v>
      </c>
      <c r="E235" s="48">
        <f t="shared" si="25"/>
        <v>0.36812553410130144</v>
      </c>
    </row>
    <row r="236" spans="1:5">
      <c r="A236">
        <f t="shared" si="28"/>
        <v>56</v>
      </c>
      <c r="B236" s="21">
        <f t="shared" si="26"/>
        <v>31350575895.679237</v>
      </c>
      <c r="C236" s="21">
        <f t="shared" si="23"/>
        <v>307235643.77765656</v>
      </c>
      <c r="D236" s="21">
        <f t="shared" si="24"/>
        <v>12779705.332293654</v>
      </c>
      <c r="E236" s="48">
        <f t="shared" si="25"/>
        <v>0.36528565396435975</v>
      </c>
    </row>
    <row r="237" spans="1:5">
      <c r="A237">
        <f t="shared" si="28"/>
        <v>56.25</v>
      </c>
      <c r="B237" s="21">
        <f t="shared" si="26"/>
        <v>31325016974.846104</v>
      </c>
      <c r="C237" s="21">
        <f t="shared" si="23"/>
        <v>306985166.35349184</v>
      </c>
      <c r="D237" s="21">
        <f t="shared" si="24"/>
        <v>12779704.932952875</v>
      </c>
      <c r="E237" s="48">
        <f t="shared" si="25"/>
        <v>0.36244577387178933</v>
      </c>
    </row>
    <row r="238" spans="1:5">
      <c r="A238">
        <f t="shared" si="28"/>
        <v>56.5</v>
      </c>
      <c r="B238" s="21">
        <f t="shared" si="26"/>
        <v>31299458054.412312</v>
      </c>
      <c r="C238" s="21">
        <f t="shared" si="23"/>
        <v>306734688.93324065</v>
      </c>
      <c r="D238" s="21">
        <f t="shared" si="24"/>
        <v>12779704.533612102</v>
      </c>
      <c r="E238" s="48">
        <f t="shared" si="25"/>
        <v>0.35960589382359021</v>
      </c>
    </row>
    <row r="239" spans="1:5">
      <c r="A239">
        <f t="shared" si="28"/>
        <v>56.75</v>
      </c>
      <c r="B239" s="21">
        <f t="shared" si="26"/>
        <v>31273899134.377861</v>
      </c>
      <c r="C239" s="21">
        <f t="shared" si="23"/>
        <v>306484211.5169031</v>
      </c>
      <c r="D239" s="21">
        <f t="shared" si="24"/>
        <v>12779704.134271335</v>
      </c>
      <c r="E239" s="48">
        <f t="shared" si="25"/>
        <v>0.35676601381976236</v>
      </c>
    </row>
    <row r="240" spans="1:5">
      <c r="A240">
        <f t="shared" si="28"/>
        <v>57</v>
      </c>
      <c r="B240" s="21">
        <f t="shared" si="26"/>
        <v>31248340214.742752</v>
      </c>
      <c r="C240" s="21">
        <f t="shared" si="23"/>
        <v>306233734.10447901</v>
      </c>
      <c r="D240" s="21">
        <f t="shared" si="24"/>
        <v>12779703.734930575</v>
      </c>
      <c r="E240" s="48">
        <f t="shared" si="25"/>
        <v>0.3539261338603058</v>
      </c>
    </row>
    <row r="241" spans="1:5">
      <c r="A241">
        <f t="shared" ref="A241:A256" si="29">A240+0.25</f>
        <v>57.25</v>
      </c>
      <c r="B241" s="21">
        <f t="shared" si="26"/>
        <v>31222781295.506981</v>
      </c>
      <c r="C241" s="21">
        <f t="shared" si="23"/>
        <v>305983256.69596845</v>
      </c>
      <c r="D241" s="21">
        <f t="shared" si="24"/>
        <v>12779703.335589821</v>
      </c>
      <c r="E241" s="48">
        <f t="shared" si="25"/>
        <v>0.35108625394522008</v>
      </c>
    </row>
    <row r="242" spans="1:5">
      <c r="A242">
        <f t="shared" si="29"/>
        <v>57.5</v>
      </c>
      <c r="B242" s="21">
        <f t="shared" si="26"/>
        <v>31197222376.670551</v>
      </c>
      <c r="C242" s="21">
        <f t="shared" si="23"/>
        <v>305732779.29137141</v>
      </c>
      <c r="D242" s="21">
        <f t="shared" si="24"/>
        <v>12779702.936249074</v>
      </c>
      <c r="E242" s="48">
        <f t="shared" si="25"/>
        <v>0.34824637407450565</v>
      </c>
    </row>
    <row r="243" spans="1:5">
      <c r="A243">
        <f t="shared" si="29"/>
        <v>57.75</v>
      </c>
      <c r="B243" s="21">
        <f t="shared" si="26"/>
        <v>31171663458.233463</v>
      </c>
      <c r="C243" s="21">
        <f t="shared" si="23"/>
        <v>305482301.890688</v>
      </c>
      <c r="D243" s="21">
        <f t="shared" si="24"/>
        <v>12779702.53690833</v>
      </c>
      <c r="E243" s="48">
        <f t="shared" si="25"/>
        <v>0.34540649424816261</v>
      </c>
    </row>
    <row r="244" spans="1:5">
      <c r="A244">
        <f t="shared" si="29"/>
        <v>58</v>
      </c>
      <c r="B244" s="21">
        <f t="shared" si="26"/>
        <v>31146104540.195717</v>
      </c>
      <c r="C244" s="21">
        <f t="shared" si="23"/>
        <v>305231824.493918</v>
      </c>
      <c r="D244" s="21">
        <f t="shared" si="24"/>
        <v>12779702.137567597</v>
      </c>
      <c r="E244" s="48">
        <f t="shared" si="25"/>
        <v>0.34256661446619074</v>
      </c>
    </row>
    <row r="245" spans="1:5">
      <c r="A245">
        <f t="shared" si="29"/>
        <v>58.25</v>
      </c>
      <c r="B245" s="21">
        <f t="shared" si="26"/>
        <v>31120545622.557308</v>
      </c>
      <c r="C245" s="21">
        <f t="shared" si="23"/>
        <v>304981347.10106164</v>
      </c>
      <c r="D245" s="21">
        <f t="shared" si="24"/>
        <v>12779701.738226866</v>
      </c>
      <c r="E245" s="48">
        <f t="shared" si="25"/>
        <v>0.33972673472858983</v>
      </c>
    </row>
    <row r="246" spans="1:5">
      <c r="A246">
        <f t="shared" si="29"/>
        <v>58.5</v>
      </c>
      <c r="B246" s="21">
        <f t="shared" si="26"/>
        <v>31094986705.318241</v>
      </c>
      <c r="C246" s="21">
        <f t="shared" si="23"/>
        <v>304730869.71211874</v>
      </c>
      <c r="D246" s="21">
        <f t="shared" si="24"/>
        <v>12779701.338886144</v>
      </c>
      <c r="E246" s="48">
        <f t="shared" si="25"/>
        <v>0.33688685503536009</v>
      </c>
    </row>
    <row r="247" spans="1:5">
      <c r="A247">
        <f t="shared" si="29"/>
        <v>58.75</v>
      </c>
      <c r="B247" s="21">
        <f t="shared" si="26"/>
        <v>31069427788.478516</v>
      </c>
      <c r="C247" s="21">
        <f t="shared" si="23"/>
        <v>304480392.32708949</v>
      </c>
      <c r="D247" s="21">
        <f t="shared" si="24"/>
        <v>12779700.939545427</v>
      </c>
      <c r="E247" s="48">
        <f t="shared" si="25"/>
        <v>0.33404697538650174</v>
      </c>
    </row>
    <row r="248" spans="1:5">
      <c r="A248">
        <f t="shared" si="29"/>
        <v>59</v>
      </c>
      <c r="B248" s="21">
        <f t="shared" si="26"/>
        <v>31043868872.038132</v>
      </c>
      <c r="C248" s="21">
        <f t="shared" si="23"/>
        <v>304229914.94597369</v>
      </c>
      <c r="D248" s="21">
        <f t="shared" si="24"/>
        <v>12779700.540204717</v>
      </c>
      <c r="E248" s="48">
        <f t="shared" si="25"/>
        <v>0.33120709578201468</v>
      </c>
    </row>
    <row r="249" spans="1:5">
      <c r="A249">
        <f t="shared" si="29"/>
        <v>59.25</v>
      </c>
      <c r="B249" s="21">
        <f t="shared" si="26"/>
        <v>31018309955.997089</v>
      </c>
      <c r="C249" s="21">
        <f t="shared" si="23"/>
        <v>303979437.56877148</v>
      </c>
      <c r="D249" s="21">
        <f t="shared" si="24"/>
        <v>12779700.140864013</v>
      </c>
      <c r="E249" s="48">
        <f t="shared" si="25"/>
        <v>0.32836721622189879</v>
      </c>
    </row>
    <row r="250" spans="1:5">
      <c r="A250">
        <f t="shared" si="29"/>
        <v>59.5</v>
      </c>
      <c r="B250" s="21">
        <f t="shared" si="26"/>
        <v>30992751040.355385</v>
      </c>
      <c r="C250" s="21">
        <f t="shared" si="23"/>
        <v>303728960.19548279</v>
      </c>
      <c r="D250" s="21">
        <f t="shared" si="24"/>
        <v>12779699.741523314</v>
      </c>
      <c r="E250" s="48">
        <f t="shared" si="25"/>
        <v>0.32552733670615386</v>
      </c>
    </row>
    <row r="251" spans="1:5">
      <c r="A251">
        <f t="shared" si="29"/>
        <v>59.75</v>
      </c>
      <c r="B251" s="21">
        <f t="shared" si="26"/>
        <v>30967192125.113022</v>
      </c>
      <c r="C251" s="21">
        <f t="shared" si="23"/>
        <v>303478482.82610768</v>
      </c>
      <c r="D251" s="21">
        <f t="shared" si="24"/>
        <v>12779699.342182623</v>
      </c>
      <c r="E251" s="48">
        <f t="shared" si="25"/>
        <v>0.32268745723478021</v>
      </c>
    </row>
    <row r="252" spans="1:5">
      <c r="A252">
        <f t="shared" si="29"/>
        <v>60</v>
      </c>
      <c r="B252" s="21">
        <f t="shared" si="26"/>
        <v>30941633210.27</v>
      </c>
      <c r="C252" s="21">
        <f t="shared" si="23"/>
        <v>303228005.46064597</v>
      </c>
      <c r="D252" s="21">
        <f t="shared" si="24"/>
        <v>12779698.942841938</v>
      </c>
      <c r="E252" s="48">
        <f t="shared" si="25"/>
        <v>0.31984757780777784</v>
      </c>
    </row>
    <row r="253" spans="1:5">
      <c r="A253">
        <f t="shared" si="29"/>
        <v>60.25</v>
      </c>
      <c r="B253" s="21">
        <f t="shared" si="26"/>
        <v>30916074295.826321</v>
      </c>
      <c r="C253" s="21">
        <f t="shared" si="23"/>
        <v>302977528.09909797</v>
      </c>
      <c r="D253" s="21">
        <f t="shared" si="24"/>
        <v>12779698.543501258</v>
      </c>
      <c r="E253" s="48">
        <f t="shared" si="25"/>
        <v>0.31700769842514676</v>
      </c>
    </row>
    <row r="254" spans="1:5">
      <c r="A254">
        <f t="shared" si="29"/>
        <v>60.5</v>
      </c>
      <c r="B254" s="21">
        <f t="shared" si="26"/>
        <v>30890515381.781979</v>
      </c>
      <c r="C254" s="21">
        <f t="shared" si="23"/>
        <v>302727050.74146342</v>
      </c>
      <c r="D254" s="21">
        <f t="shared" si="24"/>
        <v>12779698.144160584</v>
      </c>
      <c r="E254" s="48">
        <f t="shared" si="25"/>
        <v>0.31416781908688651</v>
      </c>
    </row>
    <row r="255" spans="1:5">
      <c r="A255">
        <f t="shared" si="29"/>
        <v>60.75</v>
      </c>
      <c r="B255" s="21">
        <f t="shared" si="26"/>
        <v>30864956468.136978</v>
      </c>
      <c r="C255" s="21">
        <f t="shared" si="23"/>
        <v>302476573.38774246</v>
      </c>
      <c r="D255" s="21">
        <f t="shared" si="24"/>
        <v>12779697.744819919</v>
      </c>
      <c r="E255" s="48">
        <f t="shared" si="25"/>
        <v>0.31132793979299755</v>
      </c>
    </row>
    <row r="256" spans="1:5">
      <c r="A256">
        <f t="shared" si="29"/>
        <v>61</v>
      </c>
      <c r="B256" s="21">
        <f t="shared" si="26"/>
        <v>30839397554.891319</v>
      </c>
      <c r="C256" s="21">
        <f t="shared" si="23"/>
        <v>302226096.03793496</v>
      </c>
      <c r="D256" s="21">
        <f t="shared" si="24"/>
        <v>12779697.345479257</v>
      </c>
      <c r="E256" s="48">
        <f t="shared" si="25"/>
        <v>0.30848806054347988</v>
      </c>
    </row>
    <row r="257" spans="1:5">
      <c r="A257">
        <f t="shared" ref="A257:A320" si="30">A256+0.25</f>
        <v>61.25</v>
      </c>
      <c r="B257" s="21">
        <f t="shared" si="26"/>
        <v>30813838642.045002</v>
      </c>
      <c r="C257" s="21">
        <f t="shared" si="23"/>
        <v>301975618.69204104</v>
      </c>
      <c r="D257" s="21">
        <f t="shared" si="24"/>
        <v>12779696.946138604</v>
      </c>
      <c r="E257" s="48">
        <f t="shared" si="25"/>
        <v>0.3056481813383336</v>
      </c>
    </row>
    <row r="258" spans="1:5">
      <c r="A258">
        <f t="shared" si="30"/>
        <v>61.5</v>
      </c>
      <c r="B258" s="21">
        <f t="shared" si="26"/>
        <v>30788279729.598022</v>
      </c>
      <c r="C258" s="21">
        <f t="shared" si="23"/>
        <v>301725141.35006064</v>
      </c>
      <c r="D258" s="21">
        <f t="shared" si="24"/>
        <v>12779696.546797955</v>
      </c>
      <c r="E258" s="48">
        <f t="shared" si="25"/>
        <v>0.30280830217755805</v>
      </c>
    </row>
    <row r="259" spans="1:5">
      <c r="A259">
        <f t="shared" si="30"/>
        <v>61.75</v>
      </c>
      <c r="B259" s="21">
        <f t="shared" si="26"/>
        <v>30762720817.550385</v>
      </c>
      <c r="C259" s="21">
        <f t="shared" si="23"/>
        <v>301474664.01199377</v>
      </c>
      <c r="D259" s="21">
        <f t="shared" si="24"/>
        <v>12779696.147457313</v>
      </c>
      <c r="E259" s="48">
        <f t="shared" si="25"/>
        <v>0.29996842306115379</v>
      </c>
    </row>
    <row r="260" spans="1:5">
      <c r="A260">
        <f t="shared" si="30"/>
        <v>62</v>
      </c>
      <c r="B260" s="21">
        <f t="shared" si="26"/>
        <v>30737161905.902088</v>
      </c>
      <c r="C260" s="21">
        <f t="shared" si="23"/>
        <v>301224186.67784053</v>
      </c>
      <c r="D260" s="21">
        <f t="shared" si="24"/>
        <v>12779695.748116678</v>
      </c>
      <c r="E260" s="48">
        <f t="shared" si="25"/>
        <v>0.29712854398912092</v>
      </c>
    </row>
    <row r="261" spans="1:5">
      <c r="A261">
        <f t="shared" si="30"/>
        <v>62.25</v>
      </c>
      <c r="B261" s="21">
        <f t="shared" si="26"/>
        <v>30711602994.653133</v>
      </c>
      <c r="C261" s="21">
        <f t="shared" si="23"/>
        <v>300973709.3476007</v>
      </c>
      <c r="D261" s="21">
        <f t="shared" si="24"/>
        <v>12779695.348776048</v>
      </c>
      <c r="E261" s="48">
        <f t="shared" si="25"/>
        <v>0.29428866496145922</v>
      </c>
    </row>
    <row r="262" spans="1:5">
      <c r="A262">
        <f t="shared" si="30"/>
        <v>62.5</v>
      </c>
      <c r="B262" s="21">
        <f t="shared" si="26"/>
        <v>30686044083.803516</v>
      </c>
      <c r="C262" s="21">
        <f t="shared" si="23"/>
        <v>300723232.02127445</v>
      </c>
      <c r="D262" s="21">
        <f t="shared" si="24"/>
        <v>12779694.949435424</v>
      </c>
      <c r="E262" s="48">
        <f t="shared" si="25"/>
        <v>0.29144878597816848</v>
      </c>
    </row>
    <row r="263" spans="1:5">
      <c r="A263">
        <f t="shared" si="30"/>
        <v>62.75</v>
      </c>
      <c r="B263" s="21">
        <f t="shared" si="26"/>
        <v>30660485173.353241</v>
      </c>
      <c r="C263" s="21">
        <f t="shared" si="23"/>
        <v>300472754.69886178</v>
      </c>
      <c r="D263" s="21">
        <f t="shared" si="24"/>
        <v>12779694.550094808</v>
      </c>
      <c r="E263" s="48">
        <f t="shared" si="25"/>
        <v>0.28860890703924902</v>
      </c>
    </row>
    <row r="264" spans="1:5">
      <c r="A264">
        <f t="shared" si="30"/>
        <v>63</v>
      </c>
      <c r="B264" s="21">
        <f t="shared" ref="B264:B327" si="31">B263-D263-$D$8</f>
        <v>30634926263.302307</v>
      </c>
      <c r="C264" s="21">
        <f t="shared" si="23"/>
        <v>300222277.38036263</v>
      </c>
      <c r="D264" s="21">
        <f t="shared" si="24"/>
        <v>12779694.150754197</v>
      </c>
      <c r="E264" s="48">
        <f t="shared" ref="E264:E327" si="32">1-(($B$12-B264)/$D$3)</f>
        <v>0.28576902814470084</v>
      </c>
    </row>
    <row r="265" spans="1:5">
      <c r="A265">
        <f t="shared" si="30"/>
        <v>63.25</v>
      </c>
      <c r="B265" s="21">
        <f t="shared" si="31"/>
        <v>30609367353.650715</v>
      </c>
      <c r="C265" s="21">
        <f t="shared" si="23"/>
        <v>299971800.06577706</v>
      </c>
      <c r="D265" s="21">
        <f t="shared" si="24"/>
        <v>12779693.751413593</v>
      </c>
      <c r="E265" s="48">
        <f t="shared" si="32"/>
        <v>0.28292914929452384</v>
      </c>
    </row>
    <row r="266" spans="1:5">
      <c r="A266">
        <f t="shared" si="30"/>
        <v>63.5</v>
      </c>
      <c r="B266" s="21">
        <f t="shared" si="31"/>
        <v>30583808444.39846</v>
      </c>
      <c r="C266" s="21">
        <f t="shared" si="23"/>
        <v>299721322.7551049</v>
      </c>
      <c r="D266" s="21">
        <f t="shared" si="24"/>
        <v>12779693.352072995</v>
      </c>
      <c r="E266" s="48">
        <f t="shared" si="32"/>
        <v>0.28008927048871779</v>
      </c>
    </row>
    <row r="267" spans="1:5">
      <c r="A267">
        <f t="shared" si="30"/>
        <v>63.75</v>
      </c>
      <c r="B267" s="21">
        <f t="shared" si="31"/>
        <v>30558249535.545547</v>
      </c>
      <c r="C267" s="21">
        <f t="shared" si="23"/>
        <v>299470845.44834638</v>
      </c>
      <c r="D267" s="21">
        <f t="shared" si="24"/>
        <v>12779692.952732403</v>
      </c>
      <c r="E267" s="48">
        <f t="shared" si="32"/>
        <v>0.27724939172728302</v>
      </c>
    </row>
    <row r="268" spans="1:5">
      <c r="A268">
        <f t="shared" si="30"/>
        <v>64</v>
      </c>
      <c r="B268" s="21">
        <f t="shared" si="31"/>
        <v>30532690627.091976</v>
      </c>
      <c r="C268" s="21">
        <f t="shared" si="23"/>
        <v>299220368.14550138</v>
      </c>
      <c r="D268" s="21">
        <f t="shared" si="24"/>
        <v>12779692.553391818</v>
      </c>
      <c r="E268" s="48">
        <f t="shared" si="32"/>
        <v>0.27440951301021954</v>
      </c>
    </row>
    <row r="269" spans="1:5">
      <c r="A269">
        <f t="shared" si="30"/>
        <v>64.25</v>
      </c>
      <c r="B269" s="21">
        <f t="shared" si="31"/>
        <v>30507131719.037746</v>
      </c>
      <c r="C269" s="21">
        <f t="shared" ref="C269:C332" si="33">IF(B269&gt;$D$2,B269*$D$4/1000,0)</f>
        <v>298969890.84656996</v>
      </c>
      <c r="D269" s="21">
        <f t="shared" ref="D269:D332" si="34">C269*$D$6*$D$5+$D$8</f>
        <v>12779692.154051237</v>
      </c>
      <c r="E269" s="48">
        <f t="shared" si="32"/>
        <v>0.27156963433752734</v>
      </c>
    </row>
    <row r="270" spans="1:5">
      <c r="A270">
        <f t="shared" si="30"/>
        <v>64.5</v>
      </c>
      <c r="B270" s="21">
        <f t="shared" si="31"/>
        <v>30481572811.382854</v>
      </c>
      <c r="C270" s="21">
        <f t="shared" si="33"/>
        <v>298719413.551552</v>
      </c>
      <c r="D270" s="21">
        <f t="shared" si="34"/>
        <v>12779691.754710665</v>
      </c>
      <c r="E270" s="48">
        <f t="shared" si="32"/>
        <v>0.2687297557092061</v>
      </c>
    </row>
    <row r="271" spans="1:5">
      <c r="A271">
        <f t="shared" si="30"/>
        <v>64.75</v>
      </c>
      <c r="B271" s="21">
        <f t="shared" si="31"/>
        <v>30456013904.127304</v>
      </c>
      <c r="C271" s="21">
        <f t="shared" si="33"/>
        <v>298468936.26044762</v>
      </c>
      <c r="D271" s="21">
        <f t="shared" si="34"/>
        <v>12779691.355370097</v>
      </c>
      <c r="E271" s="48">
        <f t="shared" si="32"/>
        <v>0.26588987712525602</v>
      </c>
    </row>
    <row r="272" spans="1:5">
      <c r="A272">
        <f t="shared" si="30"/>
        <v>65</v>
      </c>
      <c r="B272" s="21">
        <f t="shared" si="31"/>
        <v>30430454997.271095</v>
      </c>
      <c r="C272" s="21">
        <f t="shared" si="33"/>
        <v>298218458.97325677</v>
      </c>
      <c r="D272" s="21">
        <f t="shared" si="34"/>
        <v>12779690.956029536</v>
      </c>
      <c r="E272" s="48">
        <f t="shared" si="32"/>
        <v>0.26304999858567724</v>
      </c>
    </row>
    <row r="273" spans="1:5">
      <c r="A273">
        <f t="shared" si="30"/>
        <v>65.25</v>
      </c>
      <c r="B273" s="21">
        <f t="shared" si="31"/>
        <v>30404896090.814228</v>
      </c>
      <c r="C273" s="21">
        <f t="shared" si="33"/>
        <v>297967981.68997943</v>
      </c>
      <c r="D273" s="21">
        <f t="shared" si="34"/>
        <v>12779690.556688983</v>
      </c>
      <c r="E273" s="48">
        <f t="shared" si="32"/>
        <v>0.26021012009046973</v>
      </c>
    </row>
    <row r="274" spans="1:5">
      <c r="A274">
        <f t="shared" si="30"/>
        <v>65.5</v>
      </c>
      <c r="B274" s="21">
        <f t="shared" si="31"/>
        <v>30379337184.756699</v>
      </c>
      <c r="C274" s="21">
        <f t="shared" si="33"/>
        <v>297717504.41061568</v>
      </c>
      <c r="D274" s="21">
        <f t="shared" si="34"/>
        <v>12779690.157348434</v>
      </c>
      <c r="E274" s="48">
        <f t="shared" si="32"/>
        <v>0.25737024163963318</v>
      </c>
    </row>
    <row r="275" spans="1:5">
      <c r="A275">
        <f t="shared" si="30"/>
        <v>65.75</v>
      </c>
      <c r="B275" s="21">
        <f t="shared" si="31"/>
        <v>30353778279.098511</v>
      </c>
      <c r="C275" s="21">
        <f t="shared" si="33"/>
        <v>297467027.13516539</v>
      </c>
      <c r="D275" s="21">
        <f t="shared" si="34"/>
        <v>12779689.758007891</v>
      </c>
      <c r="E275" s="48">
        <f t="shared" si="32"/>
        <v>0.25453036323316791</v>
      </c>
    </row>
    <row r="276" spans="1:5">
      <c r="A276">
        <f t="shared" si="30"/>
        <v>66</v>
      </c>
      <c r="B276" s="21">
        <f t="shared" si="31"/>
        <v>30328219373.839664</v>
      </c>
      <c r="C276" s="21">
        <f t="shared" si="33"/>
        <v>297216549.86362875</v>
      </c>
      <c r="D276" s="21">
        <f t="shared" si="34"/>
        <v>12779689.358667357</v>
      </c>
      <c r="E276" s="48">
        <f t="shared" si="32"/>
        <v>0.25169048487107382</v>
      </c>
    </row>
    <row r="277" spans="1:5">
      <c r="A277">
        <f t="shared" si="30"/>
        <v>66.25</v>
      </c>
      <c r="B277" s="21">
        <f t="shared" si="31"/>
        <v>30302660468.98016</v>
      </c>
      <c r="C277" s="21">
        <f t="shared" si="33"/>
        <v>296966072.59600562</v>
      </c>
      <c r="D277" s="21">
        <f t="shared" si="34"/>
        <v>12779688.959326826</v>
      </c>
      <c r="E277" s="48">
        <f t="shared" si="32"/>
        <v>0.24885060655335112</v>
      </c>
    </row>
    <row r="278" spans="1:5">
      <c r="A278">
        <f t="shared" si="30"/>
        <v>66.5</v>
      </c>
      <c r="B278" s="21">
        <f t="shared" si="31"/>
        <v>30277101564.519993</v>
      </c>
      <c r="C278" s="21">
        <f t="shared" si="33"/>
        <v>296715595.33229595</v>
      </c>
      <c r="D278" s="21">
        <f t="shared" si="34"/>
        <v>12779688.559986303</v>
      </c>
      <c r="E278" s="48">
        <f t="shared" si="32"/>
        <v>0.24601072827999926</v>
      </c>
    </row>
    <row r="279" spans="1:5">
      <c r="A279">
        <f t="shared" si="30"/>
        <v>66.75</v>
      </c>
      <c r="B279" s="21">
        <f t="shared" si="31"/>
        <v>30251542660.459167</v>
      </c>
      <c r="C279" s="21">
        <f t="shared" si="33"/>
        <v>296465118.07249987</v>
      </c>
      <c r="D279" s="21">
        <f t="shared" si="34"/>
        <v>12779688.160645787</v>
      </c>
      <c r="E279" s="48">
        <f t="shared" si="32"/>
        <v>0.24317085005101857</v>
      </c>
    </row>
    <row r="280" spans="1:5">
      <c r="A280">
        <f t="shared" si="30"/>
        <v>67</v>
      </c>
      <c r="B280" s="21">
        <f t="shared" si="31"/>
        <v>30225983756.797684</v>
      </c>
      <c r="C280" s="21">
        <f t="shared" si="33"/>
        <v>296214640.81661731</v>
      </c>
      <c r="D280" s="21">
        <f t="shared" si="34"/>
        <v>12779687.761305276</v>
      </c>
      <c r="E280" s="48">
        <f t="shared" si="32"/>
        <v>0.24033097186640928</v>
      </c>
    </row>
    <row r="281" spans="1:5">
      <c r="A281">
        <f t="shared" si="30"/>
        <v>67.25</v>
      </c>
      <c r="B281" s="21">
        <f t="shared" si="31"/>
        <v>30200424853.535538</v>
      </c>
      <c r="C281" s="21">
        <f t="shared" si="33"/>
        <v>295964163.56464833</v>
      </c>
      <c r="D281" s="21">
        <f t="shared" si="34"/>
        <v>12779687.361964772</v>
      </c>
      <c r="E281" s="48">
        <f t="shared" si="32"/>
        <v>0.23749109372617083</v>
      </c>
    </row>
    <row r="282" spans="1:5">
      <c r="A282">
        <f t="shared" si="30"/>
        <v>67.5</v>
      </c>
      <c r="B282" s="21">
        <f t="shared" si="31"/>
        <v>30174865950.672733</v>
      </c>
      <c r="C282" s="21">
        <f t="shared" si="33"/>
        <v>295713686.31659281</v>
      </c>
      <c r="D282" s="21">
        <f t="shared" si="34"/>
        <v>12779686.962624272</v>
      </c>
      <c r="E282" s="48">
        <f t="shared" si="32"/>
        <v>0.23465121563030367</v>
      </c>
    </row>
    <row r="283" spans="1:5">
      <c r="A283">
        <f t="shared" si="30"/>
        <v>67.75</v>
      </c>
      <c r="B283" s="21">
        <f t="shared" si="31"/>
        <v>30149307048.20927</v>
      </c>
      <c r="C283" s="21">
        <f t="shared" si="33"/>
        <v>295463209.07245088</v>
      </c>
      <c r="D283" s="21">
        <f t="shared" si="34"/>
        <v>12779686.563283781</v>
      </c>
      <c r="E283" s="48">
        <f t="shared" si="32"/>
        <v>0.23181133757880779</v>
      </c>
    </row>
    <row r="284" spans="1:5">
      <c r="A284">
        <f t="shared" si="30"/>
        <v>68</v>
      </c>
      <c r="B284" s="21">
        <f t="shared" si="31"/>
        <v>30123748146.145149</v>
      </c>
      <c r="C284" s="21">
        <f t="shared" si="33"/>
        <v>295212731.83222246</v>
      </c>
      <c r="D284" s="21">
        <f t="shared" si="34"/>
        <v>12779686.163943294</v>
      </c>
      <c r="E284" s="48">
        <f t="shared" si="32"/>
        <v>0.2289714595716833</v>
      </c>
    </row>
    <row r="285" spans="1:5">
      <c r="A285">
        <f t="shared" si="30"/>
        <v>68.25</v>
      </c>
      <c r="B285" s="21">
        <f t="shared" si="31"/>
        <v>30098189244.480366</v>
      </c>
      <c r="C285" s="21">
        <f t="shared" si="33"/>
        <v>294962254.59590757</v>
      </c>
      <c r="D285" s="21">
        <f t="shared" si="34"/>
        <v>12779685.764602816</v>
      </c>
      <c r="E285" s="48">
        <f t="shared" si="32"/>
        <v>0.22613158160892954</v>
      </c>
    </row>
    <row r="286" spans="1:5">
      <c r="A286">
        <f t="shared" si="30"/>
        <v>68.5</v>
      </c>
      <c r="B286" s="21">
        <f t="shared" si="31"/>
        <v>30072630343.214924</v>
      </c>
      <c r="C286" s="21">
        <f t="shared" si="33"/>
        <v>294711777.36350626</v>
      </c>
      <c r="D286" s="21">
        <f t="shared" si="34"/>
        <v>12779685.365262341</v>
      </c>
      <c r="E286" s="48">
        <f t="shared" si="32"/>
        <v>0.22329170369054707</v>
      </c>
    </row>
    <row r="287" spans="1:5">
      <c r="A287">
        <f t="shared" si="30"/>
        <v>68.75</v>
      </c>
      <c r="B287" s="21">
        <f t="shared" si="31"/>
        <v>30047071442.348824</v>
      </c>
      <c r="C287" s="21">
        <f t="shared" si="33"/>
        <v>294461300.13501847</v>
      </c>
      <c r="D287" s="21">
        <f t="shared" si="34"/>
        <v>12779684.965921875</v>
      </c>
      <c r="E287" s="48">
        <f t="shared" si="32"/>
        <v>0.220451825816536</v>
      </c>
    </row>
    <row r="288" spans="1:5">
      <c r="A288">
        <f t="shared" si="30"/>
        <v>69</v>
      </c>
      <c r="B288" s="21">
        <f t="shared" si="31"/>
        <v>30021512541.882061</v>
      </c>
      <c r="C288" s="21">
        <f t="shared" si="33"/>
        <v>294210822.9104442</v>
      </c>
      <c r="D288" s="21">
        <f t="shared" si="34"/>
        <v>12779684.566581413</v>
      </c>
      <c r="E288" s="48">
        <f t="shared" si="32"/>
        <v>0.21761194798689565</v>
      </c>
    </row>
    <row r="289" spans="1:5">
      <c r="A289">
        <f t="shared" si="30"/>
        <v>69.25</v>
      </c>
      <c r="B289" s="21">
        <f t="shared" si="31"/>
        <v>29995953641.81464</v>
      </c>
      <c r="C289" s="21">
        <f t="shared" si="33"/>
        <v>293960345.68978351</v>
      </c>
      <c r="D289" s="21">
        <f t="shared" si="34"/>
        <v>12779684.167240959</v>
      </c>
      <c r="E289" s="48">
        <f t="shared" si="32"/>
        <v>0.2147720702016267</v>
      </c>
    </row>
    <row r="290" spans="1:5">
      <c r="A290">
        <f t="shared" si="30"/>
        <v>69.5</v>
      </c>
      <c r="B290" s="21">
        <f t="shared" si="31"/>
        <v>29970394742.146561</v>
      </c>
      <c r="C290" s="21">
        <f t="shared" si="33"/>
        <v>293709868.47303629</v>
      </c>
      <c r="D290" s="21">
        <f t="shared" si="34"/>
        <v>12779683.76790051</v>
      </c>
      <c r="E290" s="48">
        <f t="shared" si="32"/>
        <v>0.21193219246072892</v>
      </c>
    </row>
    <row r="291" spans="1:5">
      <c r="A291">
        <f t="shared" si="30"/>
        <v>69.75</v>
      </c>
      <c r="B291" s="21">
        <f t="shared" si="31"/>
        <v>29944835842.877819</v>
      </c>
      <c r="C291" s="21">
        <f t="shared" si="33"/>
        <v>293459391.26020265</v>
      </c>
      <c r="D291" s="21">
        <f t="shared" si="34"/>
        <v>12779683.368560068</v>
      </c>
      <c r="E291" s="48">
        <f t="shared" si="32"/>
        <v>0.20909231476420209</v>
      </c>
    </row>
    <row r="292" spans="1:5">
      <c r="A292">
        <f t="shared" si="30"/>
        <v>70</v>
      </c>
      <c r="B292" s="21">
        <f t="shared" si="31"/>
        <v>29919276944.008419</v>
      </c>
      <c r="C292" s="21">
        <f t="shared" si="33"/>
        <v>293208914.05128253</v>
      </c>
      <c r="D292" s="21">
        <f t="shared" si="34"/>
        <v>12779682.969219632</v>
      </c>
      <c r="E292" s="48">
        <f t="shared" si="32"/>
        <v>0.20625243711204655</v>
      </c>
    </row>
    <row r="293" spans="1:5">
      <c r="A293">
        <f t="shared" si="30"/>
        <v>70.25</v>
      </c>
      <c r="B293" s="21">
        <f t="shared" si="31"/>
        <v>29893718045.538361</v>
      </c>
      <c r="C293" s="21">
        <f t="shared" si="33"/>
        <v>292958436.84627593</v>
      </c>
      <c r="D293" s="21">
        <f t="shared" si="34"/>
        <v>12779682.569879202</v>
      </c>
      <c r="E293" s="48">
        <f t="shared" si="32"/>
        <v>0.20341255950426229</v>
      </c>
    </row>
    <row r="294" spans="1:5">
      <c r="A294">
        <f t="shared" si="30"/>
        <v>70.5</v>
      </c>
      <c r="B294" s="21">
        <f t="shared" si="31"/>
        <v>29868159147.467644</v>
      </c>
      <c r="C294" s="21">
        <f t="shared" si="33"/>
        <v>292707959.64518291</v>
      </c>
      <c r="D294" s="21">
        <f t="shared" si="34"/>
        <v>12779682.170538779</v>
      </c>
      <c r="E294" s="48">
        <f t="shared" si="32"/>
        <v>0.20057268194084932</v>
      </c>
    </row>
    <row r="295" spans="1:5">
      <c r="A295">
        <f t="shared" si="30"/>
        <v>70.75</v>
      </c>
      <c r="B295" s="21">
        <f t="shared" si="31"/>
        <v>29842600249.796265</v>
      </c>
      <c r="C295" s="21">
        <f t="shared" si="33"/>
        <v>292457482.44800341</v>
      </c>
      <c r="D295" s="21">
        <f t="shared" si="34"/>
        <v>12779681.771198362</v>
      </c>
      <c r="E295" s="48">
        <f t="shared" si="32"/>
        <v>0.19773280442180718</v>
      </c>
    </row>
    <row r="296" spans="1:5">
      <c r="A296">
        <f t="shared" si="30"/>
        <v>71</v>
      </c>
      <c r="B296" s="21">
        <f t="shared" si="31"/>
        <v>29817041352.524227</v>
      </c>
      <c r="C296" s="21">
        <f t="shared" si="33"/>
        <v>292207005.25473744</v>
      </c>
      <c r="D296" s="21">
        <f t="shared" si="34"/>
        <v>12779681.37185795</v>
      </c>
      <c r="E296" s="48">
        <f t="shared" si="32"/>
        <v>0.19489292694713634</v>
      </c>
    </row>
    <row r="297" spans="1:5">
      <c r="A297">
        <f t="shared" si="30"/>
        <v>71.25</v>
      </c>
      <c r="B297" s="21">
        <f t="shared" si="31"/>
        <v>29791482455.651531</v>
      </c>
      <c r="C297" s="21">
        <f t="shared" si="33"/>
        <v>291956528.06538498</v>
      </c>
      <c r="D297" s="21">
        <f t="shared" si="34"/>
        <v>12779680.972517546</v>
      </c>
      <c r="E297" s="48">
        <f t="shared" si="32"/>
        <v>0.19205304951683677</v>
      </c>
    </row>
    <row r="298" spans="1:5">
      <c r="A298">
        <f t="shared" si="30"/>
        <v>71.5</v>
      </c>
      <c r="B298" s="21">
        <f t="shared" si="31"/>
        <v>29765923559.178173</v>
      </c>
      <c r="C298" s="21">
        <f t="shared" si="33"/>
        <v>291706050.87994611</v>
      </c>
      <c r="D298" s="21">
        <f t="shared" si="34"/>
        <v>12779680.573177148</v>
      </c>
      <c r="E298" s="48">
        <f t="shared" si="32"/>
        <v>0.18921317213090816</v>
      </c>
    </row>
    <row r="299" spans="1:5">
      <c r="A299">
        <f t="shared" si="30"/>
        <v>71.75</v>
      </c>
      <c r="B299" s="21">
        <f t="shared" si="31"/>
        <v>29740364663.104156</v>
      </c>
      <c r="C299" s="21">
        <f t="shared" si="33"/>
        <v>291455573.69842076</v>
      </c>
      <c r="D299" s="21">
        <f t="shared" si="34"/>
        <v>12779680.173836755</v>
      </c>
      <c r="E299" s="48">
        <f t="shared" si="32"/>
        <v>0.18637329478935072</v>
      </c>
    </row>
    <row r="300" spans="1:5">
      <c r="A300">
        <f t="shared" si="30"/>
        <v>72</v>
      </c>
      <c r="B300" s="21">
        <f t="shared" si="31"/>
        <v>29714805767.429482</v>
      </c>
      <c r="C300" s="21">
        <f t="shared" si="33"/>
        <v>291205096.52080894</v>
      </c>
      <c r="D300" s="21">
        <f t="shared" si="34"/>
        <v>12779679.774496369</v>
      </c>
      <c r="E300" s="48">
        <f t="shared" si="32"/>
        <v>0.18353341749216456</v>
      </c>
    </row>
    <row r="301" spans="1:5">
      <c r="A301">
        <f t="shared" si="30"/>
        <v>72.25</v>
      </c>
      <c r="B301" s="21">
        <f t="shared" si="31"/>
        <v>29689246872.154144</v>
      </c>
      <c r="C301" s="21">
        <f t="shared" si="33"/>
        <v>290954619.34711063</v>
      </c>
      <c r="D301" s="21">
        <f t="shared" si="34"/>
        <v>12779679.375155989</v>
      </c>
      <c r="E301" s="48">
        <f t="shared" si="32"/>
        <v>0.18069354023934936</v>
      </c>
    </row>
    <row r="302" spans="1:5">
      <c r="A302">
        <f t="shared" si="30"/>
        <v>72.5</v>
      </c>
      <c r="B302" s="21">
        <f t="shared" si="31"/>
        <v>29663687977.278149</v>
      </c>
      <c r="C302" s="21">
        <f t="shared" si="33"/>
        <v>290704142.17732584</v>
      </c>
      <c r="D302" s="21">
        <f t="shared" si="34"/>
        <v>12779678.975815617</v>
      </c>
      <c r="E302" s="48">
        <f t="shared" si="32"/>
        <v>0.17785366303090544</v>
      </c>
    </row>
    <row r="303" spans="1:5">
      <c r="A303">
        <f t="shared" si="30"/>
        <v>72.75</v>
      </c>
      <c r="B303" s="21">
        <f t="shared" si="31"/>
        <v>29638129082.801495</v>
      </c>
      <c r="C303" s="21">
        <f t="shared" si="33"/>
        <v>290453665.01145464</v>
      </c>
      <c r="D303" s="21">
        <f t="shared" si="34"/>
        <v>12779678.57647525</v>
      </c>
      <c r="E303" s="48">
        <f t="shared" si="32"/>
        <v>0.17501378586683269</v>
      </c>
    </row>
    <row r="304" spans="1:5">
      <c r="A304">
        <f t="shared" si="30"/>
        <v>73</v>
      </c>
      <c r="B304" s="21">
        <f t="shared" si="31"/>
        <v>29612570188.724178</v>
      </c>
      <c r="C304" s="21">
        <f t="shared" si="33"/>
        <v>290203187.84949696</v>
      </c>
      <c r="D304" s="21">
        <f t="shared" si="34"/>
        <v>12779678.177134888</v>
      </c>
      <c r="E304" s="48">
        <f t="shared" si="32"/>
        <v>0.1721739087471309</v>
      </c>
    </row>
    <row r="305" spans="1:5">
      <c r="A305">
        <f t="shared" si="30"/>
        <v>73.25</v>
      </c>
      <c r="B305" s="21">
        <f t="shared" si="31"/>
        <v>29587011295.046204</v>
      </c>
      <c r="C305" s="21">
        <f t="shared" si="33"/>
        <v>289952710.6914528</v>
      </c>
      <c r="D305" s="21">
        <f t="shared" si="34"/>
        <v>12779677.777794532</v>
      </c>
      <c r="E305" s="48">
        <f t="shared" si="32"/>
        <v>0.16933403167180039</v>
      </c>
    </row>
    <row r="306" spans="1:5">
      <c r="A306">
        <f t="shared" si="30"/>
        <v>73.5</v>
      </c>
      <c r="B306" s="21">
        <f t="shared" si="31"/>
        <v>29561452401.76757</v>
      </c>
      <c r="C306" s="21">
        <f t="shared" si="33"/>
        <v>289702233.53732222</v>
      </c>
      <c r="D306" s="21">
        <f t="shared" si="34"/>
        <v>12779677.378454184</v>
      </c>
      <c r="E306" s="48">
        <f t="shared" si="32"/>
        <v>0.16649415464084116</v>
      </c>
    </row>
    <row r="307" spans="1:5">
      <c r="A307">
        <f t="shared" si="30"/>
        <v>73.75</v>
      </c>
      <c r="B307" s="21">
        <f t="shared" si="31"/>
        <v>29535893508.888279</v>
      </c>
      <c r="C307" s="21">
        <f t="shared" si="33"/>
        <v>289451756.38710517</v>
      </c>
      <c r="D307" s="21">
        <f t="shared" si="34"/>
        <v>12779676.979113841</v>
      </c>
      <c r="E307" s="48">
        <f t="shared" si="32"/>
        <v>0.16365427765425322</v>
      </c>
    </row>
    <row r="308" spans="1:5">
      <c r="A308">
        <f t="shared" si="30"/>
        <v>74</v>
      </c>
      <c r="B308" s="21">
        <f t="shared" si="31"/>
        <v>29510334616.408325</v>
      </c>
      <c r="C308" s="21">
        <f t="shared" si="33"/>
        <v>289201279.24080163</v>
      </c>
      <c r="D308" s="21">
        <f t="shared" si="34"/>
        <v>12779676.579773506</v>
      </c>
      <c r="E308" s="48">
        <f t="shared" si="32"/>
        <v>0.16081440071203612</v>
      </c>
    </row>
    <row r="309" spans="1:5">
      <c r="A309">
        <f t="shared" si="30"/>
        <v>74.25</v>
      </c>
      <c r="B309" s="21">
        <f t="shared" si="31"/>
        <v>29484775724.327713</v>
      </c>
      <c r="C309" s="21">
        <f t="shared" si="33"/>
        <v>288950802.09841162</v>
      </c>
      <c r="D309" s="21">
        <f t="shared" si="34"/>
        <v>12779676.180433176</v>
      </c>
      <c r="E309" s="48">
        <f t="shared" si="32"/>
        <v>0.1579745238141903</v>
      </c>
    </row>
    <row r="310" spans="1:5">
      <c r="A310">
        <f t="shared" si="30"/>
        <v>74.5</v>
      </c>
      <c r="B310" s="21">
        <f t="shared" si="31"/>
        <v>29459216832.646442</v>
      </c>
      <c r="C310" s="21">
        <f t="shared" si="33"/>
        <v>288700324.95993519</v>
      </c>
      <c r="D310" s="21">
        <f t="shared" si="34"/>
        <v>12779675.781092852</v>
      </c>
      <c r="E310" s="48">
        <f t="shared" si="32"/>
        <v>0.15513464696071577</v>
      </c>
    </row>
    <row r="311" spans="1:5">
      <c r="A311">
        <f t="shared" si="30"/>
        <v>74.75</v>
      </c>
      <c r="B311" s="21">
        <f t="shared" si="31"/>
        <v>29433657941.36451</v>
      </c>
      <c r="C311" s="21">
        <f t="shared" si="33"/>
        <v>288449847.82537222</v>
      </c>
      <c r="D311" s="21">
        <f t="shared" si="34"/>
        <v>12779675.381752536</v>
      </c>
      <c r="E311" s="48">
        <f t="shared" si="32"/>
        <v>0.15229477015161219</v>
      </c>
    </row>
    <row r="312" spans="1:5">
      <c r="A312">
        <f t="shared" si="30"/>
        <v>75</v>
      </c>
      <c r="B312" s="21">
        <f t="shared" si="31"/>
        <v>29408099050.481918</v>
      </c>
      <c r="C312" s="21">
        <f t="shared" si="33"/>
        <v>288199370.69472283</v>
      </c>
      <c r="D312" s="21">
        <f t="shared" si="34"/>
        <v>12779674.982412225</v>
      </c>
      <c r="E312" s="48">
        <f t="shared" si="32"/>
        <v>0.14945489338687978</v>
      </c>
    </row>
    <row r="313" spans="1:5">
      <c r="A313">
        <f t="shared" si="30"/>
        <v>75.25</v>
      </c>
      <c r="B313" s="21">
        <f t="shared" si="31"/>
        <v>29382540159.998669</v>
      </c>
      <c r="C313" s="21">
        <f t="shared" si="33"/>
        <v>287948893.56798702</v>
      </c>
      <c r="D313" s="21">
        <f t="shared" si="34"/>
        <v>12779674.583071919</v>
      </c>
      <c r="E313" s="48">
        <f t="shared" si="32"/>
        <v>0.14661501666651877</v>
      </c>
    </row>
    <row r="314" spans="1:5">
      <c r="A314">
        <f t="shared" si="30"/>
        <v>75.5</v>
      </c>
      <c r="B314" s="21">
        <f t="shared" si="31"/>
        <v>29356981269.914757</v>
      </c>
      <c r="C314" s="21">
        <f t="shared" si="33"/>
        <v>287698416.44516462</v>
      </c>
      <c r="D314" s="21">
        <f t="shared" si="34"/>
        <v>12779674.183731619</v>
      </c>
      <c r="E314" s="48">
        <f t="shared" si="32"/>
        <v>0.14377513999052849</v>
      </c>
    </row>
    <row r="315" spans="1:5">
      <c r="A315">
        <f t="shared" si="30"/>
        <v>75.75</v>
      </c>
      <c r="B315" s="21">
        <f t="shared" si="31"/>
        <v>29331422380.230186</v>
      </c>
      <c r="C315" s="21">
        <f t="shared" si="33"/>
        <v>287447939.32625586</v>
      </c>
      <c r="D315" s="21">
        <f t="shared" si="34"/>
        <v>12779673.784391327</v>
      </c>
      <c r="E315" s="48">
        <f t="shared" si="32"/>
        <v>0.1409352633589096</v>
      </c>
    </row>
    <row r="316" spans="1:5">
      <c r="A316">
        <f t="shared" si="30"/>
        <v>76</v>
      </c>
      <c r="B316" s="21">
        <f t="shared" si="31"/>
        <v>29305863490.944958</v>
      </c>
      <c r="C316" s="21">
        <f t="shared" si="33"/>
        <v>287197462.21126062</v>
      </c>
      <c r="D316" s="21">
        <f t="shared" si="34"/>
        <v>12779673.385051042</v>
      </c>
      <c r="E316" s="48">
        <f t="shared" si="32"/>
        <v>0.138095386771662</v>
      </c>
    </row>
    <row r="317" spans="1:5">
      <c r="A317">
        <f t="shared" si="30"/>
        <v>76.25</v>
      </c>
      <c r="B317" s="21">
        <f t="shared" si="31"/>
        <v>29280304602.059067</v>
      </c>
      <c r="C317" s="21">
        <f t="shared" si="33"/>
        <v>286946985.1001789</v>
      </c>
      <c r="D317" s="21">
        <f t="shared" si="34"/>
        <v>12779672.985710762</v>
      </c>
      <c r="E317" s="48">
        <f t="shared" si="32"/>
        <v>0.13525551022878524</v>
      </c>
    </row>
    <row r="318" spans="1:5">
      <c r="A318">
        <f t="shared" si="30"/>
        <v>76.5</v>
      </c>
      <c r="B318" s="21">
        <f t="shared" si="31"/>
        <v>29254745713.572517</v>
      </c>
      <c r="C318" s="21">
        <f t="shared" si="33"/>
        <v>286696507.9930107</v>
      </c>
      <c r="D318" s="21">
        <f t="shared" si="34"/>
        <v>12779672.586370489</v>
      </c>
      <c r="E318" s="48">
        <f t="shared" si="32"/>
        <v>0.13241563373027976</v>
      </c>
    </row>
    <row r="319" spans="1:5">
      <c r="A319">
        <f t="shared" si="30"/>
        <v>76.75</v>
      </c>
      <c r="B319" s="21">
        <f t="shared" si="31"/>
        <v>29229186825.485306</v>
      </c>
      <c r="C319" s="21">
        <f t="shared" si="33"/>
        <v>286446030.88975602</v>
      </c>
      <c r="D319" s="21">
        <f t="shared" si="34"/>
        <v>12779672.18703022</v>
      </c>
      <c r="E319" s="48">
        <f t="shared" si="32"/>
        <v>0.12957575727614512</v>
      </c>
    </row>
    <row r="320" spans="1:5">
      <c r="A320">
        <f t="shared" si="30"/>
        <v>77</v>
      </c>
      <c r="B320" s="21">
        <f t="shared" si="31"/>
        <v>29203627937.797436</v>
      </c>
      <c r="C320" s="21">
        <f t="shared" si="33"/>
        <v>286195553.79041493</v>
      </c>
      <c r="D320" s="21">
        <f t="shared" si="34"/>
        <v>12779671.78768996</v>
      </c>
      <c r="E320" s="48">
        <f t="shared" si="32"/>
        <v>0.12673588086638177</v>
      </c>
    </row>
    <row r="321" spans="1:5">
      <c r="A321">
        <f t="shared" ref="A321:A385" si="35">A320+0.25</f>
        <v>77.25</v>
      </c>
      <c r="B321" s="21">
        <f t="shared" si="31"/>
        <v>29178069050.508907</v>
      </c>
      <c r="C321" s="21">
        <f t="shared" si="33"/>
        <v>285945076.6949873</v>
      </c>
      <c r="D321" s="21">
        <f t="shared" si="34"/>
        <v>12779671.388349704</v>
      </c>
      <c r="E321" s="48">
        <f t="shared" si="32"/>
        <v>0.1238960045009897</v>
      </c>
    </row>
    <row r="322" spans="1:5">
      <c r="A322">
        <f t="shared" si="35"/>
        <v>77.5</v>
      </c>
      <c r="B322" s="21">
        <f t="shared" si="31"/>
        <v>29152510163.619717</v>
      </c>
      <c r="C322" s="21">
        <f t="shared" si="33"/>
        <v>285694599.60347325</v>
      </c>
      <c r="D322" s="21">
        <f t="shared" si="34"/>
        <v>12779670.989009455</v>
      </c>
      <c r="E322" s="48">
        <f t="shared" si="32"/>
        <v>0.12105612817996847</v>
      </c>
    </row>
    <row r="323" spans="1:5">
      <c r="A323">
        <f t="shared" si="35"/>
        <v>77.75</v>
      </c>
      <c r="B323" s="21">
        <f t="shared" si="31"/>
        <v>29126951277.129868</v>
      </c>
      <c r="C323" s="21">
        <f t="shared" si="33"/>
        <v>285444122.51587272</v>
      </c>
      <c r="D323" s="21">
        <f t="shared" si="34"/>
        <v>12779670.589669213</v>
      </c>
      <c r="E323" s="48">
        <f t="shared" si="32"/>
        <v>0.11821625190331864</v>
      </c>
    </row>
    <row r="324" spans="1:5">
      <c r="A324">
        <f t="shared" si="35"/>
        <v>78</v>
      </c>
      <c r="B324" s="21">
        <f t="shared" si="31"/>
        <v>29101392391.03936</v>
      </c>
      <c r="C324" s="21">
        <f t="shared" si="33"/>
        <v>285193645.43218571</v>
      </c>
      <c r="D324" s="21">
        <f t="shared" si="34"/>
        <v>12779670.190328976</v>
      </c>
      <c r="E324" s="48">
        <f t="shared" si="32"/>
        <v>0.11537637567103998</v>
      </c>
    </row>
    <row r="325" spans="1:5">
      <c r="A325">
        <f t="shared" si="35"/>
        <v>78.25</v>
      </c>
      <c r="B325" s="21">
        <f t="shared" si="31"/>
        <v>29075833505.34819</v>
      </c>
      <c r="C325" s="21">
        <f t="shared" si="33"/>
        <v>284943168.35241228</v>
      </c>
      <c r="D325" s="21">
        <f t="shared" si="34"/>
        <v>12779669.790988747</v>
      </c>
      <c r="E325" s="48">
        <f t="shared" si="32"/>
        <v>0.11253649948313227</v>
      </c>
    </row>
    <row r="326" spans="1:5">
      <c r="A326">
        <f t="shared" si="35"/>
        <v>78.5</v>
      </c>
      <c r="B326" s="21">
        <f t="shared" si="31"/>
        <v>29050274620.056362</v>
      </c>
      <c r="C326" s="21">
        <f t="shared" si="33"/>
        <v>284692691.27655238</v>
      </c>
      <c r="D326" s="21">
        <f t="shared" si="34"/>
        <v>12779669.391648524</v>
      </c>
      <c r="E326" s="48">
        <f t="shared" si="32"/>
        <v>0.10969662333959584</v>
      </c>
    </row>
    <row r="327" spans="1:5">
      <c r="A327">
        <f t="shared" si="35"/>
        <v>78.75</v>
      </c>
      <c r="B327" s="21">
        <f t="shared" si="31"/>
        <v>29024715735.163876</v>
      </c>
      <c r="C327" s="21">
        <f t="shared" si="33"/>
        <v>284442214.204606</v>
      </c>
      <c r="D327" s="21">
        <f t="shared" si="34"/>
        <v>12779668.992308306</v>
      </c>
      <c r="E327" s="48">
        <f t="shared" si="32"/>
        <v>0.10685674724043059</v>
      </c>
    </row>
    <row r="328" spans="1:5">
      <c r="A328">
        <f t="shared" si="35"/>
        <v>79</v>
      </c>
      <c r="B328" s="21">
        <f t="shared" ref="B328:B354" si="36">B327-D327-$D$8</f>
        <v>28999156850.670727</v>
      </c>
      <c r="C328" s="21">
        <f t="shared" si="33"/>
        <v>284191737.13657314</v>
      </c>
      <c r="D328" s="21">
        <f t="shared" si="34"/>
        <v>12779668.592968093</v>
      </c>
      <c r="E328" s="48">
        <f t="shared" ref="E328:E354" si="37">1-(($B$12-B328)/$D$3)</f>
        <v>0.10401687118563629</v>
      </c>
    </row>
    <row r="329" spans="1:5">
      <c r="A329">
        <f t="shared" si="35"/>
        <v>79.25</v>
      </c>
      <c r="B329" s="21">
        <f t="shared" si="36"/>
        <v>28973597966.57692</v>
      </c>
      <c r="C329" s="21">
        <f t="shared" si="33"/>
        <v>283941260.07245386</v>
      </c>
      <c r="D329" s="21">
        <f t="shared" si="34"/>
        <v>12779668.193627888</v>
      </c>
      <c r="E329" s="48">
        <f t="shared" si="37"/>
        <v>0.10117699517521328</v>
      </c>
    </row>
    <row r="330" spans="1:5">
      <c r="A330">
        <f t="shared" si="35"/>
        <v>79.5</v>
      </c>
      <c r="B330" s="21">
        <f t="shared" si="36"/>
        <v>28948039082.882454</v>
      </c>
      <c r="C330" s="21">
        <f t="shared" si="33"/>
        <v>283690783.01224804</v>
      </c>
      <c r="D330" s="21">
        <f t="shared" si="34"/>
        <v>12779667.794287689</v>
      </c>
      <c r="E330" s="48">
        <f t="shared" si="37"/>
        <v>9.833711920916155E-2</v>
      </c>
    </row>
    <row r="331" spans="1:5">
      <c r="A331">
        <f t="shared" si="35"/>
        <v>79.75</v>
      </c>
      <c r="B331" s="21">
        <f t="shared" si="36"/>
        <v>28922480199.587326</v>
      </c>
      <c r="C331" s="21">
        <f t="shared" si="33"/>
        <v>283440305.9559558</v>
      </c>
      <c r="D331" s="21">
        <f t="shared" si="34"/>
        <v>12779667.394947497</v>
      </c>
      <c r="E331" s="48">
        <f t="shared" si="37"/>
        <v>9.549724328748066E-2</v>
      </c>
    </row>
    <row r="332" spans="1:5">
      <c r="A332">
        <f t="shared" si="35"/>
        <v>80</v>
      </c>
      <c r="B332" s="21">
        <f t="shared" si="36"/>
        <v>28896921316.69154</v>
      </c>
      <c r="C332" s="21">
        <f t="shared" si="33"/>
        <v>283189828.90357709</v>
      </c>
      <c r="D332" s="21">
        <f t="shared" si="34"/>
        <v>12779666.995607311</v>
      </c>
      <c r="E332" s="48">
        <f t="shared" si="37"/>
        <v>9.2657367410171054E-2</v>
      </c>
    </row>
    <row r="333" spans="1:5">
      <c r="A333">
        <f t="shared" si="35"/>
        <v>80.25</v>
      </c>
      <c r="B333" s="21">
        <f t="shared" si="36"/>
        <v>28871362434.195095</v>
      </c>
      <c r="C333" s="21">
        <f t="shared" ref="C333:C396" si="38">IF(B333&gt;$D$2,B333*$D$4/1000,0)</f>
        <v>282939351.85511196</v>
      </c>
      <c r="D333" s="21">
        <f t="shared" ref="D333:D396" si="39">C333*$D$6*$D$5+$D$8</f>
        <v>12779666.59626713</v>
      </c>
      <c r="E333" s="48">
        <f t="shared" si="37"/>
        <v>8.9817491577232733E-2</v>
      </c>
    </row>
    <row r="334" spans="1:5">
      <c r="A334">
        <f t="shared" si="35"/>
        <v>80.5</v>
      </c>
      <c r="B334" s="21">
        <f t="shared" si="36"/>
        <v>28845803552.097988</v>
      </c>
      <c r="C334" s="21">
        <f t="shared" si="38"/>
        <v>282688874.81056029</v>
      </c>
      <c r="D334" s="21">
        <f t="shared" si="39"/>
        <v>12779666.196926957</v>
      </c>
      <c r="E334" s="48">
        <f t="shared" si="37"/>
        <v>8.6977615788665363E-2</v>
      </c>
    </row>
    <row r="335" spans="1:5">
      <c r="A335">
        <f t="shared" si="35"/>
        <v>80.75</v>
      </c>
      <c r="B335" s="21">
        <f t="shared" si="36"/>
        <v>28820244670.400223</v>
      </c>
      <c r="C335" s="21">
        <f t="shared" si="38"/>
        <v>282438397.7699222</v>
      </c>
      <c r="D335" s="21">
        <f t="shared" si="39"/>
        <v>12779665.797586789</v>
      </c>
      <c r="E335" s="48">
        <f t="shared" si="37"/>
        <v>8.4137740044469167E-2</v>
      </c>
    </row>
    <row r="336" spans="1:5">
      <c r="A336">
        <f t="shared" si="35"/>
        <v>81</v>
      </c>
      <c r="B336" s="21">
        <f t="shared" si="36"/>
        <v>28794685789.101795</v>
      </c>
      <c r="C336" s="21">
        <f t="shared" si="38"/>
        <v>282187920.73319763</v>
      </c>
      <c r="D336" s="21">
        <f t="shared" si="39"/>
        <v>12779665.398246627</v>
      </c>
      <c r="E336" s="48">
        <f t="shared" si="37"/>
        <v>8.1297864344643922E-2</v>
      </c>
    </row>
    <row r="337" spans="1:5">
      <c r="A337">
        <f t="shared" si="35"/>
        <v>81.25</v>
      </c>
      <c r="B337" s="21">
        <f t="shared" si="36"/>
        <v>28769126908.202709</v>
      </c>
      <c r="C337" s="21">
        <f t="shared" si="38"/>
        <v>281937443.70038658</v>
      </c>
      <c r="D337" s="21">
        <f t="shared" si="39"/>
        <v>12779664.998906473</v>
      </c>
      <c r="E337" s="48">
        <f t="shared" si="37"/>
        <v>7.8457988689189961E-2</v>
      </c>
    </row>
    <row r="338" spans="1:5">
      <c r="A338">
        <f t="shared" si="35"/>
        <v>81.5</v>
      </c>
      <c r="B338" s="21">
        <f t="shared" si="36"/>
        <v>28743568027.702965</v>
      </c>
      <c r="C338" s="21">
        <f t="shared" si="38"/>
        <v>281686966.67148906</v>
      </c>
      <c r="D338" s="21">
        <f t="shared" si="39"/>
        <v>12779664.599566324</v>
      </c>
      <c r="E338" s="48">
        <f t="shared" si="37"/>
        <v>7.5618113078107174E-2</v>
      </c>
    </row>
    <row r="339" spans="1:5">
      <c r="A339">
        <f t="shared" si="35"/>
        <v>81.75</v>
      </c>
      <c r="B339" s="21">
        <f t="shared" si="36"/>
        <v>28718009147.602558</v>
      </c>
      <c r="C339" s="21">
        <f t="shared" si="38"/>
        <v>281436489.64650506</v>
      </c>
      <c r="D339" s="21">
        <f t="shared" si="39"/>
        <v>12779664.20022618</v>
      </c>
      <c r="E339" s="48">
        <f t="shared" si="37"/>
        <v>7.2778237511395338E-2</v>
      </c>
    </row>
    <row r="340" spans="1:5">
      <c r="A340">
        <f t="shared" si="35"/>
        <v>82</v>
      </c>
      <c r="B340" s="21">
        <f t="shared" si="36"/>
        <v>28692450267.901493</v>
      </c>
      <c r="C340" s="21">
        <f t="shared" si="38"/>
        <v>281186012.62543464</v>
      </c>
      <c r="D340" s="21">
        <f t="shared" si="39"/>
        <v>12779663.800886044</v>
      </c>
      <c r="E340" s="48">
        <f t="shared" si="37"/>
        <v>6.9938361989054787E-2</v>
      </c>
    </row>
    <row r="341" spans="1:5">
      <c r="A341">
        <f t="shared" si="35"/>
        <v>82.25</v>
      </c>
      <c r="B341" s="21">
        <f t="shared" si="36"/>
        <v>28666891388.59977</v>
      </c>
      <c r="C341" s="21">
        <f t="shared" si="38"/>
        <v>280935535.6082778</v>
      </c>
      <c r="D341" s="21">
        <f t="shared" si="39"/>
        <v>12779663.401545914</v>
      </c>
      <c r="E341" s="48">
        <f t="shared" si="37"/>
        <v>6.709848651108552E-2</v>
      </c>
    </row>
    <row r="342" spans="1:5">
      <c r="A342">
        <f t="shared" si="35"/>
        <v>82.5</v>
      </c>
      <c r="B342" s="21">
        <f t="shared" si="36"/>
        <v>28641332509.697384</v>
      </c>
      <c r="C342" s="21">
        <f t="shared" si="38"/>
        <v>280685058.59503436</v>
      </c>
      <c r="D342" s="21">
        <f t="shared" si="39"/>
        <v>12779663.002205791</v>
      </c>
      <c r="E342" s="48">
        <f t="shared" si="37"/>
        <v>6.4258611077487093E-2</v>
      </c>
    </row>
    <row r="343" spans="1:5">
      <c r="A343">
        <f t="shared" si="35"/>
        <v>82.75</v>
      </c>
      <c r="B343" s="21">
        <f t="shared" si="36"/>
        <v>28615773631.19434</v>
      </c>
      <c r="C343" s="21">
        <f t="shared" si="38"/>
        <v>280434581.58570451</v>
      </c>
      <c r="D343" s="21">
        <f t="shared" si="39"/>
        <v>12779662.602865672</v>
      </c>
      <c r="E343" s="48">
        <f t="shared" si="37"/>
        <v>6.1418735688259951E-2</v>
      </c>
    </row>
    <row r="344" spans="1:5">
      <c r="A344">
        <f t="shared" si="35"/>
        <v>83</v>
      </c>
      <c r="B344" s="21">
        <f t="shared" si="36"/>
        <v>28590214753.090633</v>
      </c>
      <c r="C344" s="21">
        <f t="shared" si="38"/>
        <v>280184104.58028823</v>
      </c>
      <c r="D344" s="21">
        <f t="shared" si="39"/>
        <v>12779662.203525562</v>
      </c>
      <c r="E344" s="48">
        <f t="shared" si="37"/>
        <v>5.857886034340376E-2</v>
      </c>
    </row>
    <row r="345" spans="1:5">
      <c r="A345">
        <f t="shared" si="35"/>
        <v>83.25</v>
      </c>
      <c r="B345" s="21">
        <f t="shared" si="36"/>
        <v>28564655875.386269</v>
      </c>
      <c r="C345" s="21">
        <f t="shared" si="38"/>
        <v>279933627.57878548</v>
      </c>
      <c r="D345" s="21">
        <f t="shared" si="39"/>
        <v>12779661.804185456</v>
      </c>
      <c r="E345" s="48">
        <f t="shared" si="37"/>
        <v>5.5738985042918743E-2</v>
      </c>
    </row>
    <row r="346" spans="1:5">
      <c r="A346">
        <f t="shared" si="35"/>
        <v>83.5</v>
      </c>
      <c r="B346" s="21">
        <f t="shared" si="36"/>
        <v>28539096998.081245</v>
      </c>
      <c r="C346" s="21">
        <f t="shared" si="38"/>
        <v>279683150.58119625</v>
      </c>
      <c r="D346" s="21">
        <f t="shared" si="39"/>
        <v>12779661.404845357</v>
      </c>
      <c r="E346" s="48">
        <f t="shared" si="37"/>
        <v>5.289910978680501E-2</v>
      </c>
    </row>
    <row r="347" spans="1:5">
      <c r="A347">
        <f t="shared" si="35"/>
        <v>83.75</v>
      </c>
      <c r="B347" s="21">
        <f t="shared" si="36"/>
        <v>28513538121.17556</v>
      </c>
      <c r="C347" s="21">
        <f t="shared" si="38"/>
        <v>279432673.58752048</v>
      </c>
      <c r="D347" s="21">
        <f t="shared" si="39"/>
        <v>12779661.005505264</v>
      </c>
      <c r="E347" s="48">
        <f t="shared" si="37"/>
        <v>5.0059234575062228E-2</v>
      </c>
    </row>
    <row r="348" spans="1:5">
      <c r="A348">
        <f t="shared" si="35"/>
        <v>84</v>
      </c>
      <c r="B348" s="21">
        <f t="shared" si="36"/>
        <v>28487979244.669216</v>
      </c>
      <c r="C348" s="21">
        <f t="shared" si="38"/>
        <v>279182196.59775835</v>
      </c>
      <c r="D348" s="21">
        <f t="shared" si="39"/>
        <v>12779660.606165178</v>
      </c>
      <c r="E348" s="48">
        <f t="shared" si="37"/>
        <v>4.7219359407690731E-2</v>
      </c>
    </row>
    <row r="349" spans="1:5">
      <c r="A349">
        <f t="shared" si="35"/>
        <v>84.25</v>
      </c>
      <c r="B349" s="21">
        <f t="shared" si="36"/>
        <v>28462420368.56221</v>
      </c>
      <c r="C349" s="21">
        <f t="shared" si="38"/>
        <v>278931719.61190969</v>
      </c>
      <c r="D349" s="21">
        <f t="shared" si="39"/>
        <v>12779660.206825098</v>
      </c>
      <c r="E349" s="48">
        <f t="shared" si="37"/>
        <v>4.4379484284689963E-2</v>
      </c>
    </row>
    <row r="350" spans="1:5">
      <c r="A350">
        <f t="shared" si="35"/>
        <v>84.5</v>
      </c>
      <c r="B350" s="21">
        <f t="shared" si="36"/>
        <v>28436861492.854546</v>
      </c>
      <c r="C350" s="21">
        <f t="shared" si="38"/>
        <v>278681242.62997454</v>
      </c>
      <c r="D350" s="21">
        <f t="shared" si="39"/>
        <v>12779659.807485024</v>
      </c>
      <c r="E350" s="48">
        <f t="shared" si="37"/>
        <v>4.153960920606059E-2</v>
      </c>
    </row>
    <row r="351" spans="1:5">
      <c r="A351">
        <f t="shared" si="35"/>
        <v>84.75</v>
      </c>
      <c r="B351" s="21">
        <f t="shared" si="36"/>
        <v>28411302617.546223</v>
      </c>
      <c r="C351" s="21">
        <f t="shared" si="38"/>
        <v>278430765.65195298</v>
      </c>
      <c r="D351" s="21">
        <f t="shared" si="39"/>
        <v>12779659.408144955</v>
      </c>
      <c r="E351" s="48">
        <f t="shared" si="37"/>
        <v>3.8699734171802502E-2</v>
      </c>
    </row>
    <row r="352" spans="1:5">
      <c r="A352">
        <f t="shared" si="35"/>
        <v>85</v>
      </c>
      <c r="B352" s="21">
        <f t="shared" si="36"/>
        <v>28385743742.637238</v>
      </c>
      <c r="C352" s="21">
        <f t="shared" si="38"/>
        <v>278180288.67784494</v>
      </c>
      <c r="D352" s="21">
        <f t="shared" si="39"/>
        <v>12779659.008804893</v>
      </c>
      <c r="E352" s="48">
        <f t="shared" si="37"/>
        <v>3.5859859181915255E-2</v>
      </c>
    </row>
    <row r="353" spans="1:5">
      <c r="A353">
        <f t="shared" si="35"/>
        <v>85.25</v>
      </c>
      <c r="B353" s="21">
        <f t="shared" si="36"/>
        <v>28360184868.127594</v>
      </c>
      <c r="C353" s="21">
        <f t="shared" si="38"/>
        <v>277929811.70765042</v>
      </c>
      <c r="D353" s="21">
        <f t="shared" si="39"/>
        <v>12779658.609464839</v>
      </c>
      <c r="E353" s="48">
        <f t="shared" si="37"/>
        <v>3.3019984236399291E-2</v>
      </c>
    </row>
    <row r="354" spans="1:5">
      <c r="A354">
        <f t="shared" si="35"/>
        <v>85.5</v>
      </c>
      <c r="B354" s="21">
        <f t="shared" si="36"/>
        <v>28334625994.017288</v>
      </c>
      <c r="C354" s="21">
        <f t="shared" si="38"/>
        <v>277679334.74136943</v>
      </c>
      <c r="D354" s="21">
        <f t="shared" si="39"/>
        <v>12779658.210124789</v>
      </c>
      <c r="E354" s="48">
        <f t="shared" si="37"/>
        <v>3.0180109335254279E-2</v>
      </c>
    </row>
    <row r="355" spans="1:5">
      <c r="A355">
        <f t="shared" si="35"/>
        <v>85.75</v>
      </c>
      <c r="B355" s="21">
        <f t="shared" ref="B355:B377" si="40">B354-D354-$D$8</f>
        <v>28309067120.306324</v>
      </c>
      <c r="C355" s="21">
        <f t="shared" si="38"/>
        <v>277428857.77900201</v>
      </c>
      <c r="D355" s="21">
        <f t="shared" si="39"/>
        <v>12779657.810784746</v>
      </c>
      <c r="E355" s="48">
        <f t="shared" ref="E355:E377" si="41">1-(($B$12-B355)/$D$3)</f>
        <v>2.7340234478480441E-2</v>
      </c>
    </row>
    <row r="356" spans="1:5">
      <c r="A356">
        <f t="shared" si="35"/>
        <v>86</v>
      </c>
      <c r="B356" s="21">
        <f t="shared" si="40"/>
        <v>28283508246.994701</v>
      </c>
      <c r="C356" s="21">
        <f t="shared" si="38"/>
        <v>277178380.82054812</v>
      </c>
      <c r="D356" s="21">
        <f t="shared" si="39"/>
        <v>12779657.411444711</v>
      </c>
      <c r="E356" s="48">
        <f t="shared" si="41"/>
        <v>2.4500359666077887E-2</v>
      </c>
    </row>
    <row r="357" spans="1:5">
      <c r="A357">
        <f t="shared" si="35"/>
        <v>86.25</v>
      </c>
      <c r="B357" s="21">
        <f t="shared" si="40"/>
        <v>28257949374.082417</v>
      </c>
      <c r="C357" s="21">
        <f t="shared" si="38"/>
        <v>276927903.86600769</v>
      </c>
      <c r="D357" s="21">
        <f t="shared" si="39"/>
        <v>12779657.012104679</v>
      </c>
      <c r="E357" s="48">
        <f t="shared" si="41"/>
        <v>2.1660484898046284E-2</v>
      </c>
    </row>
    <row r="358" spans="1:5">
      <c r="A358">
        <f t="shared" si="35"/>
        <v>86.5</v>
      </c>
      <c r="B358" s="21">
        <f t="shared" si="40"/>
        <v>28232390501.569473</v>
      </c>
      <c r="C358" s="21">
        <f t="shared" si="38"/>
        <v>276677426.91538084</v>
      </c>
      <c r="D358" s="21">
        <f t="shared" si="39"/>
        <v>12779656.612764655</v>
      </c>
      <c r="E358" s="48">
        <f t="shared" si="41"/>
        <v>1.8820610174385966E-2</v>
      </c>
    </row>
    <row r="359" spans="1:5">
      <c r="A359">
        <f t="shared" si="35"/>
        <v>86.75</v>
      </c>
      <c r="B359" s="21">
        <f t="shared" si="40"/>
        <v>28206831629.455868</v>
      </c>
      <c r="C359" s="21">
        <f t="shared" si="38"/>
        <v>276426949.96866757</v>
      </c>
      <c r="D359" s="21">
        <f t="shared" si="39"/>
        <v>12779656.213424638</v>
      </c>
      <c r="E359" s="48">
        <f t="shared" si="41"/>
        <v>1.5980735495096376E-2</v>
      </c>
    </row>
    <row r="360" spans="1:5">
      <c r="A360">
        <f t="shared" si="35"/>
        <v>87</v>
      </c>
      <c r="B360" s="21">
        <f t="shared" si="40"/>
        <v>28181272757.741604</v>
      </c>
      <c r="C360" s="21">
        <f t="shared" si="38"/>
        <v>276176473.02586776</v>
      </c>
      <c r="D360" s="21">
        <f t="shared" si="39"/>
        <v>12779655.814084625</v>
      </c>
      <c r="E360" s="48">
        <f t="shared" si="41"/>
        <v>1.3140860860178183E-2</v>
      </c>
    </row>
    <row r="361" spans="1:5">
      <c r="A361">
        <f t="shared" si="35"/>
        <v>87.25</v>
      </c>
      <c r="B361" s="21">
        <f t="shared" si="40"/>
        <v>28155713886.426682</v>
      </c>
      <c r="C361" s="21">
        <f t="shared" si="38"/>
        <v>275925996.08698153</v>
      </c>
      <c r="D361" s="21">
        <f t="shared" si="39"/>
        <v>12779655.414744621</v>
      </c>
      <c r="E361" s="48">
        <f t="shared" si="41"/>
        <v>1.0300986269631274E-2</v>
      </c>
    </row>
    <row r="362" spans="1:5">
      <c r="A362">
        <f t="shared" si="35"/>
        <v>87.5</v>
      </c>
      <c r="B362" s="21">
        <f t="shared" si="40"/>
        <v>28130155015.511097</v>
      </c>
      <c r="C362" s="21">
        <f t="shared" si="38"/>
        <v>275675519.15200877</v>
      </c>
      <c r="D362" s="21">
        <f t="shared" si="39"/>
        <v>12779655.015404621</v>
      </c>
      <c r="E362" s="48">
        <f t="shared" si="41"/>
        <v>7.4611117234552049E-3</v>
      </c>
    </row>
    <row r="363" spans="1:5">
      <c r="A363">
        <f t="shared" si="35"/>
        <v>87.75</v>
      </c>
      <c r="B363" s="21">
        <f t="shared" si="40"/>
        <v>28104596144.994854</v>
      </c>
      <c r="C363" s="21">
        <f t="shared" si="38"/>
        <v>275425042.22094959</v>
      </c>
      <c r="D363" s="21">
        <f t="shared" si="39"/>
        <v>12779654.616064629</v>
      </c>
      <c r="E363" s="48">
        <f t="shared" si="41"/>
        <v>4.6212372216504205E-3</v>
      </c>
    </row>
    <row r="364" spans="1:5">
      <c r="A364">
        <f t="shared" si="35"/>
        <v>88</v>
      </c>
      <c r="B364" s="21">
        <f t="shared" si="40"/>
        <v>28079037274.877949</v>
      </c>
      <c r="C364" s="21">
        <f t="shared" si="38"/>
        <v>275174565.29380387</v>
      </c>
      <c r="D364" s="21">
        <f t="shared" si="39"/>
        <v>12779654.216724642</v>
      </c>
      <c r="E364" s="48">
        <f t="shared" si="41"/>
        <v>1.7813627642164764E-3</v>
      </c>
    </row>
    <row r="365" spans="1:5">
      <c r="A365">
        <f t="shared" si="35"/>
        <v>88.25</v>
      </c>
      <c r="B365" s="21">
        <f t="shared" si="40"/>
        <v>28053478405.160385</v>
      </c>
      <c r="C365" s="21">
        <f t="shared" si="38"/>
        <v>0</v>
      </c>
      <c r="D365" s="21">
        <f t="shared" si="39"/>
        <v>12779215.500837719</v>
      </c>
      <c r="E365" s="48">
        <f t="shared" si="41"/>
        <v>-1.0585116488461832E-3</v>
      </c>
    </row>
    <row r="366" spans="1:5">
      <c r="A366">
        <f t="shared" si="35"/>
        <v>88.5</v>
      </c>
      <c r="B366" s="21">
        <f t="shared" si="40"/>
        <v>28027919974.158707</v>
      </c>
      <c r="C366" s="21">
        <f t="shared" si="38"/>
        <v>0</v>
      </c>
      <c r="D366" s="21">
        <f t="shared" si="39"/>
        <v>12779215.500837719</v>
      </c>
      <c r="E366" s="48">
        <f t="shared" si="41"/>
        <v>-3.8983373156993295E-3</v>
      </c>
    </row>
    <row r="367" spans="1:5">
      <c r="A367">
        <f t="shared" si="35"/>
        <v>88.75</v>
      </c>
      <c r="B367" s="21">
        <f t="shared" si="40"/>
        <v>28002361543.157028</v>
      </c>
      <c r="C367" s="21">
        <f t="shared" si="38"/>
        <v>0</v>
      </c>
      <c r="D367" s="21">
        <f t="shared" si="39"/>
        <v>12779215.500837719</v>
      </c>
      <c r="E367" s="48">
        <f t="shared" si="41"/>
        <v>-6.7381629825524758E-3</v>
      </c>
    </row>
    <row r="368" spans="1:5">
      <c r="A368">
        <f t="shared" si="35"/>
        <v>89</v>
      </c>
      <c r="B368" s="21">
        <f t="shared" si="40"/>
        <v>27976803112.15535</v>
      </c>
      <c r="C368" s="21">
        <f t="shared" si="38"/>
        <v>0</v>
      </c>
      <c r="D368" s="21">
        <f t="shared" si="39"/>
        <v>12779215.500837719</v>
      </c>
      <c r="E368" s="48">
        <f t="shared" si="41"/>
        <v>-9.5779886494056221E-3</v>
      </c>
    </row>
    <row r="369" spans="1:5">
      <c r="A369">
        <f t="shared" si="35"/>
        <v>89.25</v>
      </c>
      <c r="B369" s="21">
        <f t="shared" si="40"/>
        <v>27951244681.153671</v>
      </c>
      <c r="C369" s="21">
        <f t="shared" si="38"/>
        <v>0</v>
      </c>
      <c r="D369" s="21">
        <f t="shared" si="39"/>
        <v>12779215.500837719</v>
      </c>
      <c r="E369" s="48">
        <f t="shared" si="41"/>
        <v>-1.2417814316258768E-2</v>
      </c>
    </row>
    <row r="370" spans="1:5">
      <c r="A370">
        <f t="shared" si="35"/>
        <v>89.5</v>
      </c>
      <c r="B370" s="21">
        <f t="shared" si="40"/>
        <v>27925686250.151993</v>
      </c>
      <c r="C370" s="21">
        <f t="shared" si="38"/>
        <v>0</v>
      </c>
      <c r="D370" s="21">
        <f t="shared" si="39"/>
        <v>12779215.500837719</v>
      </c>
      <c r="E370" s="48">
        <f t="shared" si="41"/>
        <v>-1.5257639983111915E-2</v>
      </c>
    </row>
    <row r="371" spans="1:5">
      <c r="A371">
        <f t="shared" si="35"/>
        <v>89.75</v>
      </c>
      <c r="B371" s="21">
        <f t="shared" si="40"/>
        <v>27900127819.150314</v>
      </c>
      <c r="C371" s="21">
        <f t="shared" si="38"/>
        <v>0</v>
      </c>
      <c r="D371" s="21">
        <f t="shared" si="39"/>
        <v>12779215.500837719</v>
      </c>
      <c r="E371" s="48">
        <f t="shared" si="41"/>
        <v>-1.8097465649965061E-2</v>
      </c>
    </row>
    <row r="372" spans="1:5">
      <c r="A372">
        <f t="shared" si="35"/>
        <v>90</v>
      </c>
      <c r="B372" s="21">
        <f t="shared" si="40"/>
        <v>27874569388.148636</v>
      </c>
      <c r="C372" s="21">
        <f t="shared" si="38"/>
        <v>0</v>
      </c>
      <c r="D372" s="21">
        <f t="shared" si="39"/>
        <v>12779215.500837719</v>
      </c>
      <c r="E372" s="48">
        <f t="shared" si="41"/>
        <v>-2.0937291316818207E-2</v>
      </c>
    </row>
    <row r="373" spans="1:5">
      <c r="A373">
        <f t="shared" si="35"/>
        <v>90.25</v>
      </c>
      <c r="B373" s="21">
        <f t="shared" si="40"/>
        <v>27849010957.146957</v>
      </c>
      <c r="C373" s="21">
        <f t="shared" si="38"/>
        <v>0</v>
      </c>
      <c r="D373" s="21">
        <f t="shared" si="39"/>
        <v>12779215.500837719</v>
      </c>
      <c r="E373" s="48">
        <f t="shared" si="41"/>
        <v>-2.3777116983671354E-2</v>
      </c>
    </row>
    <row r="374" spans="1:5">
      <c r="A374">
        <f t="shared" si="35"/>
        <v>90.5</v>
      </c>
      <c r="B374" s="21">
        <f t="shared" si="40"/>
        <v>27823452526.145279</v>
      </c>
      <c r="C374" s="21">
        <f t="shared" si="38"/>
        <v>0</v>
      </c>
      <c r="D374" s="21">
        <f t="shared" si="39"/>
        <v>12779215.500837719</v>
      </c>
      <c r="E374" s="48">
        <f t="shared" si="41"/>
        <v>-2.66169426505245E-2</v>
      </c>
    </row>
    <row r="375" spans="1:5">
      <c r="A375">
        <f t="shared" si="35"/>
        <v>90.75</v>
      </c>
      <c r="B375" s="21">
        <f t="shared" si="40"/>
        <v>27797894095.1436</v>
      </c>
      <c r="C375" s="21">
        <f t="shared" si="38"/>
        <v>0</v>
      </c>
      <c r="D375" s="21">
        <f t="shared" si="39"/>
        <v>12779215.500837719</v>
      </c>
      <c r="E375" s="48">
        <f t="shared" si="41"/>
        <v>-2.9456768317377646E-2</v>
      </c>
    </row>
    <row r="376" spans="1:5">
      <c r="A376">
        <f t="shared" si="35"/>
        <v>91</v>
      </c>
      <c r="B376" s="21">
        <f t="shared" si="40"/>
        <v>27772335664.141922</v>
      </c>
      <c r="C376" s="21">
        <f t="shared" si="38"/>
        <v>0</v>
      </c>
      <c r="D376" s="21">
        <f t="shared" si="39"/>
        <v>12779215.500837719</v>
      </c>
      <c r="E376" s="48">
        <f t="shared" si="41"/>
        <v>-3.2296593984230793E-2</v>
      </c>
    </row>
    <row r="377" spans="1:5">
      <c r="A377">
        <f t="shared" si="35"/>
        <v>91.25</v>
      </c>
      <c r="B377" s="21">
        <f t="shared" si="40"/>
        <v>27746777233.140244</v>
      </c>
      <c r="C377" s="21">
        <f t="shared" si="38"/>
        <v>0</v>
      </c>
      <c r="D377" s="21">
        <f t="shared" si="39"/>
        <v>12779215.500837719</v>
      </c>
      <c r="E377" s="48">
        <f t="shared" si="41"/>
        <v>-3.5136419651084161E-2</v>
      </c>
    </row>
    <row r="378" spans="1:5">
      <c r="A378">
        <f t="shared" si="35"/>
        <v>91.5</v>
      </c>
      <c r="B378" s="21">
        <f t="shared" ref="B378:B384" si="42">B377-D377-$D$8</f>
        <v>27721218802.138565</v>
      </c>
      <c r="C378" s="21">
        <f t="shared" si="38"/>
        <v>0</v>
      </c>
      <c r="D378" s="21">
        <f t="shared" si="39"/>
        <v>12779215.500837719</v>
      </c>
      <c r="E378" s="48">
        <f t="shared" ref="E378:E384" si="43">1-(($B$12-B378)/$D$3)</f>
        <v>-3.7976245317937307E-2</v>
      </c>
    </row>
    <row r="379" spans="1:5">
      <c r="A379">
        <f t="shared" si="35"/>
        <v>91.75</v>
      </c>
      <c r="B379" s="21">
        <f t="shared" si="42"/>
        <v>27695660371.136887</v>
      </c>
      <c r="C379" s="21">
        <f t="shared" si="38"/>
        <v>0</v>
      </c>
      <c r="D379" s="21">
        <f t="shared" si="39"/>
        <v>12779215.500837719</v>
      </c>
      <c r="E379" s="48">
        <f t="shared" si="43"/>
        <v>-4.0816070984790453E-2</v>
      </c>
    </row>
    <row r="380" spans="1:5">
      <c r="A380">
        <f t="shared" si="35"/>
        <v>92</v>
      </c>
      <c r="B380" s="21">
        <f t="shared" si="42"/>
        <v>27670101940.135208</v>
      </c>
      <c r="C380" s="21">
        <f t="shared" si="38"/>
        <v>0</v>
      </c>
      <c r="D380" s="21">
        <f t="shared" si="39"/>
        <v>12779215.500837719</v>
      </c>
      <c r="E380" s="48">
        <f t="shared" si="43"/>
        <v>-4.36558966516436E-2</v>
      </c>
    </row>
    <row r="381" spans="1:5">
      <c r="A381">
        <f t="shared" si="35"/>
        <v>92.25</v>
      </c>
      <c r="B381" s="21">
        <f t="shared" si="42"/>
        <v>27644543509.13353</v>
      </c>
      <c r="C381" s="21">
        <f t="shared" si="38"/>
        <v>0</v>
      </c>
      <c r="D381" s="21">
        <f t="shared" si="39"/>
        <v>12779215.500837719</v>
      </c>
      <c r="E381" s="48">
        <f t="shared" si="43"/>
        <v>-4.6495722318496746E-2</v>
      </c>
    </row>
    <row r="382" spans="1:5">
      <c r="A382">
        <f t="shared" si="35"/>
        <v>92.5</v>
      </c>
      <c r="B382" s="21">
        <f t="shared" si="42"/>
        <v>27618985078.131851</v>
      </c>
      <c r="C382" s="21">
        <f t="shared" si="38"/>
        <v>0</v>
      </c>
      <c r="D382" s="21">
        <f t="shared" si="39"/>
        <v>12779215.500837719</v>
      </c>
      <c r="E382" s="48">
        <f t="shared" si="43"/>
        <v>-4.9335547985349892E-2</v>
      </c>
    </row>
    <row r="383" spans="1:5">
      <c r="A383">
        <f t="shared" si="35"/>
        <v>92.75</v>
      </c>
      <c r="B383" s="21">
        <f t="shared" si="42"/>
        <v>27593426647.130173</v>
      </c>
      <c r="C383" s="21">
        <f t="shared" si="38"/>
        <v>0</v>
      </c>
      <c r="D383" s="21">
        <f t="shared" si="39"/>
        <v>12779215.500837719</v>
      </c>
      <c r="E383" s="48">
        <f t="shared" si="43"/>
        <v>-5.2175373652203039E-2</v>
      </c>
    </row>
    <row r="384" spans="1:5">
      <c r="A384">
        <f t="shared" si="35"/>
        <v>93</v>
      </c>
      <c r="B384" s="21">
        <f t="shared" si="42"/>
        <v>27567868216.128494</v>
      </c>
      <c r="C384" s="21">
        <f t="shared" si="38"/>
        <v>0</v>
      </c>
      <c r="D384" s="21">
        <f t="shared" si="39"/>
        <v>12779215.500837719</v>
      </c>
      <c r="E384" s="48">
        <f t="shared" si="43"/>
        <v>-5.5015199319056185E-2</v>
      </c>
    </row>
    <row r="385" spans="1:5">
      <c r="A385">
        <f t="shared" si="35"/>
        <v>93.25</v>
      </c>
      <c r="B385" s="21">
        <f t="shared" ref="B385:B391" si="44">B384-D384-$D$8</f>
        <v>27542309785.126816</v>
      </c>
      <c r="C385" s="21">
        <f t="shared" si="38"/>
        <v>0</v>
      </c>
      <c r="D385" s="21">
        <f t="shared" si="39"/>
        <v>12779215.500837719</v>
      </c>
      <c r="E385" s="48">
        <f t="shared" ref="E385:E391" si="45">1-(($B$12-B385)/$D$3)</f>
        <v>-5.7855024985909331E-2</v>
      </c>
    </row>
    <row r="386" spans="1:5">
      <c r="A386">
        <f t="shared" ref="A386:A412" si="46">A385+0.25</f>
        <v>93.5</v>
      </c>
      <c r="B386" s="21">
        <f t="shared" si="44"/>
        <v>27516751354.125137</v>
      </c>
      <c r="C386" s="21">
        <f t="shared" si="38"/>
        <v>0</v>
      </c>
      <c r="D386" s="21">
        <f t="shared" si="39"/>
        <v>12779215.500837719</v>
      </c>
      <c r="E386" s="48">
        <f t="shared" si="45"/>
        <v>-6.0694850652762478E-2</v>
      </c>
    </row>
    <row r="387" spans="1:5">
      <c r="A387">
        <f t="shared" si="46"/>
        <v>93.75</v>
      </c>
      <c r="B387" s="21">
        <f t="shared" si="44"/>
        <v>27491192923.123459</v>
      </c>
      <c r="C387" s="21">
        <f t="shared" si="38"/>
        <v>0</v>
      </c>
      <c r="D387" s="21">
        <f t="shared" si="39"/>
        <v>12779215.500837719</v>
      </c>
      <c r="E387" s="48">
        <f t="shared" si="45"/>
        <v>-6.3534676319615624E-2</v>
      </c>
    </row>
    <row r="388" spans="1:5">
      <c r="A388">
        <f t="shared" si="46"/>
        <v>94</v>
      </c>
      <c r="B388" s="21">
        <f t="shared" si="44"/>
        <v>27465634492.12178</v>
      </c>
      <c r="C388" s="21">
        <f t="shared" si="38"/>
        <v>0</v>
      </c>
      <c r="D388" s="21">
        <f t="shared" si="39"/>
        <v>12779215.500837719</v>
      </c>
      <c r="E388" s="48">
        <f t="shared" si="45"/>
        <v>-6.637450198646877E-2</v>
      </c>
    </row>
    <row r="389" spans="1:5">
      <c r="A389">
        <f t="shared" si="46"/>
        <v>94.25</v>
      </c>
      <c r="B389" s="21">
        <f t="shared" si="44"/>
        <v>27440076061.120102</v>
      </c>
      <c r="C389" s="21">
        <f t="shared" si="38"/>
        <v>0</v>
      </c>
      <c r="D389" s="21">
        <f t="shared" si="39"/>
        <v>12779215.500837719</v>
      </c>
      <c r="E389" s="48">
        <f t="shared" si="45"/>
        <v>-6.9214327653321917E-2</v>
      </c>
    </row>
    <row r="390" spans="1:5">
      <c r="A390">
        <f t="shared" si="46"/>
        <v>94.5</v>
      </c>
      <c r="B390" s="21">
        <f t="shared" si="44"/>
        <v>27414517630.118423</v>
      </c>
      <c r="C390" s="21">
        <f t="shared" si="38"/>
        <v>0</v>
      </c>
      <c r="D390" s="21">
        <f t="shared" si="39"/>
        <v>12779215.500837719</v>
      </c>
      <c r="E390" s="48">
        <f t="shared" si="45"/>
        <v>-7.2054153320175063E-2</v>
      </c>
    </row>
    <row r="391" spans="1:5">
      <c r="A391">
        <f t="shared" si="46"/>
        <v>94.75</v>
      </c>
      <c r="B391" s="21">
        <f t="shared" si="44"/>
        <v>27388959199.116745</v>
      </c>
      <c r="C391" s="21">
        <f t="shared" si="38"/>
        <v>0</v>
      </c>
      <c r="D391" s="21">
        <f t="shared" si="39"/>
        <v>12779215.500837719</v>
      </c>
      <c r="E391" s="48">
        <f t="shared" si="45"/>
        <v>-7.4893978987028431E-2</v>
      </c>
    </row>
    <row r="392" spans="1:5">
      <c r="A392">
        <f t="shared" si="46"/>
        <v>95</v>
      </c>
      <c r="B392" s="21">
        <f t="shared" ref="B392:B398" si="47">B391-D391-$D$8</f>
        <v>27363400768.115067</v>
      </c>
      <c r="C392" s="21">
        <f t="shared" si="38"/>
        <v>0</v>
      </c>
      <c r="D392" s="21">
        <f t="shared" si="39"/>
        <v>12779215.500837719</v>
      </c>
      <c r="E392" s="48">
        <f t="shared" ref="E392:E398" si="48">1-(($B$12-B392)/$D$3)</f>
        <v>-7.7733804653881577E-2</v>
      </c>
    </row>
    <row r="393" spans="1:5">
      <c r="A393">
        <f t="shared" si="46"/>
        <v>95.25</v>
      </c>
      <c r="B393" s="21">
        <f t="shared" si="47"/>
        <v>27337842337.113388</v>
      </c>
      <c r="C393" s="21">
        <f t="shared" si="38"/>
        <v>0</v>
      </c>
      <c r="D393" s="21">
        <f t="shared" si="39"/>
        <v>12779215.500837719</v>
      </c>
      <c r="E393" s="48">
        <f t="shared" si="48"/>
        <v>-8.0573630320734724E-2</v>
      </c>
    </row>
    <row r="394" spans="1:5">
      <c r="A394">
        <f t="shared" si="46"/>
        <v>95.5</v>
      </c>
      <c r="B394" s="21">
        <f t="shared" si="47"/>
        <v>27312283906.11171</v>
      </c>
      <c r="C394" s="21">
        <f t="shared" si="38"/>
        <v>0</v>
      </c>
      <c r="D394" s="21">
        <f t="shared" si="39"/>
        <v>12779215.500837719</v>
      </c>
      <c r="E394" s="48">
        <f t="shared" si="48"/>
        <v>-8.341345598758787E-2</v>
      </c>
    </row>
    <row r="395" spans="1:5">
      <c r="A395">
        <f t="shared" si="46"/>
        <v>95.75</v>
      </c>
      <c r="B395" s="21">
        <f t="shared" si="47"/>
        <v>27286725475.110031</v>
      </c>
      <c r="C395" s="21">
        <f t="shared" si="38"/>
        <v>0</v>
      </c>
      <c r="D395" s="21">
        <f t="shared" si="39"/>
        <v>12779215.500837719</v>
      </c>
      <c r="E395" s="48">
        <f t="shared" si="48"/>
        <v>-8.6253281654441016E-2</v>
      </c>
    </row>
    <row r="396" spans="1:5">
      <c r="A396">
        <f t="shared" si="46"/>
        <v>96</v>
      </c>
      <c r="B396" s="21">
        <f t="shared" si="47"/>
        <v>27261167044.108353</v>
      </c>
      <c r="C396" s="21">
        <f t="shared" si="38"/>
        <v>0</v>
      </c>
      <c r="D396" s="21">
        <f t="shared" si="39"/>
        <v>12779215.500837719</v>
      </c>
      <c r="E396" s="48">
        <f t="shared" si="48"/>
        <v>-8.9093107321294163E-2</v>
      </c>
    </row>
    <row r="397" spans="1:5">
      <c r="A397">
        <f t="shared" si="46"/>
        <v>96.25</v>
      </c>
      <c r="B397" s="21">
        <f t="shared" si="47"/>
        <v>27235608613.106674</v>
      </c>
      <c r="C397" s="21">
        <f t="shared" ref="C397:C412" si="49">IF(B397&gt;$D$2,B397*$D$4/1000,0)</f>
        <v>0</v>
      </c>
      <c r="D397" s="21">
        <f t="shared" ref="D397:D412" si="50">C397*$D$6*$D$5+$D$8</f>
        <v>12779215.500837719</v>
      </c>
      <c r="E397" s="48">
        <f t="shared" si="48"/>
        <v>-9.1932932988147309E-2</v>
      </c>
    </row>
    <row r="398" spans="1:5">
      <c r="A398">
        <f t="shared" si="46"/>
        <v>96.5</v>
      </c>
      <c r="B398" s="21">
        <f t="shared" si="47"/>
        <v>27210050182.104996</v>
      </c>
      <c r="C398" s="21">
        <f t="shared" si="49"/>
        <v>0</v>
      </c>
      <c r="D398" s="21">
        <f t="shared" si="50"/>
        <v>12779215.500837719</v>
      </c>
      <c r="E398" s="48">
        <f t="shared" si="48"/>
        <v>-9.4772758655000455E-2</v>
      </c>
    </row>
    <row r="399" spans="1:5">
      <c r="A399">
        <f t="shared" si="46"/>
        <v>96.75</v>
      </c>
      <c r="B399" s="21">
        <f t="shared" ref="B399:B409" si="51">B398-D398-$D$8</f>
        <v>27184491751.103317</v>
      </c>
      <c r="C399" s="21">
        <f t="shared" si="49"/>
        <v>0</v>
      </c>
      <c r="D399" s="21">
        <f t="shared" si="50"/>
        <v>12779215.500837719</v>
      </c>
      <c r="E399" s="48">
        <f t="shared" ref="E399:E409" si="52">1-(($B$12-B399)/$D$3)</f>
        <v>-9.7612584321853602E-2</v>
      </c>
    </row>
    <row r="400" spans="1:5">
      <c r="A400">
        <f t="shared" si="46"/>
        <v>97</v>
      </c>
      <c r="B400" s="21">
        <f t="shared" si="51"/>
        <v>27158933320.101639</v>
      </c>
      <c r="C400" s="21">
        <f t="shared" si="49"/>
        <v>0</v>
      </c>
      <c r="D400" s="21">
        <f t="shared" si="50"/>
        <v>12779215.500837719</v>
      </c>
      <c r="E400" s="48">
        <f t="shared" si="52"/>
        <v>-0.10045240998870675</v>
      </c>
    </row>
    <row r="401" spans="1:5">
      <c r="A401">
        <f t="shared" si="46"/>
        <v>97.25</v>
      </c>
      <c r="B401" s="21">
        <f t="shared" si="51"/>
        <v>27133374889.09996</v>
      </c>
      <c r="C401" s="21">
        <f t="shared" si="49"/>
        <v>0</v>
      </c>
      <c r="D401" s="21">
        <f t="shared" si="50"/>
        <v>12779215.500837719</v>
      </c>
      <c r="E401" s="48">
        <f t="shared" si="52"/>
        <v>-0.10329223565555989</v>
      </c>
    </row>
    <row r="402" spans="1:5">
      <c r="A402">
        <f t="shared" si="46"/>
        <v>97.5</v>
      </c>
      <c r="B402" s="21">
        <f t="shared" si="51"/>
        <v>27107816458.098282</v>
      </c>
      <c r="C402" s="21">
        <f t="shared" si="49"/>
        <v>0</v>
      </c>
      <c r="D402" s="21">
        <f t="shared" si="50"/>
        <v>12779215.500837719</v>
      </c>
      <c r="E402" s="48">
        <f t="shared" si="52"/>
        <v>-0.10613206132241304</v>
      </c>
    </row>
    <row r="403" spans="1:5">
      <c r="A403">
        <f t="shared" si="46"/>
        <v>97.75</v>
      </c>
      <c r="B403" s="21">
        <f t="shared" si="51"/>
        <v>27082258027.096603</v>
      </c>
      <c r="C403" s="21">
        <f t="shared" si="49"/>
        <v>0</v>
      </c>
      <c r="D403" s="21">
        <f t="shared" si="50"/>
        <v>12779215.500837719</v>
      </c>
      <c r="E403" s="48">
        <f t="shared" si="52"/>
        <v>-0.10897188698926619</v>
      </c>
    </row>
    <row r="404" spans="1:5">
      <c r="A404">
        <f t="shared" si="46"/>
        <v>98</v>
      </c>
      <c r="B404" s="21">
        <f t="shared" si="51"/>
        <v>27056699596.094925</v>
      </c>
      <c r="C404" s="21">
        <f t="shared" si="49"/>
        <v>0</v>
      </c>
      <c r="D404" s="21">
        <f t="shared" si="50"/>
        <v>12779215.500837719</v>
      </c>
      <c r="E404" s="48">
        <f t="shared" si="52"/>
        <v>-0.11181171265611956</v>
      </c>
    </row>
    <row r="405" spans="1:5">
      <c r="A405">
        <f t="shared" si="46"/>
        <v>98.25</v>
      </c>
      <c r="B405" s="21">
        <f t="shared" si="51"/>
        <v>27031141165.093246</v>
      </c>
      <c r="C405" s="21">
        <f t="shared" si="49"/>
        <v>0</v>
      </c>
      <c r="D405" s="21">
        <f t="shared" si="50"/>
        <v>12779215.500837719</v>
      </c>
      <c r="E405" s="48">
        <f t="shared" si="52"/>
        <v>-0.1146515383229727</v>
      </c>
    </row>
    <row r="406" spans="1:5">
      <c r="A406">
        <f t="shared" si="46"/>
        <v>98.5</v>
      </c>
      <c r="B406" s="21">
        <f t="shared" si="51"/>
        <v>27005582734.091568</v>
      </c>
      <c r="C406" s="21">
        <f t="shared" si="49"/>
        <v>0</v>
      </c>
      <c r="D406" s="21">
        <f t="shared" si="50"/>
        <v>12779215.500837719</v>
      </c>
      <c r="E406" s="48">
        <f t="shared" si="52"/>
        <v>-0.11749136398982585</v>
      </c>
    </row>
    <row r="407" spans="1:5">
      <c r="A407">
        <f t="shared" si="46"/>
        <v>98.75</v>
      </c>
      <c r="B407" s="21">
        <f t="shared" si="51"/>
        <v>26980024303.08989</v>
      </c>
      <c r="C407" s="21">
        <f t="shared" si="49"/>
        <v>0</v>
      </c>
      <c r="D407" s="21">
        <f t="shared" si="50"/>
        <v>12779215.500837719</v>
      </c>
      <c r="E407" s="48">
        <f t="shared" si="52"/>
        <v>-0.12033118965667899</v>
      </c>
    </row>
    <row r="408" spans="1:5">
      <c r="A408">
        <f t="shared" si="46"/>
        <v>99</v>
      </c>
      <c r="B408" s="21">
        <f t="shared" si="51"/>
        <v>26954465872.088211</v>
      </c>
      <c r="C408" s="21">
        <f t="shared" si="49"/>
        <v>0</v>
      </c>
      <c r="D408" s="21">
        <f t="shared" si="50"/>
        <v>12779215.500837719</v>
      </c>
      <c r="E408" s="48">
        <f t="shared" si="52"/>
        <v>-0.12317101532353214</v>
      </c>
    </row>
    <row r="409" spans="1:5">
      <c r="A409">
        <f t="shared" si="46"/>
        <v>99.25</v>
      </c>
      <c r="B409" s="21">
        <f t="shared" si="51"/>
        <v>26928907441.086533</v>
      </c>
      <c r="C409" s="21">
        <f t="shared" si="49"/>
        <v>0</v>
      </c>
      <c r="D409" s="21">
        <f t="shared" si="50"/>
        <v>12779215.500837719</v>
      </c>
      <c r="E409" s="48">
        <f t="shared" si="52"/>
        <v>-0.12601084099038529</v>
      </c>
    </row>
    <row r="410" spans="1:5">
      <c r="A410">
        <f t="shared" si="46"/>
        <v>99.5</v>
      </c>
      <c r="B410" s="21">
        <f t="shared" ref="B410:B412" si="53">B409-D409-$D$8</f>
        <v>26903349010.084854</v>
      </c>
      <c r="C410" s="21">
        <f t="shared" si="49"/>
        <v>0</v>
      </c>
      <c r="D410" s="21">
        <f t="shared" si="50"/>
        <v>12779215.500837719</v>
      </c>
      <c r="E410" s="48">
        <f t="shared" ref="E410:E412" si="54">1-(($B$12-B410)/$D$3)</f>
        <v>-0.12885066665723843</v>
      </c>
    </row>
    <row r="411" spans="1:5">
      <c r="A411">
        <f t="shared" si="46"/>
        <v>99.75</v>
      </c>
      <c r="B411" s="21">
        <f t="shared" si="53"/>
        <v>26877790579.083176</v>
      </c>
      <c r="C411" s="21">
        <f t="shared" si="49"/>
        <v>0</v>
      </c>
      <c r="D411" s="21">
        <f t="shared" si="50"/>
        <v>12779215.500837719</v>
      </c>
      <c r="E411" s="48">
        <f t="shared" si="54"/>
        <v>-0.13169049232409158</v>
      </c>
    </row>
    <row r="412" spans="1:5">
      <c r="A412">
        <f t="shared" si="46"/>
        <v>100</v>
      </c>
      <c r="B412" s="21">
        <f t="shared" si="53"/>
        <v>26852232148.081497</v>
      </c>
      <c r="C412" s="21">
        <f t="shared" si="49"/>
        <v>0</v>
      </c>
      <c r="D412" s="21">
        <f t="shared" si="50"/>
        <v>12779215.500837719</v>
      </c>
      <c r="E412" s="48">
        <f t="shared" si="54"/>
        <v>-0.13453031799094473</v>
      </c>
    </row>
  </sheetData>
  <mergeCells count="7">
    <mergeCell ref="A7:C7"/>
    <mergeCell ref="A9:C9"/>
    <mergeCell ref="A1:D1"/>
    <mergeCell ref="A2:C2"/>
    <mergeCell ref="A3:C3"/>
    <mergeCell ref="A4:C4"/>
    <mergeCell ref="A5:C5"/>
  </mergeCells>
  <pageMargins left="0.7" right="0.7" top="0.75" bottom="0.75" header="0.3" footer="0.3"/>
  <pageSetup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90E8D-D498-8E4A-B7E7-E34E146B1C50}">
  <dimension ref="A1:AP126"/>
  <sheetViews>
    <sheetView topLeftCell="A21" workbookViewId="0">
      <selection activeCell="D28" sqref="D28"/>
    </sheetView>
  </sheetViews>
  <sheetFormatPr baseColWidth="10" defaultRowHeight="16"/>
  <cols>
    <col min="1" max="1" width="24.5" customWidth="1"/>
    <col min="2" max="2" width="13.6640625" bestFit="1" customWidth="1"/>
    <col min="3" max="3" width="6.6640625" style="7" customWidth="1"/>
    <col min="4" max="4" width="6.83203125" style="7" bestFit="1" customWidth="1"/>
    <col min="5" max="5" width="7.83203125" style="7" customWidth="1"/>
    <col min="6" max="6" width="6.5" style="7" customWidth="1"/>
    <col min="7" max="7" width="7" style="7" customWidth="1"/>
    <col min="8" max="8" width="8.1640625" style="7" customWidth="1"/>
    <col min="9" max="10" width="6.33203125" style="7" customWidth="1"/>
    <col min="11" max="24" width="7.83203125" style="7" customWidth="1"/>
    <col min="25" max="25" width="6.1640625" style="7" customWidth="1"/>
    <col min="26" max="38" width="5.83203125" customWidth="1"/>
    <col min="39" max="42" width="6.83203125" customWidth="1"/>
  </cols>
  <sheetData>
    <row r="1" spans="1:42">
      <c r="A1" t="s">
        <v>33</v>
      </c>
    </row>
    <row r="2" spans="1:42">
      <c r="A2" t="s">
        <v>34</v>
      </c>
      <c r="B2">
        <v>1</v>
      </c>
      <c r="C2" s="7">
        <f>(1/1000)*$B$2</f>
        <v>1E-3</v>
      </c>
      <c r="G2" s="7" t="s">
        <v>850</v>
      </c>
      <c r="J2" s="7">
        <f>Vehicle!B9</f>
        <v>15.100555406467754</v>
      </c>
      <c r="M2"/>
      <c r="N2" s="7" t="s">
        <v>39</v>
      </c>
      <c r="O2" t="s">
        <v>827</v>
      </c>
      <c r="P2" t="s">
        <v>829</v>
      </c>
      <c r="Q2" t="s">
        <v>830</v>
      </c>
      <c r="R2" t="s">
        <v>857</v>
      </c>
      <c r="S2" t="s">
        <v>48</v>
      </c>
      <c r="T2" s="7" t="s">
        <v>831</v>
      </c>
      <c r="U2" s="7" t="s">
        <v>832</v>
      </c>
      <c r="V2" s="7" t="s">
        <v>833</v>
      </c>
      <c r="W2" s="7" t="s">
        <v>834</v>
      </c>
      <c r="X2" s="7" t="s">
        <v>835</v>
      </c>
      <c r="Y2" s="7" t="s">
        <v>836</v>
      </c>
      <c r="Z2" s="7" t="s">
        <v>837</v>
      </c>
      <c r="AA2" s="7" t="s">
        <v>863</v>
      </c>
    </row>
    <row r="3" spans="1:42">
      <c r="A3" t="s">
        <v>36</v>
      </c>
      <c r="B3">
        <f>MAX('Population Model'!B3:B103)</f>
        <v>291</v>
      </c>
      <c r="C3" s="7">
        <f>B6/B3</f>
        <v>0.82474226804123707</v>
      </c>
      <c r="G3" s="7" t="s">
        <v>50</v>
      </c>
      <c r="J3" s="7">
        <f>B6*(1-LOOKUP($J$5,$M$3:$M$6,$Q$3:$Q$6))</f>
        <v>168</v>
      </c>
      <c r="L3" s="7" t="s">
        <v>844</v>
      </c>
      <c r="M3">
        <v>0</v>
      </c>
      <c r="N3" s="7">
        <v>0</v>
      </c>
      <c r="O3">
        <v>0.5</v>
      </c>
      <c r="P3">
        <v>0.5</v>
      </c>
      <c r="Q3">
        <v>0.1</v>
      </c>
      <c r="R3">
        <v>0.9</v>
      </c>
      <c r="S3">
        <v>0.24</v>
      </c>
      <c r="T3" s="7">
        <v>0.105</v>
      </c>
      <c r="U3" s="7">
        <f>T3*0.99</f>
        <v>0.10395</v>
      </c>
      <c r="V3" s="7">
        <f>U3*0.99</f>
        <v>0.1029105</v>
      </c>
      <c r="W3" s="7">
        <f>V3*0.99</f>
        <v>0.101881395</v>
      </c>
      <c r="X3" s="7">
        <f>W3*0.99</f>
        <v>0.10086258105</v>
      </c>
      <c r="Y3" s="7">
        <f>X3*0.95</f>
        <v>9.5819451997499999E-2</v>
      </c>
      <c r="Z3" s="7">
        <v>0.1</v>
      </c>
      <c r="AA3">
        <v>0.05</v>
      </c>
      <c r="AB3">
        <f>SUM(S3:AA3)</f>
        <v>1.0004239280475</v>
      </c>
    </row>
    <row r="4" spans="1:42">
      <c r="A4" t="s">
        <v>37</v>
      </c>
      <c r="B4">
        <f>MIN('Population Model'!B3:B103)</f>
        <v>194</v>
      </c>
      <c r="G4" t="s">
        <v>825</v>
      </c>
      <c r="J4" s="7" t="str">
        <f>Vehicle!B18</f>
        <v>island</v>
      </c>
      <c r="L4" s="7" t="s">
        <v>848</v>
      </c>
      <c r="M4">
        <v>1</v>
      </c>
      <c r="N4" s="7">
        <v>1</v>
      </c>
      <c r="O4" s="7">
        <v>0</v>
      </c>
      <c r="P4" s="7">
        <v>0.9</v>
      </c>
      <c r="Q4" s="7">
        <v>0.7</v>
      </c>
      <c r="R4" s="7">
        <v>1</v>
      </c>
      <c r="S4" s="7">
        <v>0</v>
      </c>
      <c r="T4" s="7">
        <f>1-AA4</f>
        <v>0.5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A4" s="7">
        <v>0.5</v>
      </c>
      <c r="AB4">
        <f>SUM(S4:AA4)</f>
        <v>1</v>
      </c>
    </row>
    <row r="5" spans="1:42">
      <c r="A5" t="s">
        <v>38</v>
      </c>
      <c r="B5" s="1">
        <f>'Population Model'!B103</f>
        <v>291</v>
      </c>
      <c r="H5"/>
      <c r="J5" s="125">
        <f>LOOKUP(J4,Population!L3:L6,Population!M3:M6)</f>
        <v>2</v>
      </c>
      <c r="L5" s="7" t="s">
        <v>846</v>
      </c>
      <c r="M5" s="7">
        <v>2</v>
      </c>
      <c r="N5" s="7">
        <v>0</v>
      </c>
      <c r="O5" s="7">
        <v>0</v>
      </c>
      <c r="P5" s="7">
        <v>0.5</v>
      </c>
      <c r="Q5" s="7">
        <v>0.3</v>
      </c>
      <c r="R5" s="7">
        <v>0.75</v>
      </c>
      <c r="S5" s="7">
        <v>0</v>
      </c>
      <c r="T5" s="7">
        <v>0.65</v>
      </c>
      <c r="U5" s="7">
        <v>0.1</v>
      </c>
      <c r="V5" s="7">
        <v>0.05</v>
      </c>
      <c r="W5" s="7">
        <v>0</v>
      </c>
      <c r="X5" s="7">
        <v>0</v>
      </c>
      <c r="Y5" s="7">
        <v>0</v>
      </c>
      <c r="Z5" s="7">
        <v>0</v>
      </c>
      <c r="AA5" s="7">
        <v>0.2</v>
      </c>
      <c r="AB5">
        <f>SUM(S5:AA5)</f>
        <v>1</v>
      </c>
      <c r="AN5">
        <f>SUM(A28:Y28)</f>
        <v>0</v>
      </c>
    </row>
    <row r="6" spans="1:42">
      <c r="A6" t="s">
        <v>870</v>
      </c>
      <c r="B6" s="2">
        <f>B7-B8</f>
        <v>240</v>
      </c>
      <c r="C6" s="7" t="s">
        <v>757</v>
      </c>
      <c r="D6" s="7">
        <v>73</v>
      </c>
      <c r="G6" s="7" t="s">
        <v>842</v>
      </c>
      <c r="J6" s="7">
        <f>LOOKUP(J4,Population!L3:L5,Population!N3:N5)</f>
        <v>0</v>
      </c>
      <c r="L6" s="7" t="s">
        <v>858</v>
      </c>
      <c r="M6">
        <v>3</v>
      </c>
      <c r="N6" s="7">
        <v>0</v>
      </c>
      <c r="O6">
        <v>0.9</v>
      </c>
      <c r="P6">
        <v>0.4</v>
      </c>
      <c r="Q6">
        <v>0.25</v>
      </c>
      <c r="R6">
        <v>0.5</v>
      </c>
      <c r="S6">
        <v>0.14000000000000001</v>
      </c>
      <c r="T6" s="7">
        <v>0.1</v>
      </c>
      <c r="U6" s="7">
        <v>0.18</v>
      </c>
      <c r="V6" s="7">
        <v>0.22</v>
      </c>
      <c r="W6" s="7">
        <v>0.04</v>
      </c>
      <c r="X6" s="7">
        <v>0.04</v>
      </c>
      <c r="Y6" s="7">
        <v>0.04</v>
      </c>
      <c r="Z6" s="7">
        <v>0.04</v>
      </c>
      <c r="AA6" s="7">
        <v>0.2</v>
      </c>
      <c r="AB6">
        <f>SUM(S6:AA6)</f>
        <v>1.0000000000000002</v>
      </c>
    </row>
    <row r="7" spans="1:42">
      <c r="A7" t="s">
        <v>869</v>
      </c>
      <c r="B7" s="141">
        <f>Vehicle!B16</f>
        <v>300</v>
      </c>
      <c r="M7"/>
      <c r="O7"/>
      <c r="P7"/>
      <c r="Q7"/>
      <c r="R7"/>
      <c r="S7"/>
      <c r="Z7" s="7"/>
      <c r="AA7" s="7"/>
    </row>
    <row r="8" spans="1:42">
      <c r="A8" t="s">
        <v>863</v>
      </c>
      <c r="B8" s="141">
        <f>B7*K32</f>
        <v>60</v>
      </c>
      <c r="M8"/>
      <c r="O8"/>
      <c r="P8"/>
      <c r="Q8"/>
      <c r="R8"/>
      <c r="S8"/>
      <c r="Z8" s="7"/>
    </row>
    <row r="9" spans="1:42">
      <c r="A9" t="s">
        <v>867</v>
      </c>
      <c r="B9" s="141">
        <f>Vocations!E9</f>
        <v>231</v>
      </c>
      <c r="M9"/>
      <c r="O9"/>
      <c r="P9"/>
      <c r="Q9"/>
      <c r="R9"/>
      <c r="S9"/>
      <c r="Z9" s="7"/>
    </row>
    <row r="10" spans="1:42">
      <c r="A10" t="s">
        <v>239</v>
      </c>
      <c r="B10" s="61">
        <f>AVERAGE('Population Model'!B3:B103)</f>
        <v>266.80198019801981</v>
      </c>
      <c r="F10"/>
      <c r="G10" s="7" t="s">
        <v>829</v>
      </c>
      <c r="J10" s="7">
        <f>LOOKUP($J$5,$M$3:$M$6,$P$3:$P$6)</f>
        <v>0.5</v>
      </c>
      <c r="K10"/>
      <c r="L10"/>
      <c r="M10"/>
      <c r="N10"/>
      <c r="O10"/>
      <c r="P10"/>
      <c r="Q10"/>
      <c r="S10"/>
      <c r="T10"/>
      <c r="U10"/>
    </row>
    <row r="11" spans="1:42">
      <c r="A11" t="s">
        <v>668</v>
      </c>
      <c r="B11" s="25">
        <f>B6*B14*B13</f>
        <v>2.8514203965783622</v>
      </c>
      <c r="F11"/>
      <c r="G11" s="7" t="s">
        <v>828</v>
      </c>
      <c r="J11" s="7">
        <f>1-J10</f>
        <v>0.5</v>
      </c>
      <c r="K11"/>
      <c r="L11"/>
      <c r="M11"/>
      <c r="N11"/>
      <c r="O11"/>
      <c r="P11"/>
      <c r="Q11"/>
      <c r="R11"/>
      <c r="S11"/>
      <c r="T11"/>
      <c r="U11"/>
    </row>
    <row r="12" spans="1:42">
      <c r="A12" t="s">
        <v>872</v>
      </c>
      <c r="B12" s="141">
        <f>O50</f>
        <v>5.0520000000000009E-2</v>
      </c>
      <c r="C12" s="7">
        <f>J17*B12</f>
        <v>3.0312000000000006</v>
      </c>
      <c r="F12"/>
      <c r="K12"/>
      <c r="L12"/>
      <c r="M12"/>
      <c r="N12"/>
      <c r="O12"/>
      <c r="P12"/>
      <c r="Q12"/>
      <c r="R12"/>
      <c r="S12"/>
      <c r="T12"/>
      <c r="U12"/>
    </row>
    <row r="13" spans="1:42">
      <c r="A13" t="s">
        <v>819</v>
      </c>
      <c r="B13" s="88">
        <v>1.1157999999999999</v>
      </c>
      <c r="F13"/>
      <c r="G13" s="7" t="s">
        <v>41</v>
      </c>
      <c r="J13" s="7">
        <f>J38+J40+J42+J44+J46</f>
        <v>67.2</v>
      </c>
      <c r="L13" t="s">
        <v>844</v>
      </c>
      <c r="M13" t="s">
        <v>845</v>
      </c>
      <c r="N13"/>
      <c r="O13"/>
      <c r="P13"/>
      <c r="Q13"/>
      <c r="R13"/>
      <c r="S13"/>
      <c r="T13"/>
      <c r="U13"/>
    </row>
    <row r="14" spans="1:42">
      <c r="A14" s="7" t="s">
        <v>667</v>
      </c>
      <c r="B14" s="7">
        <f>1-GEOMEAN(N33:N50)</f>
        <v>1.064789238131969E-2</v>
      </c>
      <c r="C14" s="7">
        <f>1/B14</f>
        <v>93.915299308844155</v>
      </c>
      <c r="D14" s="7">
        <f>POWER(M33*M34*M35*M37*M39*M41*M43*M45*M47*M48,7)*POWER(M49,3.38)</f>
        <v>0.70562632665243741</v>
      </c>
      <c r="F14"/>
      <c r="G14" s="7" t="s">
        <v>43</v>
      </c>
      <c r="J14" s="7">
        <f>J37+J39+J41+J43+J45</f>
        <v>67.2</v>
      </c>
      <c r="L14" t="s">
        <v>848</v>
      </c>
      <c r="M14" t="s">
        <v>849</v>
      </c>
      <c r="N14"/>
      <c r="O14"/>
      <c r="P14"/>
      <c r="Q14"/>
      <c r="R14"/>
      <c r="S14"/>
      <c r="T14"/>
      <c r="U14"/>
    </row>
    <row r="15" spans="1:42">
      <c r="A15" s="7" t="s">
        <v>75</v>
      </c>
      <c r="B15" s="7">
        <f>1-B16</f>
        <v>0.85714285714285721</v>
      </c>
      <c r="F15"/>
      <c r="G15" s="7" t="s">
        <v>73</v>
      </c>
      <c r="J15" s="7">
        <f>SUM(J33:J36)</f>
        <v>0</v>
      </c>
      <c r="L15" t="s">
        <v>846</v>
      </c>
      <c r="M15" s="7" t="s">
        <v>847</v>
      </c>
      <c r="N15"/>
      <c r="O15"/>
      <c r="P15"/>
      <c r="Q15"/>
      <c r="R15"/>
      <c r="S15"/>
      <c r="T15"/>
      <c r="U15"/>
      <c r="AL15" s="19"/>
      <c r="AM15" s="19"/>
      <c r="AN15" s="19"/>
      <c r="AO15" s="19"/>
      <c r="AP15" s="19"/>
    </row>
    <row r="16" spans="1:42">
      <c r="A16" s="7" t="s">
        <v>76</v>
      </c>
      <c r="B16" s="7">
        <f>$B$2/7</f>
        <v>0.14285714285714285</v>
      </c>
      <c r="F16"/>
      <c r="G16" s="7" t="s">
        <v>801</v>
      </c>
      <c r="H16"/>
      <c r="I16"/>
      <c r="J16">
        <f>MIN(J13,J14)*LOOKUP($J$5,$M$3:$M$6,$O$3:$O$6)</f>
        <v>0</v>
      </c>
      <c r="L16" t="s">
        <v>858</v>
      </c>
      <c r="M16" t="s">
        <v>859</v>
      </c>
      <c r="N16"/>
      <c r="O16"/>
      <c r="P16"/>
      <c r="Q16"/>
      <c r="R16"/>
      <c r="S16"/>
      <c r="T16"/>
      <c r="U16"/>
      <c r="AL16" s="19"/>
      <c r="AM16" s="19"/>
      <c r="AN16" s="19"/>
      <c r="AO16" s="19"/>
      <c r="AP16" s="19"/>
    </row>
    <row r="17" spans="1:42" ht="17" thickBot="1">
      <c r="A17" s="7" t="s">
        <v>803</v>
      </c>
      <c r="B17" s="7">
        <v>0.25</v>
      </c>
      <c r="F17"/>
      <c r="G17" s="7" t="s">
        <v>864</v>
      </c>
      <c r="H17"/>
      <c r="I17"/>
      <c r="J17">
        <f>B7*K32</f>
        <v>60</v>
      </c>
      <c r="K17"/>
      <c r="L17"/>
      <c r="M17"/>
      <c r="N17"/>
      <c r="O17"/>
      <c r="P17"/>
      <c r="Q17"/>
      <c r="R17"/>
      <c r="S17"/>
      <c r="T17"/>
      <c r="U17"/>
      <c r="AL17" s="19"/>
      <c r="AM17" s="19"/>
      <c r="AN17" s="19"/>
      <c r="AO17" s="19"/>
      <c r="AP17" s="19"/>
    </row>
    <row r="18" spans="1:42">
      <c r="A18" s="7" t="s">
        <v>804</v>
      </c>
      <c r="B18" s="7">
        <f>0.3/50</f>
        <v>6.0000000000000001E-3</v>
      </c>
      <c r="F18"/>
      <c r="G18" s="126" t="s">
        <v>154</v>
      </c>
      <c r="H18" s="127" t="s">
        <v>808</v>
      </c>
      <c r="I18" s="128" t="s">
        <v>840</v>
      </c>
      <c r="J18" s="128" t="s">
        <v>841</v>
      </c>
      <c r="K18" s="129" t="s">
        <v>36</v>
      </c>
      <c r="L18" s="130" t="s">
        <v>38</v>
      </c>
      <c r="M18"/>
      <c r="N18"/>
      <c r="O18"/>
      <c r="P18"/>
      <c r="Q18"/>
      <c r="R18"/>
      <c r="S18"/>
      <c r="T18"/>
      <c r="U18"/>
      <c r="AL18" s="19"/>
      <c r="AM18" s="19"/>
      <c r="AN18" s="19"/>
      <c r="AO18" s="19"/>
      <c r="AP18" s="19"/>
    </row>
    <row r="19" spans="1:42">
      <c r="A19" s="7" t="s">
        <v>856</v>
      </c>
      <c r="B19" s="7">
        <f>LOOKUP($J$5,$M$3:$M$6,$Q$3:$Q$6)</f>
        <v>0.3</v>
      </c>
      <c r="F19"/>
      <c r="G19" s="131" t="s">
        <v>13</v>
      </c>
      <c r="H19" s="132">
        <v>0</v>
      </c>
      <c r="I19" s="133">
        <f>Vehicle!B9+1</f>
        <v>16.100555406467755</v>
      </c>
      <c r="J19" s="133">
        <f>I19+5+Vehicle!B9</f>
        <v>36.201110812935511</v>
      </c>
      <c r="K19" s="134">
        <v>34</v>
      </c>
      <c r="L19" s="135">
        <v>100</v>
      </c>
      <c r="M19"/>
      <c r="N19"/>
      <c r="O19"/>
      <c r="P19"/>
      <c r="Q19"/>
      <c r="R19"/>
      <c r="S19"/>
      <c r="T19"/>
      <c r="U19"/>
      <c r="AL19" s="19"/>
      <c r="AM19" s="19"/>
      <c r="AN19" s="19"/>
      <c r="AO19" s="19"/>
      <c r="AP19" s="19"/>
    </row>
    <row r="20" spans="1:42">
      <c r="A20" s="7" t="s">
        <v>42</v>
      </c>
      <c r="B20" s="7">
        <f>J11</f>
        <v>0.5</v>
      </c>
      <c r="F20"/>
      <c r="G20" s="131" t="s">
        <v>839</v>
      </c>
      <c r="H20" s="136">
        <f>LOOKUP(H19,'Population Model'!$A$3:$A$100,'Population Model'!$B$3:$B$100)</f>
        <v>194</v>
      </c>
      <c r="I20" s="136">
        <f>LOOKUP(I19,'Population Model'!$A$3:$A$100,'Population Model'!$B$3:$B$100)</f>
        <v>235</v>
      </c>
      <c r="J20" s="136">
        <f>LOOKUP(J19,'Population Model'!$A$3:$A$100,'Population Model'!$B$3:$B$100)</f>
        <v>272</v>
      </c>
      <c r="K20" s="133">
        <f>MAX('Population Model'!B:B)</f>
        <v>293</v>
      </c>
      <c r="L20" s="137">
        <f>LOOKUP(L19,'Population Model'!$A$3:$A$100,'Population Model'!$B$3:$B$100)</f>
        <v>290</v>
      </c>
      <c r="M20"/>
      <c r="N20"/>
      <c r="O20"/>
      <c r="P20"/>
      <c r="Q20"/>
      <c r="R20"/>
      <c r="S20"/>
      <c r="T20"/>
      <c r="U20"/>
    </row>
    <row r="21" spans="1:42" ht="17" thickBot="1">
      <c r="A21" s="7" t="s">
        <v>739</v>
      </c>
      <c r="C21" s="15">
        <f>(MAX('Population Model'!AC:AC)+MAX('Population Model'!AD:AD))/7</f>
        <v>3.410780707237131</v>
      </c>
      <c r="D21" s="7">
        <f>(MIN('Population Model'!AC:AC)+MIN('Population Model'!AD:AD))/7</f>
        <v>0</v>
      </c>
      <c r="E21"/>
      <c r="F21"/>
      <c r="G21" s="138" t="s">
        <v>838</v>
      </c>
      <c r="H21" s="139">
        <f>LOOKUP(H19,'Population Model'!$A$3:$A$100,'Population Model'!$C$3:$C$100)</f>
        <v>194</v>
      </c>
      <c r="I21" s="139">
        <f>LOOKUP(I19,'Population Model'!$A$3:$A$100,'Population Model'!$C$3:$C$100)</f>
        <v>177</v>
      </c>
      <c r="J21" s="139">
        <f>LOOKUP(J19,'Population Model'!$A$3:$A$100,'Population Model'!$C$3:$C$100)</f>
        <v>141</v>
      </c>
      <c r="K21" s="139">
        <f>LOOKUP(K19,'Population Model'!$A$3:$A$100,'Population Model'!$C$3:$C$100)</f>
        <v>144</v>
      </c>
      <c r="L21" s="140">
        <f>LOOKUP(L19,'Population Model'!$A$3:$A$100,'Population Model'!$C$3:$C$100)</f>
        <v>151</v>
      </c>
      <c r="M21"/>
      <c r="N21"/>
      <c r="O21"/>
      <c r="P21"/>
      <c r="Q21"/>
      <c r="R21"/>
      <c r="S21"/>
      <c r="T21"/>
      <c r="U21"/>
      <c r="V21"/>
      <c r="W21"/>
      <c r="X21"/>
      <c r="Y21"/>
    </row>
    <row r="22" spans="1:42">
      <c r="A22" s="7" t="s">
        <v>766</v>
      </c>
      <c r="E22"/>
      <c r="F22"/>
      <c r="G22"/>
      <c r="H22">
        <f>H21/H20</f>
        <v>1</v>
      </c>
      <c r="I22">
        <f t="shared" ref="I22:L22" si="0">I21/I20</f>
        <v>0.7531914893617021</v>
      </c>
      <c r="J22">
        <f t="shared" si="0"/>
        <v>0.51838235294117652</v>
      </c>
      <c r="K22">
        <f t="shared" si="0"/>
        <v>0.49146757679180886</v>
      </c>
      <c r="L22">
        <f t="shared" si="0"/>
        <v>0.52068965517241383</v>
      </c>
      <c r="M22"/>
      <c r="N22"/>
      <c r="O22"/>
      <c r="P22"/>
      <c r="Q22"/>
      <c r="R22"/>
      <c r="S22"/>
      <c r="T22"/>
      <c r="U22"/>
      <c r="V22"/>
      <c r="W22"/>
      <c r="X22"/>
      <c r="Y22"/>
    </row>
    <row r="23" spans="1:42">
      <c r="A23" s="7"/>
      <c r="B23" t="s">
        <v>799</v>
      </c>
      <c r="C23" s="69">
        <f>(C37+C39+C41+C43+C45+C47)</f>
        <v>136.27134092111106</v>
      </c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</row>
    <row r="24" spans="1:42" ht="17" thickBot="1">
      <c r="A24" s="7"/>
      <c r="B24" t="s">
        <v>798</v>
      </c>
      <c r="C24" s="69">
        <f>(C38+C40+C42+C44)</f>
        <v>99.021316732653645</v>
      </c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</row>
    <row r="25" spans="1:42">
      <c r="A25" s="32" t="s">
        <v>731</v>
      </c>
      <c r="B25" s="86"/>
      <c r="C25" s="86"/>
      <c r="E25" s="86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 s="86"/>
      <c r="W25" s="1"/>
      <c r="X25" s="1"/>
      <c r="Y25"/>
    </row>
    <row r="26" spans="1:42">
      <c r="A26" s="96" t="s">
        <v>625</v>
      </c>
      <c r="C26" s="96">
        <f>MAX('Population Model'!P:P)</f>
        <v>220.4</v>
      </c>
      <c r="D26" s="96">
        <f>CEILING(AVERAGE('Population Model'!P:P),1)</f>
        <v>136</v>
      </c>
      <c r="E26" s="7">
        <f>LOOKUP(C26,'Population Model'!A:A,'Population Model'!P:P)</f>
        <v>150.06523863813226</v>
      </c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</row>
    <row r="27" spans="1:42" ht="17" thickBot="1">
      <c r="A27" s="97" t="s">
        <v>626</v>
      </c>
      <c r="B27" s="88"/>
      <c r="C27" s="98">
        <f>CEILING(MAX('Population Model'!Q:Q),1)</f>
        <v>61</v>
      </c>
      <c r="D27" s="88">
        <f>CEILING(AVERAGE('Population Model'!Q:Q),1)</f>
        <v>43</v>
      </c>
      <c r="E27" s="88"/>
      <c r="F27"/>
      <c r="G27"/>
      <c r="H27"/>
      <c r="I27"/>
      <c r="J27">
        <f>SUM(J33:J50)</f>
        <v>134.4</v>
      </c>
      <c r="K27">
        <f>SUM(K37:K47)</f>
        <v>0.80000000000000016</v>
      </c>
      <c r="L27"/>
      <c r="M27"/>
      <c r="N27"/>
      <c r="O27"/>
      <c r="P27"/>
      <c r="Q27"/>
      <c r="R27"/>
      <c r="S27"/>
      <c r="T27"/>
      <c r="U27"/>
      <c r="V27" s="88"/>
      <c r="W27" s="88"/>
      <c r="X27" s="88"/>
      <c r="Y27" s="88"/>
    </row>
    <row r="28" spans="1:42">
      <c r="A28" s="96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W28" s="1"/>
      <c r="X28" s="1"/>
      <c r="Y28" s="1"/>
    </row>
    <row r="29" spans="1:42"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</row>
    <row r="30" spans="1:42">
      <c r="C30" t="s">
        <v>774</v>
      </c>
      <c r="D30" t="s">
        <v>37</v>
      </c>
      <c r="E30" t="s">
        <v>775</v>
      </c>
      <c r="H30" s="7" t="s">
        <v>776</v>
      </c>
      <c r="I30" s="7" t="s">
        <v>777</v>
      </c>
      <c r="J30" s="7" t="s">
        <v>808</v>
      </c>
      <c r="K30" s="7" t="s">
        <v>74</v>
      </c>
      <c r="L30" s="7" t="s">
        <v>826</v>
      </c>
      <c r="M30" t="s">
        <v>667</v>
      </c>
      <c r="N30"/>
      <c r="O30"/>
      <c r="Q30" s="161" t="s">
        <v>771</v>
      </c>
      <c r="R30" s="161"/>
      <c r="S30" s="161"/>
      <c r="T30"/>
    </row>
    <row r="31" spans="1:42">
      <c r="A31" t="s">
        <v>767</v>
      </c>
      <c r="C31"/>
      <c r="D31"/>
      <c r="E31"/>
      <c r="F31" t="s">
        <v>626</v>
      </c>
      <c r="G31" t="s">
        <v>625</v>
      </c>
      <c r="H31"/>
      <c r="I31"/>
      <c r="J31"/>
      <c r="K31"/>
      <c r="L31"/>
      <c r="P31"/>
      <c r="Q31"/>
      <c r="R31"/>
      <c r="S31"/>
      <c r="T31"/>
    </row>
    <row r="32" spans="1:42">
      <c r="A32" t="s">
        <v>865</v>
      </c>
      <c r="C32">
        <f>MAX('Population Model'!AS:AS)</f>
        <v>60</v>
      </c>
      <c r="D32">
        <f>MIN('Population Model'!AS:AS)</f>
        <v>60</v>
      </c>
      <c r="E32">
        <f>AVERAGE('Population Model'!AS:AS)</f>
        <v>60</v>
      </c>
      <c r="F32"/>
      <c r="G32"/>
      <c r="H32">
        <v>0</v>
      </c>
      <c r="I32">
        <v>1</v>
      </c>
      <c r="J32"/>
      <c r="K32">
        <f>LOOKUP($J$5,$M$3:$M$6,$AA$3:$AA$6)</f>
        <v>0.2</v>
      </c>
      <c r="L32"/>
      <c r="P32"/>
      <c r="Q32"/>
      <c r="R32"/>
      <c r="S32"/>
      <c r="T32"/>
    </row>
    <row r="33" spans="1:27">
      <c r="A33" s="9">
        <v>0</v>
      </c>
      <c r="C33">
        <f>MAX('Population Model'!AA4:AA103)</f>
        <v>19.903350608925471</v>
      </c>
      <c r="D33">
        <f>MIN('Population Model'!AA4:AA103)</f>
        <v>2.8514203965783622</v>
      </c>
      <c r="E33" s="7">
        <f>AVERAGE('Population Model'!AA2:AA103)</f>
        <v>18.345943593012759</v>
      </c>
      <c r="F33">
        <f>C33*H33</f>
        <v>0</v>
      </c>
      <c r="G33">
        <f>C33*I33</f>
        <v>0</v>
      </c>
      <c r="H33"/>
      <c r="I33"/>
      <c r="J33">
        <f>$J$3*1/3*K33</f>
        <v>0</v>
      </c>
      <c r="K33">
        <f>LOOKUP($J$5,$M$3:$M$6,$S$3:$S$6)</f>
        <v>0</v>
      </c>
      <c r="L33">
        <v>40.6</v>
      </c>
      <c r="M33">
        <f>((100000-L33)/100000)</f>
        <v>0.99959399999999998</v>
      </c>
      <c r="N33">
        <f>M33</f>
        <v>0.99959399999999998</v>
      </c>
      <c r="O33">
        <f>1-M33</f>
        <v>4.0600000000001746E-4</v>
      </c>
      <c r="P33" s="7" t="s">
        <v>39</v>
      </c>
      <c r="Q33" t="s">
        <v>773</v>
      </c>
      <c r="R33" t="s">
        <v>772</v>
      </c>
      <c r="S33"/>
      <c r="T33"/>
      <c r="U33"/>
      <c r="V33"/>
      <c r="Z33" s="7"/>
      <c r="AA33" s="7"/>
    </row>
    <row r="34" spans="1:27">
      <c r="A34" s="10">
        <f>A33+7</f>
        <v>7</v>
      </c>
      <c r="C34">
        <f>MAX('Population Model'!AB4:AB103)</f>
        <v>19.868382477745929</v>
      </c>
      <c r="D34" s="7">
        <f>MIN('Population Model'!AB4:AB103)</f>
        <v>0</v>
      </c>
      <c r="E34" s="7">
        <f>AVERAGE('Population Model'!AB2:AB103)</f>
        <v>16.952092732384997</v>
      </c>
      <c r="F34">
        <f t="shared" ref="F34:F50" si="1">C34*H34</f>
        <v>0</v>
      </c>
      <c r="G34">
        <f t="shared" ref="G34:G50" si="2">C34*I34</f>
        <v>0</v>
      </c>
      <c r="H34"/>
      <c r="I34"/>
      <c r="J34">
        <f t="shared" ref="J34:J50" si="3">$J$3*1/3*K34</f>
        <v>0</v>
      </c>
      <c r="K34">
        <f>LOOKUP($J$5,$M$3:$M$6,$S$3:$S$6)</f>
        <v>0</v>
      </c>
      <c r="L34">
        <v>22.5</v>
      </c>
      <c r="M34">
        <f t="shared" ref="M34:M51" si="4">((100000-L34)/100000)</f>
        <v>0.99977499999999997</v>
      </c>
      <c r="N34">
        <f t="shared" ref="N34:N51" si="5">M34</f>
        <v>0.99977499999999997</v>
      </c>
      <c r="O34">
        <f t="shared" ref="O34:O50" si="6">1-M34</f>
        <v>2.2500000000003073E-4</v>
      </c>
      <c r="P34"/>
      <c r="Q34"/>
      <c r="R34"/>
      <c r="S34"/>
      <c r="T34"/>
      <c r="U34"/>
      <c r="V34"/>
      <c r="Z34" s="7"/>
      <c r="AA34" s="7"/>
    </row>
    <row r="35" spans="1:27">
      <c r="A35" s="115">
        <f>A34+7</f>
        <v>14</v>
      </c>
      <c r="B35" s="115" t="s">
        <v>768</v>
      </c>
      <c r="C35" s="115">
        <f>MAX('Population Model'!AC4:AC103)</f>
        <v>9.8752266254242649</v>
      </c>
      <c r="D35">
        <f>MIN('Population Model'!AC2:AC103)</f>
        <v>0</v>
      </c>
      <c r="E35">
        <f>AVERAGE('Population Model'!AC2:AC103)</f>
        <v>7.7520985479049012</v>
      </c>
      <c r="F35">
        <f>C35*H35</f>
        <v>0.98752266254242649</v>
      </c>
      <c r="G35">
        <f t="shared" si="2"/>
        <v>3.950090650169706</v>
      </c>
      <c r="H35">
        <v>0.1</v>
      </c>
      <c r="I35">
        <v>0.4</v>
      </c>
      <c r="J35">
        <f t="shared" si="3"/>
        <v>0</v>
      </c>
      <c r="K35">
        <f>LOOKUP($J$5,$M$3:$M$6,$S$3:$S$6)*0.5</f>
        <v>0</v>
      </c>
      <c r="L35">
        <v>95.3</v>
      </c>
      <c r="M35">
        <f t="shared" si="4"/>
        <v>0.99904700000000002</v>
      </c>
      <c r="N35">
        <f t="shared" si="5"/>
        <v>0.99904700000000002</v>
      </c>
      <c r="O35">
        <f t="shared" si="6"/>
        <v>9.5299999999998164E-4</v>
      </c>
      <c r="P35"/>
      <c r="Q35"/>
      <c r="R35"/>
      <c r="S35"/>
      <c r="T35"/>
      <c r="U35"/>
      <c r="V35"/>
      <c r="Z35" s="7"/>
      <c r="AA35" s="7"/>
    </row>
    <row r="36" spans="1:27">
      <c r="B36" t="s">
        <v>769</v>
      </c>
      <c r="C36" s="59">
        <f>MAX('Population Model'!AD4:AD103)</f>
        <v>9.8752266254242649</v>
      </c>
      <c r="D36" s="115">
        <f>MIN('Population Model'!AD2:AD103)</f>
        <v>0</v>
      </c>
      <c r="E36">
        <f>AVERAGE('Population Model'!AD2:AD103)</f>
        <v>7.7520985479049012</v>
      </c>
      <c r="F36">
        <f t="shared" si="1"/>
        <v>0.98752266254242649</v>
      </c>
      <c r="G36">
        <f t="shared" si="2"/>
        <v>3.950090650169706</v>
      </c>
      <c r="H36">
        <v>0.1</v>
      </c>
      <c r="I36">
        <v>0.4</v>
      </c>
      <c r="J36">
        <f t="shared" si="3"/>
        <v>0</v>
      </c>
      <c r="K36">
        <f>LOOKUP($J$5,$M$3:$M$6,$S$3:$S$6)*0.5</f>
        <v>0</v>
      </c>
      <c r="L36">
        <v>95.3</v>
      </c>
      <c r="M36">
        <f t="shared" si="4"/>
        <v>0.99904700000000002</v>
      </c>
      <c r="N36"/>
      <c r="O36">
        <f t="shared" si="6"/>
        <v>9.5299999999998164E-4</v>
      </c>
      <c r="P36">
        <v>12</v>
      </c>
      <c r="Q36">
        <v>12</v>
      </c>
      <c r="R36">
        <v>12</v>
      </c>
      <c r="S36"/>
      <c r="T36"/>
      <c r="U36"/>
      <c r="V36"/>
      <c r="Z36" s="7"/>
      <c r="AA36" s="7"/>
    </row>
    <row r="37" spans="1:27">
      <c r="A37" s="115">
        <f>A35+7</f>
        <v>21</v>
      </c>
      <c r="B37" s="115" t="s">
        <v>768</v>
      </c>
      <c r="C37" s="115">
        <f>MAX('Population Model'!AE4:AE103)</f>
        <v>40.037864317869605</v>
      </c>
      <c r="D37" s="59">
        <f>MIN('Population Model'!AE2:AE103)</f>
        <v>5.2454124509852296</v>
      </c>
      <c r="E37" s="115">
        <f>AVERAGE('Population Model'!AE2:AE103)</f>
        <v>10.757126285898034</v>
      </c>
      <c r="F37">
        <f t="shared" si="1"/>
        <v>4.0037864317869607</v>
      </c>
      <c r="G37">
        <f t="shared" si="2"/>
        <v>36.034077886082649</v>
      </c>
      <c r="H37">
        <v>0.1</v>
      </c>
      <c r="I37">
        <f>1-H37</f>
        <v>0.9</v>
      </c>
      <c r="J37">
        <f>$J$3*K37</f>
        <v>54.6</v>
      </c>
      <c r="K37">
        <f>LOOKUP($J$5,$M$3:$M$6,$T$3:$T$6)*$J$11</f>
        <v>0.32500000000000001</v>
      </c>
      <c r="L37">
        <v>95.3</v>
      </c>
      <c r="M37">
        <f t="shared" si="4"/>
        <v>0.99904700000000002</v>
      </c>
      <c r="N37">
        <f t="shared" si="5"/>
        <v>0.99904700000000002</v>
      </c>
      <c r="O37">
        <f t="shared" si="6"/>
        <v>9.5299999999998164E-4</v>
      </c>
      <c r="P37"/>
      <c r="Q37"/>
      <c r="R37"/>
      <c r="S37"/>
      <c r="T37"/>
      <c r="U37"/>
      <c r="V37"/>
      <c r="Z37" s="7"/>
      <c r="AA37" s="7"/>
    </row>
    <row r="38" spans="1:27">
      <c r="B38" t="s">
        <v>770</v>
      </c>
      <c r="C38">
        <f>MAX('Population Model'!AF4:AF103)</f>
        <v>40.037864317869605</v>
      </c>
      <c r="D38" s="115">
        <f>MIN('Population Model'!AF2:AF103)</f>
        <v>5.2454124509852296</v>
      </c>
      <c r="E38" s="59">
        <f>AVERAGE('Population Model'!AF2:AF103)</f>
        <v>10.757126285898034</v>
      </c>
      <c r="F38">
        <f t="shared" si="1"/>
        <v>4.0037864317869607</v>
      </c>
      <c r="G38">
        <f t="shared" si="2"/>
        <v>36.034077886082649</v>
      </c>
      <c r="H38">
        <v>0.1</v>
      </c>
      <c r="I38">
        <f>1-H38</f>
        <v>0.9</v>
      </c>
      <c r="J38">
        <f t="shared" ref="J38:J47" si="7">$J$3*K38</f>
        <v>54.6</v>
      </c>
      <c r="K38">
        <f>LOOKUP($J$5,$M$3:$M$6,$T$3:$T$6)*$J$10</f>
        <v>0.32500000000000001</v>
      </c>
      <c r="L38">
        <v>95.3</v>
      </c>
      <c r="M38">
        <f t="shared" si="4"/>
        <v>0.99904700000000002</v>
      </c>
      <c r="N38"/>
      <c r="O38">
        <f t="shared" si="6"/>
        <v>9.5299999999998164E-4</v>
      </c>
      <c r="P38">
        <v>88</v>
      </c>
      <c r="Q38">
        <v>100</v>
      </c>
      <c r="R38">
        <v>12</v>
      </c>
      <c r="S38"/>
      <c r="T38"/>
      <c r="U38"/>
      <c r="V38"/>
      <c r="Z38" s="7"/>
      <c r="AA38" s="7"/>
    </row>
    <row r="39" spans="1:27">
      <c r="A39" s="115">
        <f>A37+7</f>
        <v>28</v>
      </c>
      <c r="B39" s="115" t="s">
        <v>768</v>
      </c>
      <c r="C39" s="115">
        <f>MAX('Population Model'!AG4:AG103)</f>
        <v>24.770731816754559</v>
      </c>
      <c r="D39">
        <f>MIN('Population Model'!AG2:AG103)</f>
        <v>6.5576164170320377</v>
      </c>
      <c r="E39" s="115">
        <f>AVERAGE('Population Model'!AG2:AG103)</f>
        <v>10.537450181329236</v>
      </c>
      <c r="F39">
        <f t="shared" si="1"/>
        <v>4.9541463633509117</v>
      </c>
      <c r="G39">
        <f t="shared" si="2"/>
        <v>19.816585453403647</v>
      </c>
      <c r="H39">
        <v>0.2</v>
      </c>
      <c r="I39">
        <f t="shared" ref="I39:I50" si="8">1-H39</f>
        <v>0.8</v>
      </c>
      <c r="J39">
        <f t="shared" si="7"/>
        <v>8.4</v>
      </c>
      <c r="K39">
        <f>LOOKUP($J$5,$M$3:$M$6,$U$3:$U$6)*$J$11</f>
        <v>0.05</v>
      </c>
      <c r="L39">
        <v>192</v>
      </c>
      <c r="M39">
        <f t="shared" si="4"/>
        <v>0.99807999999999997</v>
      </c>
      <c r="N39">
        <f t="shared" si="5"/>
        <v>0.99807999999999997</v>
      </c>
      <c r="O39">
        <f t="shared" si="6"/>
        <v>1.9200000000000328E-3</v>
      </c>
      <c r="P39"/>
      <c r="Q39"/>
      <c r="R39"/>
      <c r="S39"/>
      <c r="T39"/>
      <c r="U39"/>
      <c r="V39"/>
      <c r="Z39" s="7"/>
      <c r="AA39" s="7"/>
    </row>
    <row r="40" spans="1:27">
      <c r="B40" t="s">
        <v>770</v>
      </c>
      <c r="C40">
        <f>MAX('Population Model'!AH4:AH103)</f>
        <v>24.770731816754559</v>
      </c>
      <c r="D40" s="115">
        <f>MIN('Population Model'!AH2:AH103)</f>
        <v>6.5576164170320377</v>
      </c>
      <c r="E40">
        <f>AVERAGE('Population Model'!AH2:AH103)</f>
        <v>10.537450181329236</v>
      </c>
      <c r="F40">
        <f t="shared" si="1"/>
        <v>4.9541463633509117</v>
      </c>
      <c r="G40">
        <f t="shared" si="2"/>
        <v>19.816585453403647</v>
      </c>
      <c r="H40">
        <v>0.2</v>
      </c>
      <c r="I40">
        <f t="shared" si="8"/>
        <v>0.8</v>
      </c>
      <c r="J40">
        <f t="shared" si="7"/>
        <v>8.4</v>
      </c>
      <c r="K40">
        <f>LOOKUP($J$5,$M$3:$M$6,$U$3:$U$6)*$J$10</f>
        <v>0.05</v>
      </c>
      <c r="L40">
        <v>192</v>
      </c>
      <c r="M40">
        <f t="shared" si="4"/>
        <v>0.99807999999999997</v>
      </c>
      <c r="N40"/>
      <c r="O40">
        <f t="shared" si="6"/>
        <v>1.9200000000000328E-3</v>
      </c>
      <c r="P40">
        <v>88</v>
      </c>
      <c r="Q40">
        <v>100</v>
      </c>
      <c r="R40">
        <v>29</v>
      </c>
      <c r="S40"/>
      <c r="T40"/>
      <c r="U40"/>
      <c r="V40"/>
      <c r="Z40" s="7"/>
      <c r="AA40" s="7"/>
    </row>
    <row r="41" spans="1:27">
      <c r="A41" s="115">
        <f>A39+7</f>
        <v>35</v>
      </c>
      <c r="B41" s="115" t="s">
        <v>768</v>
      </c>
      <c r="C41" s="115">
        <f>MAX('Population Model'!AI4:AI103)</f>
        <v>18.695923066074698</v>
      </c>
      <c r="D41">
        <f>MIN('Population Model'!AI2:AI103)</f>
        <v>4.2</v>
      </c>
      <c r="E41" s="115">
        <f>AVERAGE('Population Model'!AI2:AI103)</f>
        <v>10.035186063335354</v>
      </c>
      <c r="F41">
        <f t="shared" si="1"/>
        <v>9.3479615330373491</v>
      </c>
      <c r="G41">
        <f t="shared" si="2"/>
        <v>9.3479615330373491</v>
      </c>
      <c r="H41">
        <v>0.5</v>
      </c>
      <c r="I41">
        <f t="shared" si="8"/>
        <v>0.5</v>
      </c>
      <c r="J41">
        <f t="shared" si="7"/>
        <v>4.2</v>
      </c>
      <c r="K41">
        <f>LOOKUP($J$5,$M$3:$M$6,$V$3:$V$6)*$J$11</f>
        <v>2.5000000000000001E-2</v>
      </c>
      <c r="L41">
        <v>192</v>
      </c>
      <c r="M41">
        <f t="shared" si="4"/>
        <v>0.99807999999999997</v>
      </c>
      <c r="N41">
        <f t="shared" si="5"/>
        <v>0.99807999999999997</v>
      </c>
      <c r="O41">
        <f t="shared" si="6"/>
        <v>1.9200000000000328E-3</v>
      </c>
      <c r="P41"/>
      <c r="Q41"/>
      <c r="R41"/>
      <c r="S41"/>
      <c r="T41"/>
      <c r="U41"/>
      <c r="V41"/>
      <c r="Z41" s="7"/>
      <c r="AA41" s="7"/>
    </row>
    <row r="42" spans="1:27">
      <c r="B42" t="s">
        <v>770</v>
      </c>
      <c r="C42">
        <f>MAX('Population Model'!AJ4:AJ103)</f>
        <v>18.695923066074698</v>
      </c>
      <c r="D42" s="115">
        <f>MIN('Population Model'!AJ2:AJ103)</f>
        <v>4.2</v>
      </c>
      <c r="E42">
        <f>AVERAGE('Population Model'!AJ2:AJ103)</f>
        <v>10.035186063335354</v>
      </c>
      <c r="F42">
        <f t="shared" si="1"/>
        <v>9.3479615330373491</v>
      </c>
      <c r="G42">
        <f t="shared" si="2"/>
        <v>9.3479615330373491</v>
      </c>
      <c r="H42">
        <v>0.5</v>
      </c>
      <c r="I42">
        <f t="shared" si="8"/>
        <v>0.5</v>
      </c>
      <c r="J42">
        <f t="shared" si="7"/>
        <v>4.2</v>
      </c>
      <c r="K42">
        <f>LOOKUP($J$5,$M$3:$M$6,$V$3:$V$6)*$J$10</f>
        <v>2.5000000000000001E-2</v>
      </c>
      <c r="L42">
        <v>192</v>
      </c>
      <c r="M42">
        <f t="shared" si="4"/>
        <v>0.99807999999999997</v>
      </c>
      <c r="N42"/>
      <c r="O42">
        <f t="shared" si="6"/>
        <v>1.9200000000000328E-3</v>
      </c>
      <c r="P42">
        <v>88</v>
      </c>
      <c r="Q42">
        <v>88</v>
      </c>
      <c r="R42">
        <v>29</v>
      </c>
      <c r="S42"/>
      <c r="T42"/>
      <c r="U42"/>
      <c r="V42"/>
      <c r="Z42" s="7"/>
      <c r="AA42" s="7"/>
    </row>
    <row r="43" spans="1:27">
      <c r="A43" s="115">
        <f>A41+7</f>
        <v>42</v>
      </c>
      <c r="B43" s="115" t="s">
        <v>768</v>
      </c>
      <c r="C43" s="115">
        <f>MAX('Population Model'!AK4:AK103)</f>
        <v>15.516797531954781</v>
      </c>
      <c r="D43">
        <f>MIN('Population Model'!AK2:AK103)</f>
        <v>0</v>
      </c>
      <c r="E43" s="115">
        <f>AVERAGE('Population Model'!AK2:AK103)</f>
        <v>9.2657243292635485</v>
      </c>
      <c r="F43">
        <f t="shared" si="1"/>
        <v>7.7583987659773905</v>
      </c>
      <c r="G43">
        <f t="shared" si="2"/>
        <v>7.7583987659773905</v>
      </c>
      <c r="H43">
        <v>0.5</v>
      </c>
      <c r="I43">
        <f t="shared" si="8"/>
        <v>0.5</v>
      </c>
      <c r="J43">
        <f t="shared" si="7"/>
        <v>0</v>
      </c>
      <c r="K43">
        <f>LOOKUP($J$5,$M$3:$M$6,$W$3:$W$6)*$J$11</f>
        <v>0</v>
      </c>
      <c r="L43">
        <v>192</v>
      </c>
      <c r="M43">
        <f t="shared" si="4"/>
        <v>0.99807999999999997</v>
      </c>
      <c r="N43">
        <f t="shared" si="5"/>
        <v>0.99807999999999997</v>
      </c>
      <c r="O43">
        <f t="shared" si="6"/>
        <v>1.9200000000000328E-3</v>
      </c>
      <c r="P43"/>
      <c r="Q43"/>
      <c r="R43"/>
      <c r="S43"/>
      <c r="T43"/>
      <c r="U43"/>
      <c r="V43"/>
      <c r="Z43" s="7"/>
      <c r="AA43" s="7"/>
    </row>
    <row r="44" spans="1:27">
      <c r="B44" t="s">
        <v>770</v>
      </c>
      <c r="C44">
        <f>MAX('Population Model'!AL4:AL103)</f>
        <v>15.516797531954781</v>
      </c>
      <c r="D44" s="115">
        <f>MIN('Population Model'!AL2:AL103)</f>
        <v>0</v>
      </c>
      <c r="E44">
        <f>AVERAGE('Population Model'!AL2:AL103)</f>
        <v>9.2657243292635485</v>
      </c>
      <c r="F44">
        <f t="shared" si="1"/>
        <v>7.7583987659773905</v>
      </c>
      <c r="G44">
        <f t="shared" si="2"/>
        <v>7.7583987659773905</v>
      </c>
      <c r="H44">
        <v>0.5</v>
      </c>
      <c r="I44">
        <f t="shared" si="8"/>
        <v>0.5</v>
      </c>
      <c r="J44">
        <f t="shared" si="7"/>
        <v>0</v>
      </c>
      <c r="K44">
        <f>LOOKUP($J$5,$M$3:$M$6,$W$3:$W$6)*$J$10</f>
        <v>0</v>
      </c>
      <c r="L44">
        <v>192</v>
      </c>
      <c r="M44">
        <f t="shared" si="4"/>
        <v>0.99807999999999997</v>
      </c>
      <c r="N44"/>
      <c r="O44">
        <f t="shared" si="6"/>
        <v>1.9200000000000328E-3</v>
      </c>
      <c r="P44">
        <v>29</v>
      </c>
      <c r="Q44">
        <v>29</v>
      </c>
      <c r="R44">
        <v>29</v>
      </c>
      <c r="S44"/>
      <c r="T44"/>
      <c r="U44"/>
      <c r="V44"/>
      <c r="Z44" s="7"/>
      <c r="AA44" s="7"/>
    </row>
    <row r="45" spans="1:27">
      <c r="A45" s="115">
        <f>A43+7</f>
        <v>49</v>
      </c>
      <c r="B45" s="115" t="s">
        <v>768</v>
      </c>
      <c r="C45" s="115">
        <f>MAX('Population Model'!AM4:AM103)</f>
        <v>13.536091099441519</v>
      </c>
      <c r="D45">
        <f>MIN('Population Model'!AM2:AM103)</f>
        <v>0</v>
      </c>
      <c r="E45" s="115">
        <f>AVERAGE('Population Model'!AM2:AM103)</f>
        <v>8.5200006351781408</v>
      </c>
      <c r="F45">
        <f t="shared" si="1"/>
        <v>6.7680455497207594</v>
      </c>
      <c r="G45">
        <f t="shared" si="2"/>
        <v>6.7680455497207594</v>
      </c>
      <c r="H45">
        <v>0.5</v>
      </c>
      <c r="I45">
        <f t="shared" si="8"/>
        <v>0.5</v>
      </c>
      <c r="J45">
        <f t="shared" si="7"/>
        <v>0</v>
      </c>
      <c r="K45">
        <f>LOOKUP($J$5,$M$3:$M$6,$X$3:$X$6)*$J$11</f>
        <v>0</v>
      </c>
      <c r="L45">
        <v>192</v>
      </c>
      <c r="M45">
        <f t="shared" si="4"/>
        <v>0.99807999999999997</v>
      </c>
      <c r="N45">
        <f t="shared" si="5"/>
        <v>0.99807999999999997</v>
      </c>
      <c r="O45">
        <f t="shared" si="6"/>
        <v>1.9200000000000328E-3</v>
      </c>
      <c r="P45"/>
      <c r="Q45"/>
      <c r="R45"/>
      <c r="S45"/>
      <c r="T45"/>
      <c r="U45"/>
      <c r="V45"/>
      <c r="Z45" s="7"/>
      <c r="AA45" s="7"/>
    </row>
    <row r="46" spans="1:27">
      <c r="B46" t="s">
        <v>770</v>
      </c>
      <c r="C46">
        <f>MAX('Population Model'!AN4:AN103)</f>
        <v>13.536091099441519</v>
      </c>
      <c r="D46" s="115">
        <f>MIN('Population Model'!AN2:AN103)</f>
        <v>0</v>
      </c>
      <c r="E46">
        <f>AVERAGE('Population Model'!AN2:AN103)</f>
        <v>8.5200006351781408</v>
      </c>
      <c r="F46">
        <f t="shared" si="1"/>
        <v>6.7680455497207594</v>
      </c>
      <c r="G46">
        <f t="shared" si="2"/>
        <v>6.7680455497207594</v>
      </c>
      <c r="H46">
        <v>0.5</v>
      </c>
      <c r="I46">
        <f t="shared" si="8"/>
        <v>0.5</v>
      </c>
      <c r="J46">
        <f t="shared" si="7"/>
        <v>0</v>
      </c>
      <c r="K46">
        <f>LOOKUP($J$5,$M$3:$M$6,$X$3:$X$6)*$J$10</f>
        <v>0</v>
      </c>
      <c r="L46">
        <v>192</v>
      </c>
      <c r="M46">
        <f t="shared" si="4"/>
        <v>0.99807999999999997</v>
      </c>
      <c r="N46"/>
      <c r="O46">
        <f t="shared" si="6"/>
        <v>1.9200000000000328E-3</v>
      </c>
      <c r="P46">
        <v>29</v>
      </c>
      <c r="Q46">
        <v>29</v>
      </c>
      <c r="R46">
        <v>29</v>
      </c>
      <c r="S46"/>
      <c r="T46"/>
      <c r="U46"/>
      <c r="V46"/>
      <c r="Z46" s="7"/>
      <c r="AA46" s="7"/>
    </row>
    <row r="47" spans="1:27">
      <c r="A47" s="6">
        <f>A45+7</f>
        <v>56</v>
      </c>
      <c r="C47">
        <f>MAX('Population Model'!AO4:AO103)</f>
        <v>23.713933089015896</v>
      </c>
      <c r="D47">
        <f>MIN('Population Model'!AO2:AO103)</f>
        <v>0</v>
      </c>
      <c r="E47" s="115">
        <f>AVERAGE('Population Model'!AO2:AO103)</f>
        <v>15.159155723399454</v>
      </c>
      <c r="F47">
        <f t="shared" si="1"/>
        <v>9.485573235606358</v>
      </c>
      <c r="G47">
        <f t="shared" si="2"/>
        <v>14.228359853409538</v>
      </c>
      <c r="H47">
        <v>0.4</v>
      </c>
      <c r="I47">
        <f t="shared" si="8"/>
        <v>0.6</v>
      </c>
      <c r="J47">
        <f t="shared" si="7"/>
        <v>0</v>
      </c>
      <c r="K47">
        <f>LOOKUP($J$5,$M$3:$M$6,$Y$3:$Y$6)*$J$11</f>
        <v>0</v>
      </c>
      <c r="L47">
        <v>725</v>
      </c>
      <c r="M47">
        <f t="shared" si="4"/>
        <v>0.99275000000000002</v>
      </c>
      <c r="N47">
        <f t="shared" si="5"/>
        <v>0.99275000000000002</v>
      </c>
      <c r="O47">
        <f t="shared" si="6"/>
        <v>7.2499999999999787E-3</v>
      </c>
      <c r="P47"/>
      <c r="Q47"/>
      <c r="R47"/>
      <c r="S47"/>
      <c r="T47"/>
      <c r="U47"/>
      <c r="V47"/>
      <c r="Z47" s="7"/>
      <c r="AA47" s="7"/>
    </row>
    <row r="48" spans="1:27">
      <c r="A48" s="6">
        <f>A47+7</f>
        <v>63</v>
      </c>
      <c r="C48">
        <f>MAX('Population Model'!AP4:AP103)</f>
        <v>21.065767256819605</v>
      </c>
      <c r="D48">
        <f>MIN('Population Model'!AQ2:AQ103)</f>
        <v>0</v>
      </c>
      <c r="E48">
        <f>AVERAGE('Population Model'!AP2:AP103)</f>
        <v>13.358801418531643</v>
      </c>
      <c r="F48">
        <f t="shared" si="1"/>
        <v>6.3197301770458809</v>
      </c>
      <c r="G48">
        <f t="shared" si="2"/>
        <v>14.746037079773723</v>
      </c>
      <c r="H48">
        <v>0.3</v>
      </c>
      <c r="I48">
        <f t="shared" si="8"/>
        <v>0.7</v>
      </c>
      <c r="J48">
        <f t="shared" si="3"/>
        <v>0</v>
      </c>
      <c r="K48">
        <f>LOOKUP($J$5,$M$3:$M$6,$Y$3:$Y$6)*$J$10</f>
        <v>0</v>
      </c>
      <c r="L48">
        <v>725</v>
      </c>
      <c r="M48">
        <f t="shared" si="4"/>
        <v>0.99275000000000002</v>
      </c>
      <c r="N48">
        <f t="shared" si="5"/>
        <v>0.99275000000000002</v>
      </c>
      <c r="O48">
        <f t="shared" si="6"/>
        <v>7.2499999999999787E-3</v>
      </c>
      <c r="P48"/>
      <c r="Q48"/>
      <c r="R48"/>
      <c r="S48"/>
      <c r="T48"/>
      <c r="U48"/>
      <c r="V48"/>
      <c r="Z48" s="7"/>
      <c r="AA48" s="7"/>
    </row>
    <row r="49" spans="1:27">
      <c r="A49" s="6">
        <f>A48+7</f>
        <v>70</v>
      </c>
      <c r="C49">
        <f>MAX('Population Model'!AQ4:AQ103)</f>
        <v>15.485068515964883</v>
      </c>
      <c r="D49">
        <f>MIN('Population Model'!AR2:AR103)</f>
        <v>0</v>
      </c>
      <c r="E49">
        <f>AVERAGE('Population Model'!AQ2:AQ103)</f>
        <v>9.5402879724398595</v>
      </c>
      <c r="F49">
        <f t="shared" si="1"/>
        <v>1.5485068515964884</v>
      </c>
      <c r="G49">
        <f t="shared" si="2"/>
        <v>13.936561664368396</v>
      </c>
      <c r="H49">
        <v>0.1</v>
      </c>
      <c r="I49">
        <f t="shared" si="8"/>
        <v>0.9</v>
      </c>
      <c r="J49">
        <f t="shared" si="3"/>
        <v>0</v>
      </c>
      <c r="K49">
        <f>LOOKUP($J$5,$M$3:$M$6,$Z$3:$Z$6)*0.7</f>
        <v>0</v>
      </c>
      <c r="L49">
        <v>5052</v>
      </c>
      <c r="M49">
        <f t="shared" si="4"/>
        <v>0.94947999999999999</v>
      </c>
      <c r="N49">
        <f t="shared" si="5"/>
        <v>0.94947999999999999</v>
      </c>
      <c r="O49">
        <f t="shared" si="6"/>
        <v>5.0520000000000009E-2</v>
      </c>
      <c r="P49"/>
      <c r="Q49"/>
      <c r="R49"/>
      <c r="S49"/>
      <c r="T49"/>
      <c r="U49"/>
      <c r="V49"/>
      <c r="Z49" s="7"/>
      <c r="AA49" s="7"/>
    </row>
    <row r="50" spans="1:27">
      <c r="A50" s="6">
        <v>77</v>
      </c>
      <c r="C50">
        <f>MAX('Population Model'!AR4:AR103)</f>
        <v>32.567871985822968</v>
      </c>
      <c r="D50">
        <f>MIN('Population Model'!AS3:AS103)</f>
        <v>60</v>
      </c>
      <c r="E50">
        <f>AVERAGE('Population Model'!AR2:AR103)</f>
        <v>19.485382779112818</v>
      </c>
      <c r="F50">
        <f t="shared" si="1"/>
        <v>3.2567871985822969</v>
      </c>
      <c r="G50">
        <f t="shared" si="2"/>
        <v>29.311084787240674</v>
      </c>
      <c r="H50">
        <v>0.1</v>
      </c>
      <c r="I50">
        <f t="shared" si="8"/>
        <v>0.9</v>
      </c>
      <c r="J50">
        <f t="shared" si="3"/>
        <v>0</v>
      </c>
      <c r="K50">
        <f>LOOKUP($J$5,$M$3:$M$6,$Z$3:$Z$6)*0.7</f>
        <v>0</v>
      </c>
      <c r="L50">
        <v>5052</v>
      </c>
      <c r="M50">
        <f t="shared" si="4"/>
        <v>0.94947999999999999</v>
      </c>
      <c r="N50">
        <f t="shared" si="5"/>
        <v>0.94947999999999999</v>
      </c>
      <c r="O50">
        <f t="shared" si="6"/>
        <v>5.0520000000000009E-2</v>
      </c>
      <c r="P50"/>
      <c r="Q50"/>
      <c r="R50"/>
      <c r="S50"/>
      <c r="T50"/>
      <c r="U50"/>
      <c r="V50"/>
      <c r="Z50" s="7"/>
      <c r="AA50" s="7"/>
    </row>
    <row r="51" spans="1:27">
      <c r="A51">
        <v>84</v>
      </c>
      <c r="L51">
        <v>5052</v>
      </c>
      <c r="M51">
        <f t="shared" si="4"/>
        <v>0.94947999999999999</v>
      </c>
      <c r="N51">
        <f t="shared" si="5"/>
        <v>0.94947999999999999</v>
      </c>
      <c r="O51">
        <f t="shared" ref="O51" si="9">1-M51</f>
        <v>5.0520000000000009E-2</v>
      </c>
      <c r="X51"/>
      <c r="Y51"/>
    </row>
    <row r="52" spans="1:27">
      <c r="A52">
        <v>91</v>
      </c>
      <c r="L52">
        <v>5052</v>
      </c>
      <c r="M52"/>
      <c r="N52">
        <f t="shared" ref="N52:N54" si="10">POWER(M52,7)</f>
        <v>0</v>
      </c>
      <c r="X52"/>
      <c r="Y52"/>
    </row>
    <row r="53" spans="1:27">
      <c r="A53" s="6">
        <v>100</v>
      </c>
      <c r="L53">
        <v>5052</v>
      </c>
      <c r="M53"/>
      <c r="N53">
        <f t="shared" si="10"/>
        <v>0</v>
      </c>
      <c r="X53"/>
      <c r="Y53"/>
    </row>
    <row r="54" spans="1:27">
      <c r="A54" s="6">
        <v>107</v>
      </c>
      <c r="L54">
        <v>5052</v>
      </c>
      <c r="M54"/>
      <c r="N54">
        <f t="shared" si="10"/>
        <v>0</v>
      </c>
      <c r="X54"/>
      <c r="Y54"/>
    </row>
    <row r="126" spans="22:22">
      <c r="V126" s="12"/>
    </row>
  </sheetData>
  <sortState ref="L13:M16">
    <sortCondition ref="L13:L16"/>
  </sortState>
  <mergeCells count="1">
    <mergeCell ref="Q30:S30"/>
  </mergeCells>
  <pageMargins left="0.7" right="0.7" top="0.75" bottom="0.75" header="0.3" footer="0.3"/>
  <pageSetup orientation="portrait" horizontalDpi="0" verticalDpi="0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A3A4D1-6DA0-1041-9684-297154DE9F89}">
  <dimension ref="A1:AS115"/>
  <sheetViews>
    <sheetView workbookViewId="0">
      <selection activeCell="Q16" sqref="Q16"/>
    </sheetView>
  </sheetViews>
  <sheetFormatPr baseColWidth="10" defaultRowHeight="16"/>
  <cols>
    <col min="1" max="1" width="4.83203125" customWidth="1"/>
    <col min="2" max="2" width="9.83203125" bestFit="1" customWidth="1"/>
    <col min="3" max="3" width="9.83203125" customWidth="1"/>
    <col min="4" max="10" width="5.83203125" customWidth="1"/>
    <col min="11" max="11" width="8.33203125" bestFit="1" customWidth="1"/>
    <col min="12" max="13" width="6.1640625" customWidth="1"/>
    <col min="14" max="15" width="5.83203125" customWidth="1"/>
    <col min="16" max="16" width="7.5" bestFit="1" customWidth="1"/>
    <col min="17" max="18" width="6.6640625" bestFit="1" customWidth="1"/>
    <col min="19" max="19" width="5.83203125" customWidth="1"/>
    <col min="20" max="20" width="8.33203125" bestFit="1" customWidth="1"/>
    <col min="21" max="23" width="5.33203125" customWidth="1"/>
    <col min="24" max="26" width="6.5" customWidth="1"/>
    <col min="27" max="43" width="5.83203125" customWidth="1"/>
    <col min="44" max="44" width="8.33203125" bestFit="1" customWidth="1"/>
  </cols>
  <sheetData>
    <row r="1" spans="1:45">
      <c r="A1" s="8" t="s">
        <v>13</v>
      </c>
      <c r="B1" s="8" t="s">
        <v>154</v>
      </c>
      <c r="C1" s="8" t="s">
        <v>838</v>
      </c>
      <c r="D1" s="8" t="s">
        <v>39</v>
      </c>
      <c r="E1" s="8" t="s">
        <v>843</v>
      </c>
      <c r="F1" s="8" t="s">
        <v>818</v>
      </c>
      <c r="G1" s="8" t="s">
        <v>40</v>
      </c>
      <c r="H1" s="8" t="s">
        <v>46</v>
      </c>
      <c r="I1" s="8" t="s">
        <v>48</v>
      </c>
      <c r="J1" s="8" t="s">
        <v>45</v>
      </c>
      <c r="K1" s="8" t="s">
        <v>32</v>
      </c>
      <c r="L1" s="8" t="s">
        <v>670</v>
      </c>
      <c r="M1" s="8" t="s">
        <v>866</v>
      </c>
      <c r="N1" s="8" t="s">
        <v>266</v>
      </c>
      <c r="O1" s="8" t="s">
        <v>72</v>
      </c>
      <c r="P1" s="8" t="s">
        <v>810</v>
      </c>
      <c r="Q1" s="8"/>
      <c r="R1" s="8"/>
      <c r="S1" s="8" t="s">
        <v>35</v>
      </c>
      <c r="T1" s="8"/>
      <c r="U1" s="8" t="s">
        <v>805</v>
      </c>
      <c r="V1" s="8" t="s">
        <v>807</v>
      </c>
      <c r="W1" s="8" t="s">
        <v>806</v>
      </c>
      <c r="X1" s="8" t="s">
        <v>800</v>
      </c>
      <c r="Y1" s="8" t="s">
        <v>802</v>
      </c>
      <c r="Z1" s="8"/>
      <c r="AA1" s="9">
        <v>0</v>
      </c>
      <c r="AB1" s="10">
        <f>AA1+7</f>
        <v>7</v>
      </c>
      <c r="AC1" s="162">
        <f>AB1+7</f>
        <v>14</v>
      </c>
      <c r="AD1" s="162"/>
      <c r="AE1" s="162">
        <f>AC1+7</f>
        <v>21</v>
      </c>
      <c r="AF1" s="162"/>
      <c r="AG1" s="162">
        <f>AE1+7</f>
        <v>28</v>
      </c>
      <c r="AH1" s="162"/>
      <c r="AI1" s="162">
        <f>AG1+7</f>
        <v>35</v>
      </c>
      <c r="AJ1" s="162"/>
      <c r="AK1" s="162">
        <f>AI1+7</f>
        <v>42</v>
      </c>
      <c r="AL1" s="162"/>
      <c r="AM1" s="162">
        <f>AK1+7</f>
        <v>49</v>
      </c>
      <c r="AN1" s="162"/>
      <c r="AO1" s="6">
        <f>AM1+7</f>
        <v>56</v>
      </c>
      <c r="AP1" s="6">
        <f>AO1+7</f>
        <v>63</v>
      </c>
      <c r="AQ1" s="6">
        <f>AP1+7</f>
        <v>70</v>
      </c>
      <c r="AR1" s="6" t="s">
        <v>47</v>
      </c>
      <c r="AS1" t="s">
        <v>863</v>
      </c>
    </row>
    <row r="2" spans="1:45">
      <c r="A2" s="116"/>
      <c r="B2" s="117">
        <f>FLOOR(SUM(AA2:AS2),1)</f>
        <v>194</v>
      </c>
      <c r="C2" s="117"/>
      <c r="D2" s="117">
        <v>0</v>
      </c>
      <c r="E2" s="117"/>
      <c r="F2" s="117"/>
      <c r="G2" s="116"/>
      <c r="H2" s="118">
        <f>FLOOR(AF2+AH2+AJ2+AL2+AN2,1)</f>
        <v>67</v>
      </c>
      <c r="I2" s="118"/>
      <c r="J2" s="117"/>
      <c r="K2" s="116"/>
      <c r="L2" s="117">
        <f>SUM(G1:G2)/H2</f>
        <v>0</v>
      </c>
      <c r="M2" s="117">
        <v>0</v>
      </c>
      <c r="N2" s="117">
        <f>(AE2+AF2+AG2+AH2+AI2+AJ2)/21*0.5</f>
        <v>3.2</v>
      </c>
      <c r="O2" s="117">
        <f>I2/B2</f>
        <v>0</v>
      </c>
      <c r="P2" s="117" t="s">
        <v>809</v>
      </c>
      <c r="Q2" s="117" t="s">
        <v>811</v>
      </c>
      <c r="R2" s="117"/>
      <c r="S2" s="117">
        <f>SUM(AR2:AR2)/B2</f>
        <v>0</v>
      </c>
      <c r="T2" s="117">
        <f t="shared" ref="T2:T33" si="0">X2/H2</f>
        <v>0</v>
      </c>
      <c r="U2" s="117"/>
      <c r="V2" s="117"/>
      <c r="W2" s="117"/>
      <c r="X2" s="117">
        <f>Population!J16</f>
        <v>0</v>
      </c>
      <c r="Y2" s="118">
        <f>(AE2+AG2+AI2+AK2+AM2)-X2</f>
        <v>67.2</v>
      </c>
      <c r="Z2" s="118">
        <f>(AF2+AH2+AJ2+AL2+AN2)-X2</f>
        <v>67.2</v>
      </c>
      <c r="AA2" s="18">
        <f>Population!J33</f>
        <v>0</v>
      </c>
      <c r="AB2" s="18">
        <f>Population!J34</f>
        <v>0</v>
      </c>
      <c r="AC2" s="14">
        <f>Population!J35</f>
        <v>0</v>
      </c>
      <c r="AD2" s="13">
        <f>Population!J36</f>
        <v>0</v>
      </c>
      <c r="AE2" s="14">
        <f>Population!J37</f>
        <v>54.6</v>
      </c>
      <c r="AF2" s="13">
        <f>Population!J38</f>
        <v>54.6</v>
      </c>
      <c r="AG2" s="14">
        <f>Population!J39</f>
        <v>8.4</v>
      </c>
      <c r="AH2" s="13">
        <f>Population!J40</f>
        <v>8.4</v>
      </c>
      <c r="AI2" s="14">
        <f>Population!J41</f>
        <v>4.2</v>
      </c>
      <c r="AJ2" s="13">
        <f>Population!J42</f>
        <v>4.2</v>
      </c>
      <c r="AK2" s="14">
        <f>Population!J43</f>
        <v>0</v>
      </c>
      <c r="AL2" s="13">
        <f>Population!J44</f>
        <v>0</v>
      </c>
      <c r="AM2" s="14">
        <f>Population!J45</f>
        <v>0</v>
      </c>
      <c r="AN2" s="13">
        <f>Population!J46</f>
        <v>0</v>
      </c>
      <c r="AO2" s="15">
        <f>Population!J47</f>
        <v>0</v>
      </c>
      <c r="AP2" s="15">
        <f>Population!J48</f>
        <v>0</v>
      </c>
      <c r="AQ2" s="5">
        <f>Population!J49</f>
        <v>0</v>
      </c>
      <c r="AR2" s="5">
        <f>Population!J50</f>
        <v>0</v>
      </c>
      <c r="AS2">
        <f>Population!J17</f>
        <v>60</v>
      </c>
    </row>
    <row r="3" spans="1:45">
      <c r="A3">
        <v>0</v>
      </c>
      <c r="B3" s="117">
        <f t="shared" ref="B3:B66" si="1">FLOOR(SUM(AA3:AS3),1)</f>
        <v>194</v>
      </c>
      <c r="C3" s="59">
        <f>FLOOR(B3-I3-G3-SUM(AO3:AR3),1)</f>
        <v>194</v>
      </c>
      <c r="D3" s="12">
        <f>AD2*Population!$P$36*Population!$C$2+AF2*Population!$P$38*Population!$C$2+AH2*Population!$P$40*Population!$C$2+AJ2*Population!$P$42*Population!$C$2+AL2*Population!$P$44*Population!$C$2+AN1*Population!$P$46*Population!$C$2</f>
        <v>5.9136000000000006</v>
      </c>
      <c r="E3" s="12">
        <f>IF(B2&gt;Population!$B$6*Population!$B$19,Population!$B$11,IF(Population!$J$6=1,D3,Population!$B$11*Population!$B$6*0.9/B2))</f>
        <v>2.8514203965783622</v>
      </c>
      <c r="F3" s="12">
        <f>IF(B2&gt;Population!$B$6*0.75,Population!$B$11,E3)</f>
        <v>2.8514203965783622</v>
      </c>
      <c r="G3" s="15">
        <f>IF(Population!$J$6=1,IF(E3&gt;H2,H2,E3),IF(E3&gt;X2,X2,E3))</f>
        <v>0</v>
      </c>
      <c r="H3" s="15">
        <f>FLOOR(AF2+AH2+AJ2+AL2+AN2,1)</f>
        <v>67</v>
      </c>
      <c r="I3" s="15">
        <f>FLOOR(SUM(AA2:AD2),1)</f>
        <v>0</v>
      </c>
      <c r="J3" s="12">
        <f t="shared" ref="J3:J33" si="2">I3/H3</f>
        <v>0</v>
      </c>
      <c r="K3" s="12">
        <f>AA3*Population!$O$33+AB3*Population!$O$34+AC3*Population!$O$35+AD3*Population!$O$36+AE3*Population!$O$37+AF3*Population!$O$38+AG3*Population!$O$39+AH3*Population!$O$40+AI3*Population!$O$41+AJ3*Population!$O$42+AK3*Population!$O$43+AL3*Population!$O$44+AM3*Population!$O$45+AN3*Population!$O$46+AO3*Population!$O$47+AP3*Population!$O$48+AQ3*Population!$O$49+AR3*Population!$O$50</f>
        <v>0.16733035010159963</v>
      </c>
      <c r="L3" s="12">
        <f>G3/H3</f>
        <v>0</v>
      </c>
      <c r="M3" s="12">
        <f>Population!$C$12</f>
        <v>3.0312000000000006</v>
      </c>
      <c r="N3" s="12">
        <f>(AE2+AF2+AG2+AH2+AI2+AJ2)/21*0.5</f>
        <v>3.2</v>
      </c>
      <c r="O3" s="12">
        <f>I3/B3</f>
        <v>0</v>
      </c>
      <c r="P3" s="12">
        <f>B3-I3-Q3*2+AS2</f>
        <v>220.4</v>
      </c>
      <c r="Q3" s="12">
        <f>MAX(X3,I3/2)</f>
        <v>16.8</v>
      </c>
      <c r="R3" s="12">
        <f>SUM(AR2:AR2)</f>
        <v>0</v>
      </c>
      <c r="S3" s="12">
        <f>SUM(AR2:AR2)/B3</f>
        <v>0</v>
      </c>
      <c r="T3" s="12">
        <f t="shared" si="0"/>
        <v>0.25074626865671645</v>
      </c>
      <c r="U3" s="12">
        <f>Population!$B$17*MIN(Y2:Z2)</f>
        <v>16.8</v>
      </c>
      <c r="V3" s="12">
        <f>X2*Population!$B$18</f>
        <v>0</v>
      </c>
      <c r="W3" s="12">
        <f>AN2*T2*Population!$B$16</f>
        <v>0</v>
      </c>
      <c r="X3" s="12">
        <f>X2+U3-W3-V3</f>
        <v>16.8</v>
      </c>
      <c r="Y3" s="14">
        <f>(AE2+AG2+AI2+AK2+AM2)-X3</f>
        <v>50.400000000000006</v>
      </c>
      <c r="Z3" s="13">
        <f>(AF2+AH2+AJ2+AL2+AN2)-X3</f>
        <v>50.400000000000006</v>
      </c>
      <c r="AA3" s="18">
        <f>G3+Population!$B$15*AA2*Population!M$33</f>
        <v>0</v>
      </c>
      <c r="AB3" s="18">
        <f>AA2*Population!$B$16*Population!$M$33+AB2*Population!$B$15*Population!$M$34</f>
        <v>0</v>
      </c>
      <c r="AC3" s="14">
        <f>(AB2*Population!$B$16*0.5*Population!$M$34)+(AC2*Population!$B$15*Population!M$35)</f>
        <v>0</v>
      </c>
      <c r="AD3" s="13">
        <f>(AB2*Population!$B$16*0.5*Population!$M$34)+(AD2*Population!$B$15*Population!M$35)</f>
        <v>0</v>
      </c>
      <c r="AE3" s="14">
        <f>(AC2*Population!$B$16*Population!M$35)+(AE2*Population!$B$15*Population!M$37)</f>
        <v>46.755399600000004</v>
      </c>
      <c r="AF3" s="13">
        <f>(AD2*Population!$B$16*Population!M$35)+(AF2*Population!$B$15*Population!M$37)</f>
        <v>46.755399600000004</v>
      </c>
      <c r="AG3" s="14">
        <f>(AE2*Population!$B$16*Population!M$37)+(AG2*Population!$B$15*Population!M$39)</f>
        <v>14.9787426</v>
      </c>
      <c r="AH3" s="13">
        <f>(AF2*Population!$B$16*Population!M$37)+(AH2*Population!$B$15*Population!M$39)</f>
        <v>14.9787426</v>
      </c>
      <c r="AI3" s="14">
        <f>(AG2*Population!$B$16*Population!M$39)+(AI2*Population!$B$15*Population!M$41)</f>
        <v>4.7907840000000004</v>
      </c>
      <c r="AJ3" s="13">
        <f>(AH2*Population!$B$16*Population!M$39)+(AJ2*Population!$B$15*Population!M$41)</f>
        <v>4.7907840000000004</v>
      </c>
      <c r="AK3" s="14">
        <f>(AI2*Population!$B$16*Population!M$41)+(AK2*Population!$B$15*Population!M$43)</f>
        <v>0.59884799999999994</v>
      </c>
      <c r="AL3" s="13">
        <f>(AJ2*Population!$B$16*Population!M$41)+(AL2*Population!$B$15*Population!M$43)</f>
        <v>0.59884799999999994</v>
      </c>
      <c r="AM3" s="14">
        <f>(AK2*Population!$B$16*Population!M$43)+(AM2*Population!$B$15*Population!M$45)</f>
        <v>0</v>
      </c>
      <c r="AN3" s="13">
        <f>(AL2*Population!$B$16*Population!M$43)+(AN2*Population!$B$15*Population!M$45)</f>
        <v>0</v>
      </c>
      <c r="AO3" s="15">
        <f>(AM2+AN2)*Population!$B$16*Population!$M$45+AO2*Population!$B$15*Population!$M$47</f>
        <v>0</v>
      </c>
      <c r="AP3" s="5">
        <f>AO2*Population!M$47*Population!$B$16+AP2*Population!$B$15*Population!M$48</f>
        <v>0</v>
      </c>
      <c r="AQ3" s="5">
        <f>AP2*Population!M$48*Population!$B$16+AQ2*Population!$B$15*Population!M$49</f>
        <v>0</v>
      </c>
      <c r="AR3" s="5">
        <f>(AQ2*Population!$B$16+AR2)*Population!M$50</f>
        <v>0</v>
      </c>
      <c r="AS3">
        <f>AS2*(1-Population!$B$12)+M3</f>
        <v>60</v>
      </c>
    </row>
    <row r="4" spans="1:45">
      <c r="A4">
        <f>A3+Population!$B$2</f>
        <v>1</v>
      </c>
      <c r="B4" s="117">
        <f t="shared" si="1"/>
        <v>196</v>
      </c>
      <c r="C4" s="59">
        <f t="shared" ref="C4:C18" si="3">FLOOR(B4-I4-G4-SUM(AO4:AR4),1)</f>
        <v>193</v>
      </c>
      <c r="D4" s="12">
        <f>AD3*Population!$P$36*Population!$C$2+AF3*Population!$P$38*Population!$C$2+AH3*Population!$P$40*Population!$C$2+AJ3*Population!$P$42*Population!$C$2+AL3*Population!$P$44*Population!$C$2+AN2*Population!$P$46*Population!$C$2</f>
        <v>5.8715600976000006</v>
      </c>
      <c r="E4" s="12">
        <f>IF(B3&gt;Population!$B$6*Population!$B$19,Population!$B$11,IF(Population!$J$6=1,D4,Population!$B$11*Population!$B$6*0.9/B3))</f>
        <v>2.8514203965783622</v>
      </c>
      <c r="F4" s="12">
        <f>IF(B3&gt;Population!$B$6*0.75,Population!$B$11,E4)</f>
        <v>2.8514203965783622</v>
      </c>
      <c r="G4" s="15">
        <f>IF(Population!$J$6=1,IF(E4&gt;H3,H3,E4),IF(E4&gt;X3,X3,E4))</f>
        <v>2.8514203965783622</v>
      </c>
      <c r="H4" s="15">
        <f t="shared" ref="H4:H7" si="4">FLOOR(AF3+AH3+AJ3+AL3+AN3,1)</f>
        <v>67</v>
      </c>
      <c r="I4" s="15">
        <f t="shared" ref="I4:I7" si="5">FLOOR(SUM(AA3:AD3),1)</f>
        <v>0</v>
      </c>
      <c r="J4" s="12">
        <f t="shared" ref="J4:J7" si="6">I4/H4</f>
        <v>0</v>
      </c>
      <c r="K4" s="12">
        <f>AA4*Population!$O$33+AB4*Population!$O$34+AC4*Population!$O$35+AD4*Population!$O$36+AE4*Population!$O$37+AF4*Population!$O$38+AG4*Population!$O$39+AH4*Population!$O$40+AI4*Population!$O$41+AJ4*Population!$O$42+AK4*Population!$O$43+AL4*Population!$O$44+AM4*Population!$O$45+AN4*Population!$O$46+AO4*Population!$O$47+AP4*Population!$O$48+AQ4*Population!$O$49+AR4*Population!$O$50</f>
        <v>0.18115846574605626</v>
      </c>
      <c r="L4" s="12">
        <f t="shared" ref="L4:L7" si="7">G4/H4</f>
        <v>4.2558513381766604E-2</v>
      </c>
      <c r="M4" s="12">
        <f>Population!$C$12</f>
        <v>3.0312000000000006</v>
      </c>
      <c r="N4" s="12">
        <f t="shared" ref="N4:N7" si="8">(AE3+AF3+AG3+AH3+AI3+AJ3)/21*0.5</f>
        <v>3.1678536285714292</v>
      </c>
      <c r="O4" s="12">
        <f>I4/B4</f>
        <v>0</v>
      </c>
      <c r="P4" s="12">
        <f>B4-I4-Q4*2+AS3</f>
        <v>197.4016</v>
      </c>
      <c r="Q4" s="12">
        <f t="shared" ref="Q4:Q7" si="9">MAX(X4,I4/2)</f>
        <v>29.299200000000003</v>
      </c>
      <c r="R4" s="12">
        <f t="shared" ref="R4:R7" si="10">SUM(AR3:AR3)</f>
        <v>0</v>
      </c>
      <c r="S4" s="12">
        <f>SUM(AR3:AR3)/B4</f>
        <v>0</v>
      </c>
      <c r="T4" s="12">
        <f t="shared" ref="T4:T7" si="11">X4/H4</f>
        <v>0.43730149253731349</v>
      </c>
      <c r="U4" s="12">
        <f>Population!$B$17*MIN(Y3:Z3)</f>
        <v>12.600000000000001</v>
      </c>
      <c r="V4" s="12">
        <f>X3*Population!$B$18</f>
        <v>0.1008</v>
      </c>
      <c r="W4" s="12">
        <f>AN3*T3*Population!$B$16</f>
        <v>0</v>
      </c>
      <c r="X4" s="12">
        <f t="shared" ref="X4:X7" si="12">X3+U4-W4-V4</f>
        <v>29.299200000000003</v>
      </c>
      <c r="Y4" s="14">
        <f t="shared" ref="Y4:Y7" si="13">(AE3+AG3+AI3+AK3+AM3)-X4</f>
        <v>37.824574200000015</v>
      </c>
      <c r="Z4" s="13">
        <f t="shared" ref="Z4:Z7" si="14">(AF3+AH3+AJ3+AL3+AN3)-X4</f>
        <v>37.824574200000015</v>
      </c>
      <c r="AA4" s="18">
        <f>G4+Population!$B$15*AA3*Population!M$33</f>
        <v>2.8514203965783622</v>
      </c>
      <c r="AB4" s="18">
        <f>AA3*Population!$B$16*Population!$M$33+AB3*Population!$B$15*Population!$M$34</f>
        <v>0</v>
      </c>
      <c r="AC4" s="14">
        <f>(AB3*Population!$B$16*0.5*Population!$M$34)+(AC3*Population!$B$15*Population!M$35)</f>
        <v>0</v>
      </c>
      <c r="AD4" s="13">
        <f>(AB3*Population!$B$16*0.5*Population!$M$34)+(AD3*Population!$B$15*Population!M$35)</f>
        <v>0</v>
      </c>
      <c r="AE4" s="14">
        <f>(AC3*Population!$B$16*Population!M$35)+(AE3*Population!$B$15*Population!M$37)</f>
        <v>40.037864317869605</v>
      </c>
      <c r="AF4" s="13">
        <f>(AD3*Population!$B$16*Population!M$35)+(AF3*Population!$B$15*Population!M$37)</f>
        <v>40.037864317869605</v>
      </c>
      <c r="AG4" s="14">
        <f>(AE3*Population!$B$16*Population!M$37)+(AG3*Population!$B$15*Population!M$39)</f>
        <v>19.487248884204174</v>
      </c>
      <c r="AH4" s="13">
        <f>(AF3*Population!$B$16*Population!M$37)+(AH3*Population!$B$15*Population!M$39)</f>
        <v>19.487248884204174</v>
      </c>
      <c r="AI4" s="14">
        <f>(AG3*Population!$B$16*Population!M$39)+(AI3*Population!$B$15*Population!M$41)</f>
        <v>6.2342139403611432</v>
      </c>
      <c r="AJ4" s="13">
        <f>(AH3*Population!$B$16*Population!M$39)+(AJ3*Population!$B$15*Population!M$41)</f>
        <v>6.2342139403611432</v>
      </c>
      <c r="AK4" s="14">
        <f>(AI3*Population!$B$16*Population!M$41)+(AK3*Population!$B$15*Population!M$43)</f>
        <v>1.1953964236799999</v>
      </c>
      <c r="AL4" s="13">
        <f>(AJ3*Population!$B$16*Population!M$41)+(AL3*Population!$B$15*Population!M$43)</f>
        <v>1.1953964236799999</v>
      </c>
      <c r="AM4" s="14">
        <f>(AK3*Population!$B$16*Population!M$43)+(AM3*Population!$B$15*Population!M$45)</f>
        <v>8.5385458834285693E-2</v>
      </c>
      <c r="AN4" s="13">
        <f>(AL3*Population!$B$16*Population!M$43)+(AN3*Population!$B$15*Population!M$45)</f>
        <v>8.5385458834285693E-2</v>
      </c>
      <c r="AO4" s="15">
        <f>(AM3+AN3)*Population!$B$16*Population!$M$45+AO3*Population!$B$15*Population!$M$47</f>
        <v>0</v>
      </c>
      <c r="AP4" s="5">
        <f>AO3*Population!M$47*Population!$B$16+AP3*Population!$B$15*Population!M$48</f>
        <v>0</v>
      </c>
      <c r="AQ4" s="5">
        <f>AP3*Population!M$48*Population!$B$16+AQ3*Population!$B$15*Population!M$49</f>
        <v>0</v>
      </c>
      <c r="AR4" s="5">
        <f>(AQ3*Population!$B$16+AR3)*Population!M$50</f>
        <v>0</v>
      </c>
      <c r="AS4">
        <f>AS3*(1-Population!$B$12)+M4</f>
        <v>60</v>
      </c>
    </row>
    <row r="5" spans="1:45">
      <c r="A5">
        <f>A4+Population!$B$2</f>
        <v>2</v>
      </c>
      <c r="B5" s="117">
        <f t="shared" si="1"/>
        <v>199</v>
      </c>
      <c r="C5" s="59">
        <f t="shared" si="3"/>
        <v>194</v>
      </c>
      <c r="D5" s="12">
        <f>AD4*Population!$P$36*Population!$C$2+AF4*Population!$P$38*Population!$C$2+AH4*Population!$P$40*Population!$C$2+AJ4*Population!$P$42*Population!$C$2+AL4*Population!$P$44*Population!$C$2+AN3*Population!$P$46*Population!$C$2</f>
        <v>5.8214872848209938</v>
      </c>
      <c r="E5" s="12">
        <f>IF(B4&gt;Population!$B$6*Population!$B$19,Population!$B$11,IF(Population!$J$6=1,D5,Population!$B$11*Population!$B$6*0.9/B4))</f>
        <v>2.8514203965783622</v>
      </c>
      <c r="F5" s="12">
        <f>IF(B4&gt;Population!$B$6*0.75,Population!$B$11,E5)</f>
        <v>2.8514203965783622</v>
      </c>
      <c r="G5" s="15">
        <f>IF(Population!$J$6=1,IF(E5&gt;H4,H4,E5),IF(E5&gt;X4,X4,E5))</f>
        <v>2.8514203965783622</v>
      </c>
      <c r="H5" s="15">
        <f t="shared" si="4"/>
        <v>67</v>
      </c>
      <c r="I5" s="15">
        <f t="shared" si="5"/>
        <v>2</v>
      </c>
      <c r="J5" s="12">
        <f t="shared" si="6"/>
        <v>2.9850746268656716E-2</v>
      </c>
      <c r="K5" s="12">
        <f>AA5*Population!$O$33+AB5*Population!$O$34+AC5*Population!$O$35+AD5*Population!$O$36+AE5*Population!$O$37+AF5*Population!$O$38+AG5*Population!$O$39+AH5*Population!$O$40+AI5*Population!$O$41+AJ5*Population!$O$42+AK5*Population!$O$43+AL5*Population!$O$44+AM5*Population!$O$45+AN5*Population!$O$46+AO5*Population!$O$47+AP5*Population!$O$48+AQ5*Population!$O$49+AR5*Population!$O$50</f>
        <v>0.1931512932717831</v>
      </c>
      <c r="L5" s="12">
        <f t="shared" si="7"/>
        <v>4.2558513381766604E-2</v>
      </c>
      <c r="M5" s="12">
        <f>Population!$C$12</f>
        <v>3.0312000000000006</v>
      </c>
      <c r="N5" s="12">
        <f t="shared" si="8"/>
        <v>3.1313965305921392</v>
      </c>
      <c r="O5" s="12">
        <f>I5/B5</f>
        <v>1.0050251256281407E-2</v>
      </c>
      <c r="P5" s="12">
        <f>B5-I5-Q5*2+AS4</f>
        <v>179.8515716395969</v>
      </c>
      <c r="Q5" s="12">
        <f t="shared" si="9"/>
        <v>38.574214180201544</v>
      </c>
      <c r="R5" s="12">
        <f t="shared" si="10"/>
        <v>0</v>
      </c>
      <c r="S5" s="12">
        <f>SUM(AR4:AR4)/B5</f>
        <v>0</v>
      </c>
      <c r="T5" s="12">
        <f t="shared" si="11"/>
        <v>0.57573454000300817</v>
      </c>
      <c r="U5" s="12">
        <f>Population!$B$17*MIN(Y4:Z4)</f>
        <v>9.4561435500000037</v>
      </c>
      <c r="V5" s="12">
        <f>X4*Population!$B$18</f>
        <v>0.17579520000000001</v>
      </c>
      <c r="W5" s="12">
        <f>AN4*T4*Population!$B$16</f>
        <v>5.3341697984594953E-3</v>
      </c>
      <c r="X5" s="12">
        <f t="shared" si="12"/>
        <v>38.574214180201544</v>
      </c>
      <c r="Y5" s="14">
        <f t="shared" si="13"/>
        <v>28.465894844747659</v>
      </c>
      <c r="Z5" s="13">
        <f t="shared" si="14"/>
        <v>28.465894844747659</v>
      </c>
      <c r="AA5" s="18">
        <f>G5+Population!$B$15*AA4*Population!M$33</f>
        <v>5.2945027279189496</v>
      </c>
      <c r="AB5" s="18">
        <f>AA4*Population!$B$16*Population!$M$33+AB4*Population!$B$15*Population!$M$34</f>
        <v>0.40718038855676442</v>
      </c>
      <c r="AC5" s="14">
        <f>(AB4*Population!$B$16*0.5*Population!$M$34)+(AC4*Population!$B$15*Population!M$35)</f>
        <v>0</v>
      </c>
      <c r="AD5" s="13">
        <f>(AB4*Population!$B$16*0.5*Population!$M$34)+(AD4*Population!$B$15*Population!M$35)</f>
        <v>0</v>
      </c>
      <c r="AE5" s="14">
        <f>(AC4*Population!$B$16*Population!M$35)+(AE4*Population!$B$15*Population!M$37)</f>
        <v>34.285464199864016</v>
      </c>
      <c r="AF5" s="13">
        <f>(AD4*Population!$B$16*Population!M$35)+(AF4*Population!$B$15*Population!M$37)</f>
        <v>34.285464199864016</v>
      </c>
      <c r="AG5" s="14">
        <f>(AE4*Population!$B$16*Population!M$37)+(AG4*Population!$B$15*Population!M$39)</f>
        <v>22.385529775893382</v>
      </c>
      <c r="AH5" s="13">
        <f>(AF4*Population!$B$16*Population!M$37)+(AH4*Population!$B$15*Population!M$39)</f>
        <v>22.385529775893382</v>
      </c>
      <c r="AI5" s="14">
        <f>(AG4*Population!$B$16*Population!M$39)+(AI4*Population!$B$15*Population!M$41)</f>
        <v>8.1118998377029143</v>
      </c>
      <c r="AJ5" s="13">
        <f>(AH4*Population!$B$16*Population!M$39)+(AJ4*Population!$B$15*Population!M$41)</f>
        <v>8.1118998377029143</v>
      </c>
      <c r="AK5" s="14">
        <f>(AI4*Population!$B$16*Population!M$41)+(AK4*Population!$B$15*Population!M$43)</f>
        <v>1.9115502606964077</v>
      </c>
      <c r="AL5" s="13">
        <f>(AJ4*Population!$B$16*Population!M$41)+(AL4*Population!$B$15*Population!M$43)</f>
        <v>1.9115502606964077</v>
      </c>
      <c r="AM5" s="14">
        <f>(AK4*Population!$B$16*Population!M$43)+(AM4*Population!$B$15*Population!M$45)</f>
        <v>0.24349005358092535</v>
      </c>
      <c r="AN5" s="13">
        <f>(AL4*Population!$B$16*Population!M$43)+(AN4*Population!$B$15*Population!M$45)</f>
        <v>0.24349005358092535</v>
      </c>
      <c r="AO5" s="15">
        <f>(AM4+AN4)*Population!$B$16*Population!$M$45+AO4*Population!$B$15*Population!$M$47</f>
        <v>2.4349005358092531E-2</v>
      </c>
      <c r="AP5" s="5">
        <f>AO4*Population!M$47*Population!$B$16+AP4*Population!$B$15*Population!M$48</f>
        <v>0</v>
      </c>
      <c r="AQ5" s="5">
        <f>AP4*Population!M$48*Population!$B$16+AQ4*Population!$B$15*Population!M$49</f>
        <v>0</v>
      </c>
      <c r="AR5" s="5">
        <f>(AQ4*Population!$B$16+AR4)*Population!M$50</f>
        <v>0</v>
      </c>
      <c r="AS5">
        <f>AS4*(1-Population!$B$12)+M5</f>
        <v>60</v>
      </c>
    </row>
    <row r="6" spans="1:45">
      <c r="A6">
        <f>A5+Population!$B$2</f>
        <v>3</v>
      </c>
      <c r="B6" s="117">
        <f t="shared" si="1"/>
        <v>202</v>
      </c>
      <c r="C6" s="59">
        <f t="shared" si="3"/>
        <v>194</v>
      </c>
      <c r="D6" s="12">
        <f>AD5*Population!$P$36*Population!$C$2+AF5*Population!$P$38*Population!$C$2+AH5*Population!$P$40*Population!$C$2+AJ5*Population!$P$42*Population!$C$2+AL5*Population!$P$44*Population!$C$2+AN4*Population!$P$46*Population!$C$2</f>
        <v>5.7588057914508974</v>
      </c>
      <c r="E6" s="12">
        <f>IF(B5&gt;Population!$B$6*Population!$B$19,Population!$B$11,IF(Population!$J$6=1,D6,Population!$B$11*Population!$B$6*0.9/B5))</f>
        <v>2.8514203965783622</v>
      </c>
      <c r="F6" s="12">
        <f>IF(B5&gt;Population!$B$6*0.75,Population!$B$11,E6)</f>
        <v>2.8514203965783622</v>
      </c>
      <c r="G6" s="15">
        <f>IF(Population!$J$6=1,IF(E6&gt;H5,H5,E6),IF(E6&gt;X5,X5,E6))</f>
        <v>2.8514203965783622</v>
      </c>
      <c r="H6" s="15">
        <f t="shared" si="4"/>
        <v>66</v>
      </c>
      <c r="I6" s="15">
        <f t="shared" si="5"/>
        <v>5</v>
      </c>
      <c r="J6" s="12">
        <f t="shared" si="6"/>
        <v>7.575757575757576E-2</v>
      </c>
      <c r="K6" s="12">
        <f>AA6*Population!$O$33+AB6*Population!$O$34+AC6*Population!$O$35+AD6*Population!$O$36+AE6*Population!$O$37+AF6*Population!$O$38+AG6*Population!$O$39+AH6*Population!$O$40+AI6*Population!$O$41+AJ6*Population!$O$42+AK6*Population!$O$43+AL6*Population!$O$44+AM6*Population!$O$45+AN6*Population!$O$46+AO6*Population!$O$47+AP6*Population!$O$48+AQ6*Population!$O$49+AR6*Population!$O$50</f>
        <v>0.20374291722990956</v>
      </c>
      <c r="L6" s="12">
        <f t="shared" si="7"/>
        <v>4.32033393420964E-2</v>
      </c>
      <c r="M6" s="12">
        <f>Population!$C$12</f>
        <v>3.0312000000000006</v>
      </c>
      <c r="N6" s="12">
        <f t="shared" si="8"/>
        <v>3.0848997054028717</v>
      </c>
      <c r="O6" s="12">
        <f>I6/B6</f>
        <v>2.4752475247524754E-2</v>
      </c>
      <c r="P6" s="12">
        <f>B6-I6-Q6*2+AS5</f>
        <v>166.12156782566942</v>
      </c>
      <c r="Q6" s="12">
        <f t="shared" si="9"/>
        <v>45.439216087165292</v>
      </c>
      <c r="R6" s="12">
        <f t="shared" si="10"/>
        <v>0</v>
      </c>
      <c r="S6" s="12">
        <f>SUM(AR5:AR5)/B6</f>
        <v>0</v>
      </c>
      <c r="T6" s="12">
        <f t="shared" si="11"/>
        <v>0.68847297101765592</v>
      </c>
      <c r="U6" s="12">
        <f>Population!$B$17*MIN(Y5:Z5)</f>
        <v>7.1164737111869147</v>
      </c>
      <c r="V6" s="12">
        <f>X5*Population!$B$18</f>
        <v>0.23144528508120926</v>
      </c>
      <c r="W6" s="12">
        <f>AN5*T5*Population!$B$16</f>
        <v>2.0026519141960266E-2</v>
      </c>
      <c r="X6" s="12">
        <f t="shared" si="12"/>
        <v>45.439216087165292</v>
      </c>
      <c r="Y6" s="14">
        <f t="shared" si="13"/>
        <v>21.498718040572342</v>
      </c>
      <c r="Z6" s="13">
        <f t="shared" si="14"/>
        <v>21.498718040572342</v>
      </c>
      <c r="AA6" s="18">
        <f>G6+Population!$B$15*AA5*Population!M$33</f>
        <v>7.3877231049881464</v>
      </c>
      <c r="AB6" s="18">
        <f>AA5*Population!$B$16*Population!$M$33+AB5*Population!$B$15*Population!$M$34</f>
        <v>1.1049836853753499</v>
      </c>
      <c r="AC6" s="14">
        <f>(AB5*Population!$B$16*0.5*Population!$M$34)+(AC5*Population!$B$15*Population!M$35)</f>
        <v>2.9077769497809939E-2</v>
      </c>
      <c r="AD6" s="13">
        <f>(AB5*Population!$B$16*0.5*Population!$M$34)+(AD5*Population!$B$15*Population!M$35)</f>
        <v>2.9077769497809939E-2</v>
      </c>
      <c r="AE6" s="14">
        <f>(AC5*Population!$B$16*Population!M$35)+(AE5*Population!$B$15*Population!M$37)</f>
        <v>29.359534416412757</v>
      </c>
      <c r="AF6" s="13">
        <f>(AD5*Population!$B$16*Population!M$35)+(AF5*Population!$B$15*Population!M$37)</f>
        <v>29.359534416412757</v>
      </c>
      <c r="AG6" s="14">
        <f>(AE5*Population!$B$16*Population!M$37)+(AG5*Population!$B$15*Population!M$39)</f>
        <v>24.044012500689078</v>
      </c>
      <c r="AH6" s="13">
        <f>(AF5*Population!$B$16*Population!M$37)+(AH5*Population!$B$15*Population!M$39)</f>
        <v>24.044012500689078</v>
      </c>
      <c r="AI6" s="14">
        <f>(AG5*Population!$B$16*Population!M$39)+(AI5*Population!$B$15*Population!M$41)</f>
        <v>10.131499928401544</v>
      </c>
      <c r="AJ6" s="13">
        <f>(AH5*Population!$B$16*Population!M$39)+(AJ5*Population!$B$15*Population!M$41)</f>
        <v>10.131499928401544</v>
      </c>
      <c r="AK6" s="14">
        <f>(AI5*Population!$B$16*Population!M$41)+(AK5*Population!$B$15*Population!M$43)</f>
        <v>2.7919436421699642</v>
      </c>
      <c r="AL6" s="13">
        <f>(AJ5*Population!$B$16*Population!M$41)+(AL5*Population!$B$15*Population!M$43)</f>
        <v>2.7919436421699642</v>
      </c>
      <c r="AM6" s="14">
        <f>(AK5*Population!$B$16*Population!M$43)+(AM5*Population!$B$15*Population!M$45)</f>
        <v>0.48085934289488141</v>
      </c>
      <c r="AN6" s="13">
        <f>(AL5*Population!$B$16*Population!M$43)+(AN5*Population!$B$15*Population!M$45)</f>
        <v>0.48085934289488141</v>
      </c>
      <c r="AO6" s="15">
        <f>(AM5+AN5)*Population!$B$16*Population!$M$45+AO5*Population!$B$15*Population!$M$47</f>
        <v>9.0154279395939715E-2</v>
      </c>
      <c r="AP6" s="5">
        <f>AO5*Population!M$47*Population!$B$16+AP5*Population!$B$15*Population!M$48</f>
        <v>3.4532107241780513E-3</v>
      </c>
      <c r="AQ6" s="5">
        <f>AP5*Population!M$48*Population!$B$16+AQ5*Population!$B$15*Population!M$49</f>
        <v>0</v>
      </c>
      <c r="AR6" s="5">
        <f>(AQ5*Population!$B$16+AR5)*Population!M$50</f>
        <v>0</v>
      </c>
      <c r="AS6">
        <f>AS5*(1-Population!$B$12)+M6</f>
        <v>60</v>
      </c>
    </row>
    <row r="7" spans="1:45">
      <c r="A7">
        <f>A6+Population!$B$2</f>
        <v>4</v>
      </c>
      <c r="B7" s="117">
        <f t="shared" si="1"/>
        <v>204</v>
      </c>
      <c r="C7" s="59">
        <f t="shared" si="3"/>
        <v>192</v>
      </c>
      <c r="D7" s="12">
        <f>AD6*Population!$P$36*Population!$C$2+AF6*Population!$P$38*Population!$C$2+AH6*Population!$P$40*Population!$C$2+AJ6*Population!$P$42*Population!$C$2+AL6*Population!$P$44*Population!$C$2+AN5*Population!$P$46*Population!$C$2</f>
        <v>5.6794606328150481</v>
      </c>
      <c r="E7" s="12">
        <f>IF(B6&gt;Population!$B$6*Population!$B$19,Population!$B$11,IF(Population!$J$6=1,D7,Population!$B$11*Population!$B$6*0.9/B6))</f>
        <v>2.8514203965783622</v>
      </c>
      <c r="F7" s="12">
        <f>IF(B6&gt;Population!$B$6*0.75,Population!$B$11,E7)</f>
        <v>2.8514203965783622</v>
      </c>
      <c r="G7" s="15">
        <f>IF(Population!$J$6=1,IF(E7&gt;H6,H6,E7),IF(E7&gt;X6,X6,E7))</f>
        <v>2.8514203965783622</v>
      </c>
      <c r="H7" s="15">
        <f t="shared" si="4"/>
        <v>66</v>
      </c>
      <c r="I7" s="15">
        <f t="shared" si="5"/>
        <v>8</v>
      </c>
      <c r="J7" s="12">
        <f t="shared" si="6"/>
        <v>0.12121212121212122</v>
      </c>
      <c r="K7" s="12">
        <f>AA7*Population!$O$33+AB7*Population!$O$34+AC7*Population!$O$35+AD7*Population!$O$36+AE7*Population!$O$37+AF7*Population!$O$38+AG7*Population!$O$39+AH7*Population!$O$40+AI7*Population!$O$41+AJ7*Population!$O$42+AK7*Population!$O$43+AL7*Population!$O$44+AM7*Population!$O$45+AN7*Population!$O$46+AO7*Population!$O$47+AP7*Population!$O$48+AQ7*Population!$O$49+AR7*Population!$O$50</f>
        <v>0.21334481830127466</v>
      </c>
      <c r="L7" s="12">
        <f t="shared" si="7"/>
        <v>4.32033393420964E-2</v>
      </c>
      <c r="M7" s="12">
        <f>Population!$C$12</f>
        <v>3.0312000000000006</v>
      </c>
      <c r="N7" s="12">
        <f t="shared" si="8"/>
        <v>3.0254784212144465</v>
      </c>
      <c r="O7" s="12">
        <f>I7/B7</f>
        <v>3.9215686274509803E-2</v>
      </c>
      <c r="P7" s="12">
        <f>B7-I7-Q7*2+AS6</f>
        <v>155.01206758712766</v>
      </c>
      <c r="Q7" s="12">
        <f t="shared" si="9"/>
        <v>50.493966206436177</v>
      </c>
      <c r="R7" s="12">
        <f t="shared" si="10"/>
        <v>0</v>
      </c>
      <c r="S7" s="12">
        <f>SUM(AR6:AR6)/B7</f>
        <v>0</v>
      </c>
      <c r="T7" s="12">
        <f t="shared" si="11"/>
        <v>0.76506009403691178</v>
      </c>
      <c r="U7" s="12">
        <f>Population!$B$17*MIN(Y6:Z6)</f>
        <v>5.3746795101430855</v>
      </c>
      <c r="V7" s="12">
        <f>X6*Population!$B$18</f>
        <v>0.27263529652299173</v>
      </c>
      <c r="W7" s="12">
        <f>AN6*T6*Population!$B$16</f>
        <v>4.729409434920525E-2</v>
      </c>
      <c r="X7" s="12">
        <f t="shared" si="12"/>
        <v>50.493966206436177</v>
      </c>
      <c r="Y7" s="14">
        <f t="shared" si="13"/>
        <v>16.313883624132053</v>
      </c>
      <c r="Z7" s="13">
        <f t="shared" si="14"/>
        <v>16.313883624132053</v>
      </c>
      <c r="AA7" s="18">
        <f>G7+Population!$B$15*AA6*Population!M$33</f>
        <v>9.1811835589276658</v>
      </c>
      <c r="AB7" s="18">
        <f>AA6*Population!$B$16*Population!$M$33+AB6*Population!$B$15*Population!$M$34</f>
        <v>2.0018762962406234</v>
      </c>
      <c r="AC7" s="14">
        <f>(AB6*Population!$B$16*0.5*Population!$M$34)+(AC6*Population!$B$15*Population!M$35)</f>
        <v>0.10380969747484876</v>
      </c>
      <c r="AD7" s="13">
        <f>(AB6*Population!$B$16*0.5*Population!$M$34)+(AD6*Population!$B$15*Population!M$35)</f>
        <v>0.10380969747484876</v>
      </c>
      <c r="AE7" s="14">
        <f>(AC6*Population!$B$16*Population!M$35)+(AE6*Population!$B$15*Population!M$37)</f>
        <v>25.145482677009568</v>
      </c>
      <c r="AF7" s="13">
        <f>(AD6*Population!$B$16*Population!M$35)+(AF6*Population!$B$15*Population!M$37)</f>
        <v>25.145482677009568</v>
      </c>
      <c r="AG7" s="14">
        <f>(AE6*Population!$B$16*Population!M$37)+(AG6*Population!$B$15*Population!M$39)</f>
        <v>24.75980610860578</v>
      </c>
      <c r="AH7" s="13">
        <f>(AF6*Population!$B$16*Population!M$37)+(AH6*Population!$B$15*Population!M$39)</f>
        <v>24.75980610860578</v>
      </c>
      <c r="AI7" s="14">
        <f>(AG6*Population!$B$16*Population!M$39)+(AI6*Population!$B$15*Population!M$41)</f>
        <v>12.09573324113169</v>
      </c>
      <c r="AJ7" s="13">
        <f>(AH6*Population!$B$16*Population!M$39)+(AJ6*Population!$B$15*Population!M$41)</f>
        <v>12.09573324113169</v>
      </c>
      <c r="AK7" s="14">
        <f>(AI6*Population!$B$16*Population!M$41)+(AK6*Population!$B$15*Population!M$43)</f>
        <v>3.8330780158287139</v>
      </c>
      <c r="AL7" s="13">
        <f>(AJ6*Population!$B$16*Population!M$41)+(AL6*Population!$B$15*Population!M$43)</f>
        <v>3.8330780158287139</v>
      </c>
      <c r="AM7" s="14">
        <f>(AK6*Population!$B$16*Population!M$43)+(AM6*Population!$B$15*Population!M$45)</f>
        <v>0.80945709544516253</v>
      </c>
      <c r="AN7" s="13">
        <f>(AL6*Population!$B$16*Population!M$43)+(AN6*Population!$B$15*Population!M$45)</f>
        <v>0.80945709544516253</v>
      </c>
      <c r="AO7" s="15">
        <f>(AM6+AN6)*Population!$B$16*Population!$M$45+AO6*Population!$B$15*Population!$M$47</f>
        <v>0.21383945016213735</v>
      </c>
      <c r="AP7" s="5">
        <f>AO6*Population!M$47*Population!$B$16+AP6*Population!$B$15*Population!M$48</f>
        <v>1.5724244364126533E-2</v>
      </c>
      <c r="AQ7" s="5">
        <f>AP6*Population!M$48*Population!$B$16+AQ6*Population!$B$15*Population!M$49</f>
        <v>4.8973927806110864E-4</v>
      </c>
      <c r="AR7" s="5">
        <f>(AQ6*Population!$B$16+AR6)*Population!M$50</f>
        <v>0</v>
      </c>
      <c r="AS7">
        <f>AS6*(1-Population!$B$12)+M7</f>
        <v>60</v>
      </c>
    </row>
    <row r="8" spans="1:45">
      <c r="A8">
        <f>A7+Population!$B$2</f>
        <v>5</v>
      </c>
      <c r="B8" s="117">
        <f t="shared" si="1"/>
        <v>207</v>
      </c>
      <c r="C8" s="59">
        <f t="shared" si="3"/>
        <v>189</v>
      </c>
      <c r="D8" s="12">
        <f>AD7*Population!$P$36*Population!$C$2+AF7*Population!$P$38*Population!$C$2+AH7*Population!$P$40*Population!$C$2+AJ7*Population!$P$42*Population!$C$2+AL7*Population!$P$44*Population!$C$2+AN6*Population!$P$46*Population!$C$2</f>
        <v>5.5824398381264224</v>
      </c>
      <c r="E8" s="12">
        <f>IF(B7&gt;Population!$B$6*Population!$B$19,Population!$B$11,IF(Population!$J$6=1,D8,Population!$B$11*Population!$B$6*0.9/B7))</f>
        <v>2.8514203965783622</v>
      </c>
      <c r="F8" s="12">
        <f>IF(B7&gt;Population!$B$6*0.75,Population!$B$11,E8)</f>
        <v>2.8514203965783622</v>
      </c>
      <c r="G8" s="15">
        <f>IF(Population!$J$6=1,IF(E8&gt;H7,H7,E8),IF(E8&gt;X7,X7,E8))</f>
        <v>2.8514203965783622</v>
      </c>
      <c r="H8" s="15">
        <f t="shared" ref="H4:H35" si="15">FLOOR(AF8+AH8+AJ8+AL8+AN8,1)</f>
        <v>66</v>
      </c>
      <c r="I8" s="15">
        <f t="shared" ref="I4:I35" si="16">FLOOR(SUM(AA8:AD8),1)</f>
        <v>14</v>
      </c>
      <c r="J8" s="12">
        <f t="shared" si="2"/>
        <v>0.21212121212121213</v>
      </c>
      <c r="K8" s="12">
        <f>AA8*Population!$O$33+AB8*Population!$O$34+AC8*Population!$O$35+AD8*Population!$O$36+AE8*Population!$O$37+AF8*Population!$O$38+AG8*Population!$O$39+AH8*Population!$O$40+AI8*Population!$O$41+AJ8*Population!$O$42+AK8*Population!$O$43+AL8*Population!$O$44+AM8*Population!$O$45+AN8*Population!$O$46+AO8*Population!$O$47+AP8*Population!$O$48+AQ8*Population!$O$49+AR8*Population!$O$50</f>
        <v>0.22237365026483186</v>
      </c>
      <c r="L8" s="12">
        <f t="shared" ref="L4:L67" si="17">G8/H8</f>
        <v>4.32033393420964E-2</v>
      </c>
      <c r="M8" s="12">
        <f>Population!$C$12</f>
        <v>3.0312000000000006</v>
      </c>
      <c r="N8" s="12">
        <f t="shared" ref="N4:N35" si="18">(AE8+AF8+AG8+AH8+AI8+AJ8)/21*0.5</f>
        <v>2.8664984459656799</v>
      </c>
      <c r="O8" s="12">
        <f>I8/B8</f>
        <v>6.7632850241545889E-2</v>
      </c>
      <c r="P8" s="12">
        <f>B8-I8-Q8*2</f>
        <v>84.637991461413179</v>
      </c>
      <c r="Q8" s="12">
        <f t="shared" ref="Q4:Q67" si="19">MAX(X8,I8/2)</f>
        <v>54.18100426929341</v>
      </c>
      <c r="R8" s="12">
        <f t="shared" ref="R4:R67" si="20">SUM(AR7:AR7)</f>
        <v>0</v>
      </c>
      <c r="S8" s="12">
        <f>SUM(AR8:AR8)/B8</f>
        <v>3.2090935109279607E-7</v>
      </c>
      <c r="T8" s="12">
        <f t="shared" si="0"/>
        <v>0.82092430711050624</v>
      </c>
      <c r="U8" s="12">
        <f>Population!$B$17*MIN(Y7:Z7)</f>
        <v>4.0784709060330133</v>
      </c>
      <c r="V8" s="12">
        <f>X7*Population!$B$18</f>
        <v>0.30296379723861705</v>
      </c>
      <c r="W8" s="12">
        <f>AN7*T7*Population!$B$16</f>
        <v>8.8469045937160221E-2</v>
      </c>
      <c r="X8" s="12">
        <f t="shared" ref="X4:X12" si="21">X7+U8-W8-V8</f>
        <v>54.18100426929341</v>
      </c>
      <c r="Y8" s="14">
        <f t="shared" ref="Y4:Y35" si="22">(AE8+AG8+AI8+AK8+AM8)-X8</f>
        <v>12.258314039201366</v>
      </c>
      <c r="Z8" s="13">
        <f t="shared" ref="Z4:Z35" si="23">(AF8+AH8+AJ8+AL8+AN8)-X8</f>
        <v>12.258314039201366</v>
      </c>
      <c r="AA8" s="18">
        <f>(G8+Population!$B$15*AA7)*Population!M$33</f>
        <v>10.716653575671131</v>
      </c>
      <c r="AB8" s="18">
        <f>AA7*Population!$B$16*Population!$M$33+AB7*Population!$B$15*Population!$M$34</f>
        <v>3.0265730346923654</v>
      </c>
      <c r="AC8" s="14">
        <f>(AB7*Population!$B$16*0.5*Population!$M$34)+(AC7*Population!$B$15*Population!M$35)</f>
        <v>0.23185393400513085</v>
      </c>
      <c r="AD8" s="13">
        <f>(AB7*Population!$B$16*0.5*Population!$M$34)+(AD7*Population!$B$15*Population!M$35)</f>
        <v>0.23185393400513085</v>
      </c>
      <c r="AE8" s="14">
        <f>(AC7*Population!$B$16*Population!M$35)+(AE7*Population!$B$15*Population!M$37)</f>
        <v>21.547546422706205</v>
      </c>
      <c r="AF8" s="13">
        <f>(AD7*Population!$B$16*Population!M$35)+(AF7*Population!$B$15*Population!M$37)</f>
        <v>21.547546422706205</v>
      </c>
      <c r="AG8" s="14">
        <f>(AE7*Population!$B$16*Population!M$37)+(AG7*Population!$B$15*Population!M$39)</f>
        <v>24.770731816754559</v>
      </c>
      <c r="AH8" s="13">
        <f>(AF7*Population!$B$16*Population!M$37)+(AH7*Population!$B$15*Population!M$39)</f>
        <v>24.770731816754559</v>
      </c>
      <c r="AI8" s="14">
        <f>(AG7*Population!$B$16*Population!M$39)+(AI7*Population!$B$15*Population!M$41)</f>
        <v>13.878189125818508</v>
      </c>
      <c r="AJ8" s="13">
        <f>(AH7*Population!$B$16*Population!M$39)+(AJ7*Population!$B$15*Population!M$41)</f>
        <v>13.878189125818508</v>
      </c>
      <c r="AK8" s="14">
        <f>(AI7*Population!$B$16*Population!M$41)+(AK7*Population!$B$15*Population!M$43)</f>
        <v>5.0038314956483791</v>
      </c>
      <c r="AL8" s="13">
        <f>(AJ7*Population!$B$16*Population!M$41)+(AL7*Population!$B$15*Population!M$43)</f>
        <v>5.0038314956483791</v>
      </c>
      <c r="AM8" s="14">
        <f>(AK7*Population!$B$16*Population!M$43)+(AM7*Population!$B$15*Population!M$45)</f>
        <v>1.2390194475671099</v>
      </c>
      <c r="AN8" s="13">
        <f>(AL7*Population!$B$16*Population!M$43)+(AN7*Population!$B$15*Population!M$45)</f>
        <v>1.2390194475671099</v>
      </c>
      <c r="AO8" s="15">
        <f>(AM7+AN7)*Population!$B$16*Population!$M$45+AO7*Population!$B$15*Population!$M$47</f>
        <v>0.41279150864779812</v>
      </c>
      <c r="AP8" s="5">
        <f>AO7*Population!M$47*Population!$B$16+AP7*Population!$B$15*Population!M$48</f>
        <v>4.3707225100483083E-2</v>
      </c>
      <c r="AQ8" s="5">
        <f>AP7*Population!M$48*Population!$B$16+AQ7*Population!$B$15*Population!M$49</f>
        <v>2.6286042129839119E-3</v>
      </c>
      <c r="AR8" s="5">
        <f>(AQ7*Population!$B$16+AR7)*Population!M$50</f>
        <v>6.6428235676208782E-5</v>
      </c>
      <c r="AS8">
        <f>AS7*(1-Population!$B$12)+M8</f>
        <v>60</v>
      </c>
    </row>
    <row r="9" spans="1:45">
      <c r="A9">
        <f>A8+Population!$B$2</f>
        <v>6</v>
      </c>
      <c r="B9" s="117">
        <f t="shared" si="1"/>
        <v>210</v>
      </c>
      <c r="C9" s="59">
        <f t="shared" si="3"/>
        <v>190</v>
      </c>
      <c r="D9" s="12">
        <f>AD8*Population!$P$36*Population!$C$2+AF8*Population!$P$38*Population!$C$2+AH8*Population!$P$40*Population!$C$2+AJ8*Population!$P$42*Population!$C$2+AL8*Population!$P$44*Population!$C$2+AN7*Population!$P$46*Population!$C$2</f>
        <v>5.4686567444943499</v>
      </c>
      <c r="E9" s="12">
        <f>IF(B8&gt;Population!$B$6*Population!$B$19,Population!$B$11,IF(Population!$J$6=1,D9,Population!$B$11*Population!$B$6*0.9/B8))</f>
        <v>2.8514203965783622</v>
      </c>
      <c r="F9" s="12">
        <f>IF(B8&gt;Population!$B$6*0.75,Population!$B$11,E9)</f>
        <v>2.8514203965783622</v>
      </c>
      <c r="G9" s="15">
        <f>IF(Population!$J$6=1,IF(E9&gt;H8,H8,E9),IF(E9&gt;X8,X8,E9))</f>
        <v>2.8514203965783622</v>
      </c>
      <c r="H9" s="15">
        <f t="shared" si="15"/>
        <v>66</v>
      </c>
      <c r="I9" s="15">
        <f t="shared" si="16"/>
        <v>16</v>
      </c>
      <c r="J9" s="12">
        <f t="shared" si="2"/>
        <v>0.24242424242424243</v>
      </c>
      <c r="K9" s="12">
        <f>AA9*Population!$O$33+AB9*Population!$O$34+AC9*Population!$O$35+AD9*Population!$O$36+AE9*Population!$O$37+AF9*Population!$O$38+AG9*Population!$O$39+AH9*Population!$O$40+AI9*Population!$O$41+AJ9*Population!$O$42+AK9*Population!$O$43+AL9*Population!$O$44+AM9*Population!$O$45+AN9*Population!$O$46+AO9*Population!$O$47+AP9*Population!$O$48+AQ9*Population!$O$49+AR9*Population!$O$50</f>
        <v>0.23126427571556621</v>
      </c>
      <c r="L9" s="12">
        <f t="shared" si="17"/>
        <v>4.32033393420964E-2</v>
      </c>
      <c r="M9" s="12">
        <f>Population!$C$12</f>
        <v>3.0312000000000006</v>
      </c>
      <c r="N9" s="12">
        <f t="shared" si="18"/>
        <v>2.7693345330055101</v>
      </c>
      <c r="O9" s="12">
        <f>I9/B9</f>
        <v>7.6190476190476197E-2</v>
      </c>
      <c r="P9" s="12">
        <f>B9-I9-Q9*2</f>
        <v>80.449618259184149</v>
      </c>
      <c r="Q9" s="12">
        <f t="shared" si="19"/>
        <v>56.775190870407926</v>
      </c>
      <c r="R9" s="12">
        <f t="shared" si="20"/>
        <v>6.6428235676208782E-5</v>
      </c>
      <c r="S9" s="12">
        <f>SUM(AR9:AR9)/B9</f>
        <v>1.9981721745665929E-6</v>
      </c>
      <c r="T9" s="12">
        <f t="shared" si="0"/>
        <v>0.86023016470315039</v>
      </c>
      <c r="U9" s="12">
        <f>Population!$B$17*MIN(Y8:Z8)</f>
        <v>3.0645785098003415</v>
      </c>
      <c r="V9" s="12">
        <f>X8*Population!$B$18</f>
        <v>0.32508602561576044</v>
      </c>
      <c r="W9" s="12">
        <f>AN8*T8*Population!$B$16</f>
        <v>0.14530588307006739</v>
      </c>
      <c r="X9" s="12">
        <f t="shared" si="21"/>
        <v>56.775190870407926</v>
      </c>
      <c r="Y9" s="14">
        <f t="shared" si="22"/>
        <v>9.4138279167507619</v>
      </c>
      <c r="Z9" s="13">
        <f t="shared" si="23"/>
        <v>9.4138279167507619</v>
      </c>
      <c r="AA9" s="18">
        <f>(G9+Population!$B$15*AA8)*Population!M$33</f>
        <v>12.032236389313988</v>
      </c>
      <c r="AB9" s="18">
        <f>AA8*Population!$B$16*Population!$M$33+AB8*Population!$B$15*Population!$M$34</f>
        <v>4.1239507069823951</v>
      </c>
      <c r="AC9" s="14">
        <f>(AB8*Population!$B$16*0.5*Population!$M$34)+(AC8*Population!$B$15*Population!M$35)</f>
        <v>0.41467769873084626</v>
      </c>
      <c r="AD9" s="13">
        <f>(AB8*Population!$B$16*0.5*Population!$M$34)+(AD8*Population!$B$15*Population!M$35)</f>
        <v>0.41467769873084626</v>
      </c>
      <c r="AE9" s="14">
        <f>(AC8*Population!$B$16*Population!M$35)+(AE8*Population!$B$15*Population!M$37)</f>
        <v>18.484814663285462</v>
      </c>
      <c r="AF9" s="13">
        <f>(AD8*Population!$B$16*Population!M$35)+(AF8*Population!$B$15*Population!M$37)</f>
        <v>18.484814663285462</v>
      </c>
      <c r="AG9" s="14">
        <f>(AE8*Population!$B$16*Population!M$37)+(AG8*Population!$B$15*Population!M$39)</f>
        <v>24.266577668709104</v>
      </c>
      <c r="AH9" s="13">
        <f>(AF8*Population!$B$16*Population!M$37)+(AH8*Population!$B$15*Population!M$39)</f>
        <v>24.266577668709104</v>
      </c>
      <c r="AI9" s="14">
        <f>(AG8*Population!$B$16*Population!M$39)+(AI8*Population!$B$15*Population!M$41)</f>
        <v>15.404632861121145</v>
      </c>
      <c r="AJ9" s="13">
        <f>(AH8*Population!$B$16*Population!M$39)+(AJ8*Population!$B$15*Population!M$41)</f>
        <v>15.404632861121145</v>
      </c>
      <c r="AK9" s="14">
        <f>(AI8*Population!$B$16*Population!M$41)+(AK8*Population!$B$15*Population!M$43)</f>
        <v>6.2595554053939058</v>
      </c>
      <c r="AL9" s="13">
        <f>(AJ8*Population!$B$16*Population!M$41)+(AL8*Population!$B$15*Population!M$43)</f>
        <v>6.2595554053939058</v>
      </c>
      <c r="AM9" s="14">
        <f>(AK8*Population!$B$16*Population!M$43)+(AM8*Population!$B$15*Population!M$45)</f>
        <v>1.77343818864906</v>
      </c>
      <c r="AN9" s="13">
        <f>(AL8*Population!$B$16*Population!M$43)+(AN8*Population!$B$15*Population!M$45)</f>
        <v>1.77343818864906</v>
      </c>
      <c r="AO9" s="15">
        <f>(AM8+AN8)*Population!$B$16*Population!$M$45+AO8*Population!$B$15*Population!$M$47</f>
        <v>0.70458195453088168</v>
      </c>
      <c r="AP9" s="5">
        <f>AO8*Population!M$47*Population!$B$16+AP8*Population!$B$15*Population!M$48</f>
        <v>9.5734408074447011E-2</v>
      </c>
      <c r="AQ9" s="5">
        <f>AP8*Population!M$48*Population!$B$16+AQ8*Population!$B$15*Population!M$49</f>
        <v>8.3378843553383371E-3</v>
      </c>
      <c r="AR9" s="5">
        <f>(AQ8*Population!$B$16+AR8)*Population!M$50</f>
        <v>4.1961615665898449E-4</v>
      </c>
      <c r="AS9">
        <f>AS8*(1-Population!$B$12)+M9</f>
        <v>60</v>
      </c>
    </row>
    <row r="10" spans="1:45">
      <c r="A10">
        <f>A9+Population!$B$2</f>
        <v>7</v>
      </c>
      <c r="B10" s="117">
        <f t="shared" si="1"/>
        <v>212</v>
      </c>
      <c r="C10" s="59">
        <f t="shared" si="3"/>
        <v>188</v>
      </c>
      <c r="D10" s="12">
        <f>AD9*Population!$P$36*Population!$C$2+AF9*Population!$P$38*Population!$C$2+AH9*Population!$P$40*Population!$C$2+AJ9*Population!$P$42*Population!$C$2+AL9*Population!$P$44*Population!$C$2+AN8*Population!$P$46*Population!$C$2</f>
        <v>5.3401650201148216</v>
      </c>
      <c r="E10" s="12">
        <f>IF(B9&gt;Population!$B$6*Population!$B$19,Population!$B$11,IF(Population!$J$6=1,D10,Population!$B$11*Population!$B$6*0.9/B9))</f>
        <v>2.8514203965783622</v>
      </c>
      <c r="F10" s="12">
        <f>IF(B9&gt;Population!$B$6*0.75,Population!$B$11,E10)</f>
        <v>2.8514203965783622</v>
      </c>
      <c r="G10" s="15">
        <f>IF(Population!$J$6=1,IF(E10&gt;H9,H9,E10),IF(E10&gt;X9,X9,E10))</f>
        <v>2.8514203965783622</v>
      </c>
      <c r="H10" s="15">
        <f t="shared" si="15"/>
        <v>65</v>
      </c>
      <c r="I10" s="15">
        <f t="shared" si="16"/>
        <v>19</v>
      </c>
      <c r="J10" s="12">
        <f t="shared" si="2"/>
        <v>0.29230769230769232</v>
      </c>
      <c r="K10" s="12">
        <f>AA10*Population!$O$33+AB10*Population!$O$34+AC10*Population!$O$35+AD10*Population!$O$36+AE10*Population!$O$37+AF10*Population!$O$38+AG10*Population!$O$39+AH10*Population!$O$40+AI10*Population!$O$41+AJ10*Population!$O$42+AK10*Population!$O$43+AL10*Population!$O$44+AM10*Population!$O$45+AN10*Population!$O$46+AO10*Population!$O$47+AP10*Population!$O$48+AQ10*Population!$O$49+AR10*Population!$O$50</f>
        <v>0.24047184650075379</v>
      </c>
      <c r="L10" s="12">
        <f t="shared" si="17"/>
        <v>4.3868006101205573E-2</v>
      </c>
      <c r="M10" s="12">
        <f>Population!$C$12</f>
        <v>3.0312000000000006</v>
      </c>
      <c r="N10" s="12">
        <f t="shared" si="18"/>
        <v>2.6630946233233095</v>
      </c>
      <c r="O10" s="12">
        <f>I10/B10</f>
        <v>8.9622641509433956E-2</v>
      </c>
      <c r="P10" s="12">
        <f>B10-I10-Q10*2</f>
        <v>75.859882312714348</v>
      </c>
      <c r="Q10" s="12">
        <f t="shared" si="19"/>
        <v>58.570058843642826</v>
      </c>
      <c r="R10" s="12">
        <f t="shared" si="20"/>
        <v>4.1961615665898449E-4</v>
      </c>
      <c r="S10" s="12">
        <f>SUM(AR10:AR10)/B10</f>
        <v>7.2139989735031345E-6</v>
      </c>
      <c r="T10" s="12">
        <f t="shared" si="0"/>
        <v>0.90107782836373573</v>
      </c>
      <c r="U10" s="12">
        <f>Population!$B$17*MIN(Y9:Z9)</f>
        <v>2.3534569791876905</v>
      </c>
      <c r="V10" s="12">
        <f>X9*Population!$B$18</f>
        <v>0.34065114522244755</v>
      </c>
      <c r="W10" s="12">
        <f>AN9*T9*Population!$B$16</f>
        <v>0.21793786073034821</v>
      </c>
      <c r="X10" s="12">
        <f t="shared" si="21"/>
        <v>58.570058843642826</v>
      </c>
      <c r="Y10" s="14">
        <f t="shared" si="22"/>
        <v>7.3160731751606392</v>
      </c>
      <c r="Z10" s="13">
        <f t="shared" si="23"/>
        <v>7.3160731751606392</v>
      </c>
      <c r="AA10" s="18">
        <f>(G10+Population!$B$15*AA9)*Population!M$33</f>
        <v>13.159420978188717</v>
      </c>
      <c r="AB10" s="18">
        <f>AA9*Population!$B$16*Population!$M$33+AB9*Population!$B$15*Population!$M$34</f>
        <v>5.2522126013971242</v>
      </c>
      <c r="AC10" s="14">
        <f>(AB9*Population!$B$16*0.5*Population!$M$34)+(AC9*Population!$B$15*Population!M$35)</f>
        <v>0.64960092490577104</v>
      </c>
      <c r="AD10" s="13">
        <f>(AB9*Population!$B$16*0.5*Population!$M$34)+(AD9*Population!$B$15*Population!M$35)</f>
        <v>0.64960092490577104</v>
      </c>
      <c r="AE10" s="14">
        <f>(AC9*Population!$B$16*Population!M$35)+(AE9*Population!$B$15*Population!M$37)</f>
        <v>15.888210617193154</v>
      </c>
      <c r="AF10" s="13">
        <f>(AD9*Population!$B$16*Population!M$35)+(AF9*Population!$B$15*Population!M$37)</f>
        <v>15.888210617193154</v>
      </c>
      <c r="AG10" s="14">
        <f>(AE9*Population!$B$16*Population!M$37)+(AG9*Population!$B$15*Population!M$39)</f>
        <v>23.39815909606035</v>
      </c>
      <c r="AH10" s="13">
        <f>(AF9*Population!$B$16*Population!M$37)+(AH9*Population!$B$15*Population!M$39)</f>
        <v>23.39815909606035</v>
      </c>
      <c r="AI10" s="14">
        <f>(AG9*Population!$B$16*Population!M$39)+(AI9*Population!$B$15*Population!M$41)</f>
        <v>16.63861737653599</v>
      </c>
      <c r="AJ10" s="13">
        <f>(AH9*Population!$B$16*Population!M$39)+(AJ9*Population!$B$15*Population!M$41)</f>
        <v>16.63861737653599</v>
      </c>
      <c r="AK10" s="14">
        <f>(AI9*Population!$B$16*Population!M$41)+(AK9*Population!$B$15*Population!M$43)</f>
        <v>7.5514683314458697</v>
      </c>
      <c r="AL10" s="13">
        <f>(AJ9*Population!$B$16*Population!M$41)+(AL9*Population!$B$15*Population!M$43)</f>
        <v>7.5514683314458697</v>
      </c>
      <c r="AM10" s="14">
        <f>(AK9*Population!$B$16*Population!M$43)+(AM9*Population!$B$15*Population!M$45)</f>
        <v>2.409676597568096</v>
      </c>
      <c r="AN10" s="13">
        <f>(AL9*Population!$B$16*Population!M$43)+(AN9*Population!$B$15*Population!M$45)</f>
        <v>2.409676597568096</v>
      </c>
      <c r="AO10" s="15">
        <f>(AM9+AN9)*Population!$B$16*Population!$M$45+AO9*Population!$B$15*Population!$M$47</f>
        <v>1.1052726838309863</v>
      </c>
      <c r="AP10" s="5">
        <f>AO9*Population!M$47*Population!$B$16+AP9*Population!$B$15*Population!M$48</f>
        <v>0.18138796243656807</v>
      </c>
      <c r="AQ10" s="5">
        <f>AP9*Population!M$48*Population!$B$16+AQ9*Population!$B$15*Population!M$49</f>
        <v>2.0362894320306732E-2</v>
      </c>
      <c r="AR10" s="5">
        <f>(AQ9*Population!$B$16+AR9)*Population!M$50</f>
        <v>1.5293677823826645E-3</v>
      </c>
      <c r="AS10">
        <f>AS9*(1-Population!$B$12)+M10</f>
        <v>60</v>
      </c>
    </row>
    <row r="11" spans="1:45">
      <c r="A11">
        <f>A10+Population!$B$2</f>
        <v>8</v>
      </c>
      <c r="B11" s="117">
        <f t="shared" si="1"/>
        <v>215</v>
      </c>
      <c r="C11" s="59">
        <f t="shared" si="3"/>
        <v>188</v>
      </c>
      <c r="D11" s="12">
        <f>AD10*Population!$P$36*Population!$C$2+AF10*Population!$P$38*Population!$C$2+AH10*Population!$P$40*Population!$C$2+AJ10*Population!$P$42*Population!$C$2+AL10*Population!$P$44*Population!$C$2+AN9*Population!$P$46*Population!$C$2</f>
        <v>5.1996163640830977</v>
      </c>
      <c r="E11" s="12">
        <f>IF(B10&gt;Population!$B$6*Population!$B$19,Population!$B$11,IF(Population!$J$6=1,D11,Population!$B$11*Population!$B$6*0.9/B10))</f>
        <v>2.8514203965783622</v>
      </c>
      <c r="F11" s="12">
        <f>IF(B10&gt;Population!$B$6*0.75,Population!$B$11,E11)</f>
        <v>2.8514203965783622</v>
      </c>
      <c r="G11" s="15">
        <f>IF(Population!$J$6=1,IF(E11&gt;H10,H10,E11),IF(E11&gt;X10,X10,E11))</f>
        <v>2.8514203965783622</v>
      </c>
      <c r="H11" s="15">
        <f t="shared" si="15"/>
        <v>65</v>
      </c>
      <c r="I11" s="15">
        <f t="shared" si="16"/>
        <v>22</v>
      </c>
      <c r="J11" s="12">
        <f t="shared" si="2"/>
        <v>0.33846153846153848</v>
      </c>
      <c r="K11" s="12">
        <f>AA11*Population!$O$33+AB11*Population!$O$34+AC11*Population!$O$35+AD11*Population!$O$36+AE11*Population!$O$37+AF11*Population!$O$38+AG11*Population!$O$39+AH11*Population!$O$40+AI11*Population!$O$41+AJ11*Population!$O$42+AK11*Population!$O$43+AL11*Population!$O$44+AM11*Population!$O$45+AN11*Population!$O$46+AO11*Population!$O$47+AP11*Population!$O$48+AQ11*Population!$O$49+AR11*Population!$O$50</f>
        <v>0.25047158674292724</v>
      </c>
      <c r="L11" s="12">
        <f t="shared" si="17"/>
        <v>4.3868006101205573E-2</v>
      </c>
      <c r="M11" s="12">
        <f>Population!$C$12</f>
        <v>3.0312000000000006</v>
      </c>
      <c r="N11" s="12">
        <f t="shared" si="18"/>
        <v>2.5501573858759103</v>
      </c>
      <c r="O11" s="12">
        <f>I11/B11</f>
        <v>0.10232558139534884</v>
      </c>
      <c r="P11" s="12">
        <f>B11-I11-Q11*2</f>
        <v>73.525059618570765</v>
      </c>
      <c r="Q11" s="12">
        <f t="shared" si="19"/>
        <v>59.737470190714618</v>
      </c>
      <c r="R11" s="12">
        <f t="shared" si="20"/>
        <v>1.5293677823826645E-3</v>
      </c>
      <c r="S11" s="12">
        <f>SUM(AR11:AR11)/B11</f>
        <v>1.9600591198246966E-5</v>
      </c>
      <c r="T11" s="12">
        <f t="shared" si="0"/>
        <v>0.91903800293407101</v>
      </c>
      <c r="U11" s="12">
        <f>Population!$B$17*MIN(Y10:Z10)</f>
        <v>1.8290182937901598</v>
      </c>
      <c r="V11" s="12">
        <f>X10*Population!$B$18</f>
        <v>0.35142035306185698</v>
      </c>
      <c r="W11" s="12">
        <f>AN10*T10*Population!$B$16</f>
        <v>0.31018659365651075</v>
      </c>
      <c r="X11" s="12">
        <f t="shared" si="21"/>
        <v>59.737470190714618</v>
      </c>
      <c r="Y11" s="14">
        <f t="shared" si="22"/>
        <v>5.786657473811502</v>
      </c>
      <c r="Z11" s="13">
        <f t="shared" si="23"/>
        <v>5.786657473811502</v>
      </c>
      <c r="AA11" s="18">
        <f>(G11+Population!$B$15*AA10)*Population!M$33</f>
        <v>14.125186936987269</v>
      </c>
      <c r="AB11" s="18">
        <f>AA10*Population!$B$16*Population!$M$33+AB10*Population!$B$15*Population!$M$34</f>
        <v>6.3800376249489181</v>
      </c>
      <c r="AC11" s="14">
        <f>(AB10*Population!$B$16*0.5*Population!$M$34)+(AC10*Population!$B$15*Population!M$35)</f>
        <v>0.93134379401813139</v>
      </c>
      <c r="AD11" s="13">
        <f>(AB10*Population!$B$16*0.5*Population!$M$34)+(AD10*Population!$B$15*Population!M$35)</f>
        <v>0.93134379401813139</v>
      </c>
      <c r="AE11" s="14">
        <f>(AC10*Population!$B$16*Population!M$35)+(AE10*Population!$B$15*Population!M$37)</f>
        <v>13.698199538582022</v>
      </c>
      <c r="AF11" s="13">
        <f>(AD10*Population!$B$16*Population!M$35)+(AF10*Population!$B$15*Population!M$37)</f>
        <v>13.698199538582022</v>
      </c>
      <c r="AG11" s="14">
        <f>(AE10*Population!$B$16*Population!M$37)+(AG10*Population!$B$15*Population!M$39)</f>
        <v>22.284639562292924</v>
      </c>
      <c r="AH11" s="13">
        <f>(AF10*Population!$B$16*Population!M$37)+(AH10*Population!$B$15*Population!M$39)</f>
        <v>22.284639562292924</v>
      </c>
      <c r="AI11" s="14">
        <f>(AG10*Population!$B$16*Population!M$39)+(AI10*Population!$B$15*Population!M$41)</f>
        <v>17.570466002519165</v>
      </c>
      <c r="AJ11" s="13">
        <f>(AH10*Population!$B$16*Population!M$39)+(AJ10*Population!$B$15*Population!M$41)</f>
        <v>17.570466002519165</v>
      </c>
      <c r="AK11" s="14">
        <f>(AI10*Population!$B$16*Population!M$41)+(AK10*Population!$B$15*Population!M$43)</f>
        <v>8.83264118638143</v>
      </c>
      <c r="AL11" s="13">
        <f>(AJ10*Population!$B$16*Population!M$41)+(AL10*Population!$B$15*Population!M$43)</f>
        <v>8.83264118638143</v>
      </c>
      <c r="AM11" s="14">
        <f>(AK10*Population!$B$16*Population!M$43)+(AM10*Population!$B$15*Population!M$45)</f>
        <v>3.1381813747505833</v>
      </c>
      <c r="AN11" s="13">
        <f>(AL10*Population!$B$16*Population!M$43)+(AN10*Population!$B$15*Population!M$45)</f>
        <v>3.1381813747505833</v>
      </c>
      <c r="AO11" s="15">
        <f>(AM10+AN10)*Population!$B$16*Population!$M$45+AO10*Population!$B$15*Population!$M$47</f>
        <v>1.6276652540344001</v>
      </c>
      <c r="AP11" s="5">
        <f>AO10*Population!M$47*Population!$B$16+AP10*Population!$B$15*Population!M$48</f>
        <v>0.31109955073237561</v>
      </c>
      <c r="AQ11" s="5">
        <f>AP10*Population!M$48*Population!$B$16+AQ10*Population!$B$15*Population!M$49</f>
        <v>4.2296837872053142E-2</v>
      </c>
      <c r="AR11" s="5">
        <f>(AQ10*Population!$B$16+AR10)*Population!M$50</f>
        <v>4.2141271076230977E-3</v>
      </c>
      <c r="AS11">
        <f>AS10*(1-Population!$B$12)+M11</f>
        <v>60</v>
      </c>
    </row>
    <row r="12" spans="1:45">
      <c r="A12">
        <f>A11+Population!$B$2</f>
        <v>9</v>
      </c>
      <c r="B12" s="117">
        <f t="shared" si="1"/>
        <v>218</v>
      </c>
      <c r="C12" s="59">
        <f t="shared" si="3"/>
        <v>188</v>
      </c>
      <c r="D12" s="12">
        <f>AD11*Population!$P$36*Population!$C$2+AF11*Population!$P$38*Population!$C$2+AH11*Population!$P$40*Population!$C$2+AJ11*Population!$P$42*Population!$C$2+AL11*Population!$P$44*Population!$C$2+AN10*Population!$P$46*Population!$C$2</f>
        <v>5.0498941903614352</v>
      </c>
      <c r="E12" s="12">
        <f>IF(B11&gt;Population!$B$6*Population!$B$19,Population!$B$11,IF(Population!$J$6=1,D12,Population!$B$11*Population!$B$6*0.9/B11))</f>
        <v>2.8514203965783622</v>
      </c>
      <c r="F12" s="12">
        <f>IF(B11&gt;Population!$B$6*0.75,Population!$B$11,E12)</f>
        <v>2.8514203965783622</v>
      </c>
      <c r="G12" s="15">
        <f>IF(Population!$J$6=1,IF(E12&gt;H11,H11,E12),IF(E12&gt;X11,X11,E12))</f>
        <v>2.8514203965783622</v>
      </c>
      <c r="H12" s="15">
        <f t="shared" si="15"/>
        <v>65</v>
      </c>
      <c r="I12" s="15">
        <f t="shared" si="16"/>
        <v>24</v>
      </c>
      <c r="J12" s="12">
        <f t="shared" si="2"/>
        <v>0.36923076923076925</v>
      </c>
      <c r="K12" s="12">
        <f>AA12*Population!$O$33+AB12*Population!$O$34+AC12*Population!$O$35+AD12*Population!$O$36+AE12*Population!$O$37+AF12*Population!$O$38+AG12*Population!$O$39+AH12*Population!$O$40+AI12*Population!$O$41+AJ12*Population!$O$42+AK12*Population!$O$43+AL12*Population!$O$44+AM12*Population!$O$45+AN12*Population!$O$46+AO12*Population!$O$47+AP12*Population!$O$48+AQ12*Population!$O$49+AR12*Population!$O$50</f>
        <v>0.26175507151183391</v>
      </c>
      <c r="L12" s="12">
        <f t="shared" si="17"/>
        <v>4.3868006101205573E-2</v>
      </c>
      <c r="M12" s="12">
        <f>Population!$C$12</f>
        <v>3.0312000000000006</v>
      </c>
      <c r="N12" s="12">
        <f t="shared" si="18"/>
        <v>2.4329239995335645</v>
      </c>
      <c r="O12" s="12">
        <f>I12/B12</f>
        <v>0.11009174311926606</v>
      </c>
      <c r="P12" s="12">
        <f>B12-I12-Q12*2</f>
        <v>73.17261136495236</v>
      </c>
      <c r="Q12" s="12">
        <f t="shared" si="19"/>
        <v>60.41369431752382</v>
      </c>
      <c r="R12" s="12">
        <f t="shared" si="20"/>
        <v>4.2141271076230977E-3</v>
      </c>
      <c r="S12" s="12">
        <f>SUM(AR12:AR12)/B12</f>
        <v>4.4671433463813149E-5</v>
      </c>
      <c r="T12" s="12">
        <f t="shared" si="0"/>
        <v>0.92944145103882803</v>
      </c>
      <c r="U12" s="12">
        <f>Population!$B$17*MIN(Y11:Z11)</f>
        <v>1.4466643684528755</v>
      </c>
      <c r="V12" s="12">
        <f>X11*Population!$B$18</f>
        <v>0.3584248211442877</v>
      </c>
      <c r="W12" s="12">
        <f>AN11*T11*Population!$B$16</f>
        <v>0.41201542049938195</v>
      </c>
      <c r="X12" s="12">
        <f t="shared" si="21"/>
        <v>60.41369431752382</v>
      </c>
      <c r="Y12" s="14">
        <f t="shared" si="22"/>
        <v>4.6833446318218535</v>
      </c>
      <c r="Z12" s="13">
        <f t="shared" si="23"/>
        <v>4.6833446318218535</v>
      </c>
      <c r="AA12" s="18">
        <f>(G12+Population!$B$15*AA11)*Population!M$33</f>
        <v>14.952650243689511</v>
      </c>
      <c r="AB12" s="18">
        <f>AA11*Population!$B$16*Population!$M$33+AB11*Population!$B$15*Population!$M$34</f>
        <v>7.4844378299986687</v>
      </c>
      <c r="AC12" s="14">
        <f>(AB11*Population!$B$16*0.5*Population!$M$34)+(AC11*Population!$B$15*Population!M$35)</f>
        <v>1.2531483426480352</v>
      </c>
      <c r="AD12" s="13">
        <f>(AB11*Population!$B$16*0.5*Population!$M$34)+(AD11*Population!$B$15*Population!M$35)</f>
        <v>1.2531483426480352</v>
      </c>
      <c r="AE12" s="14">
        <f>(AC11*Population!$B$16*Population!M$35)+(AE11*Population!$B$15*Population!M$37)</f>
        <v>11.863046735701852</v>
      </c>
      <c r="AF12" s="13">
        <f>(AD11*Population!$B$16*Population!M$35)+(AF11*Population!$B$15*Population!M$37)</f>
        <v>11.863046735701852</v>
      </c>
      <c r="AG12" s="14">
        <f>(AE11*Population!$B$16*Population!M$37)+(AG11*Population!$B$15*Population!M$39)</f>
        <v>21.019466211488815</v>
      </c>
      <c r="AH12" s="13">
        <f>(AF11*Population!$B$16*Population!M$37)+(AH11*Population!$B$15*Population!M$39)</f>
        <v>21.019466211488815</v>
      </c>
      <c r="AI12" s="14">
        <f>(AG11*Population!$B$16*Population!M$39)+(AI11*Population!$B$15*Population!M$41)</f>
        <v>18.208891043014184</v>
      </c>
      <c r="AJ12" s="13">
        <f>(AH11*Population!$B$16*Population!M$39)+(AJ11*Population!$B$15*Population!M$41)</f>
        <v>18.208891043014184</v>
      </c>
      <c r="AK12" s="14">
        <f>(AI11*Population!$B$16*Population!M$41)+(AK11*Population!$B$15*Population!M$43)</f>
        <v>10.061546542802255</v>
      </c>
      <c r="AL12" s="13">
        <f>(AJ11*Population!$B$16*Population!M$41)+(AL11*Population!$B$15*Population!M$43)</f>
        <v>10.061546542802255</v>
      </c>
      <c r="AM12" s="14">
        <f>(AK11*Population!$B$16*Population!M$43)+(AM11*Population!$B$15*Population!M$45)</f>
        <v>3.9440884163385643</v>
      </c>
      <c r="AN12" s="13">
        <f>(AL11*Population!$B$16*Population!M$43)+(AN11*Population!$B$15*Population!M$45)</f>
        <v>3.9440884163385643</v>
      </c>
      <c r="AO12" s="15">
        <f>(AM11+AN11)*Population!$B$16*Population!$M$45+AO11*Population!$B$15*Population!$M$47</f>
        <v>2.2799286026682899</v>
      </c>
      <c r="AP12" s="5">
        <f>AO11*Population!M$47*Population!$B$16+AP11*Population!$B$15*Population!M$48</f>
        <v>0.49556130784000657</v>
      </c>
      <c r="AQ12" s="5">
        <f>AP11*Population!M$48*Population!$B$16+AQ11*Population!$B$15*Population!M$49</f>
        <v>7.8543441246586854E-2</v>
      </c>
      <c r="AR12" s="5">
        <f>(AQ11*Population!$B$16+AR11)*Population!M$50</f>
        <v>9.7383724951112666E-3</v>
      </c>
      <c r="AS12">
        <f>AS11*(1-Population!$B$12)+M12</f>
        <v>60</v>
      </c>
    </row>
    <row r="13" spans="1:45">
      <c r="A13">
        <f>A12+Population!$B$2</f>
        <v>10</v>
      </c>
      <c r="B13" s="117">
        <f t="shared" si="1"/>
        <v>220</v>
      </c>
      <c r="C13" s="59">
        <f t="shared" si="3"/>
        <v>186</v>
      </c>
      <c r="D13" s="12">
        <f>AD12*Population!$P$36*Population!$C$2+AF12*Population!$P$38*Population!$C$2+AH12*Population!$P$40*Population!$C$2+AJ12*Population!$P$42*Population!$C$2+AL12*Population!$P$44*Population!$C$2+AN11*Population!$P$46*Population!$C$2</f>
        <v>4.8938734408588358</v>
      </c>
      <c r="E13" s="12">
        <f>IF(B12&gt;Population!$B$6*Population!$B$19,Population!$B$11,IF(Population!$J$6=1,D13,Population!$B$11*Population!$B$6*0.9/B12))</f>
        <v>2.8514203965783622</v>
      </c>
      <c r="F13" s="12">
        <f>IF(B12&gt;Population!$B$6*0.75,Population!$B$11,E13)</f>
        <v>2.8514203965783622</v>
      </c>
      <c r="G13" s="15">
        <f>IF(Population!$J$6=1,IF(E13&gt;H12,H12,E13),IF(E13&gt;X12,X12,E13))</f>
        <v>2.8514203965783622</v>
      </c>
      <c r="H13" s="15">
        <f t="shared" si="15"/>
        <v>64</v>
      </c>
      <c r="I13" s="15">
        <f t="shared" si="16"/>
        <v>27</v>
      </c>
      <c r="J13" s="12">
        <f t="shared" si="2"/>
        <v>0.421875</v>
      </c>
      <c r="K13" s="12">
        <f>AA13*Population!$O$33+AB13*Population!$O$34+AC13*Population!$O$35+AD13*Population!$O$36+AE13*Population!$O$37+AF13*Population!$O$38+AG13*Population!$O$39+AH13*Population!$O$40+AI13*Population!$O$41+AJ13*Population!$O$42+AK13*Population!$O$43+AL13*Population!$O$44+AM13*Population!$O$45+AN13*Population!$O$46+AO13*Population!$O$47+AP13*Population!$O$48+AQ13*Population!$O$49+AR13*Population!$O$50</f>
        <v>0.27482393730089555</v>
      </c>
      <c r="L13" s="12">
        <f t="shared" si="17"/>
        <v>4.455344369653691E-2</v>
      </c>
      <c r="M13" s="12">
        <f>Population!$C$12</f>
        <v>3.0312000000000006</v>
      </c>
      <c r="N13" s="12">
        <f t="shared" si="18"/>
        <v>2.3136835683348673</v>
      </c>
      <c r="O13" s="12">
        <f>I13/B13</f>
        <v>0.12272727272727273</v>
      </c>
      <c r="P13" s="12">
        <f>B13-I13-Q13*2</f>
        <v>71.60327459819662</v>
      </c>
      <c r="Q13" s="12">
        <f t="shared" si="19"/>
        <v>60.69836270090169</v>
      </c>
      <c r="R13" s="12">
        <f t="shared" si="20"/>
        <v>9.7383724951112666E-3</v>
      </c>
      <c r="S13" s="12">
        <f>SUM(AR13:AR13)/B13</f>
        <v>9.0454646760660393E-5</v>
      </c>
      <c r="T13" s="12">
        <f t="shared" si="0"/>
        <v>0.94841191720158891</v>
      </c>
      <c r="U13" s="12">
        <f>Population!$B$17*MIN(Y12:Z12)</f>
        <v>1.1708361579554634</v>
      </c>
      <c r="V13" s="12">
        <f>X12*Population!$B$18</f>
        <v>0.36248216590514293</v>
      </c>
      <c r="W13" s="12">
        <f>AN12*T12*Population!$B$16</f>
        <v>0.52368560867244973</v>
      </c>
      <c r="X13" s="12">
        <f t="shared" ref="X13:X76" si="24">X12+U13-W13-V13</f>
        <v>60.69836270090169</v>
      </c>
      <c r="Y13" s="14">
        <f t="shared" si="22"/>
        <v>3.9016526892401302</v>
      </c>
      <c r="Z13" s="13">
        <f t="shared" si="23"/>
        <v>3.9016526892401302</v>
      </c>
      <c r="AA13" s="18">
        <f>(G13+Population!$B$15*AA12)*Population!M$33</f>
        <v>15.661616549346416</v>
      </c>
      <c r="AB13" s="18">
        <f>AA12*Population!$B$16*Population!$M$33+AB12*Population!$B$15*Population!$M$34</f>
        <v>8.5490146366588711</v>
      </c>
      <c r="AC13" s="14">
        <f>(AB12*Population!$B$16*0.5*Population!$M$34)+(AC12*Population!$B$15*Population!M$35)</f>
        <v>1.6075859242012014</v>
      </c>
      <c r="AD13" s="13">
        <f>(AB12*Population!$B$16*0.5*Population!$M$34)+(AD12*Population!$B$15*Population!M$35)</f>
        <v>1.6075859242012014</v>
      </c>
      <c r="AE13" s="14">
        <f>(AC12*Population!$B$16*Population!M$35)+(AE12*Population!$B$15*Population!M$37)</f>
        <v>10.337485943607694</v>
      </c>
      <c r="AF13" s="13">
        <f>(AD12*Population!$B$16*Population!M$35)+(AF12*Population!$B$15*Population!M$37)</f>
        <v>10.337485943607694</v>
      </c>
      <c r="AG13" s="14">
        <f>(AE12*Population!$B$16*Population!M$37)+(AG12*Population!$B$15*Population!M$39)</f>
        <v>19.675199181477041</v>
      </c>
      <c r="AH13" s="13">
        <f>(AF12*Population!$B$16*Population!M$37)+(AH12*Population!$B$15*Population!M$39)</f>
        <v>19.675199181477041</v>
      </c>
      <c r="AI13" s="14">
        <f>(AG12*Population!$B$16*Population!M$39)+(AI12*Population!$B$15*Population!M$41)</f>
        <v>18.57466980994748</v>
      </c>
      <c r="AJ13" s="13">
        <f>(AH12*Population!$B$16*Population!M$39)+(AJ12*Population!$B$15*Population!M$41)</f>
        <v>18.57466980994748</v>
      </c>
      <c r="AK13" s="14">
        <f>(AI12*Population!$B$16*Population!M$41)+(AK12*Population!$B$15*Population!M$43)</f>
        <v>11.203900030407436</v>
      </c>
      <c r="AL13" s="13">
        <f>(AJ12*Population!$B$16*Population!M$41)+(AL12*Population!$B$15*Population!M$43)</f>
        <v>11.203900030407436</v>
      </c>
      <c r="AM13" s="14">
        <f>(AK12*Population!$B$16*Population!M$43)+(AM12*Population!$B$15*Population!M$45)</f>
        <v>4.8087604247021778</v>
      </c>
      <c r="AN13" s="13">
        <f>(AL12*Population!$B$16*Population!M$43)+(AN12*Population!$B$15*Population!M$45)</f>
        <v>4.8087604247021778</v>
      </c>
      <c r="AO13" s="15">
        <f>(AM12+AN12)*Population!$B$16*Population!$M$45+AO12*Population!$B$15*Population!$M$47</f>
        <v>3.0647751792788656</v>
      </c>
      <c r="AP13" s="5">
        <f>AO12*Population!M$47*Population!$B$16+AP12*Population!$B$15*Population!M$48</f>
        <v>0.7450300072068492</v>
      </c>
      <c r="AQ13" s="5">
        <f>AP12*Population!M$48*Population!$B$16+AQ12*Population!$B$15*Population!M$49</f>
        <v>0.13420300684671749</v>
      </c>
      <c r="AR13" s="5">
        <f>(AQ12*Population!$B$16+AR12)*Population!M$50</f>
        <v>1.9900022287345286E-2</v>
      </c>
      <c r="AS13">
        <f>AS12*(1-Population!$B$12)+M13</f>
        <v>60</v>
      </c>
    </row>
    <row r="14" spans="1:45">
      <c r="A14">
        <f>A13+Population!$B$2</f>
        <v>11</v>
      </c>
      <c r="B14" s="117">
        <f t="shared" si="1"/>
        <v>223</v>
      </c>
      <c r="C14" s="59">
        <f t="shared" si="3"/>
        <v>185</v>
      </c>
      <c r="D14" s="12">
        <f>AD13*Population!$P$36*Population!$C$2+AF13*Population!$P$38*Population!$C$2+AH13*Population!$P$40*Population!$C$2+AJ13*Population!$P$42*Population!$C$2+AL13*Population!$P$44*Population!$C$2+AN12*Population!$P$46*Population!$C$2</f>
        <v>4.7342699303288827</v>
      </c>
      <c r="E14" s="12">
        <f>IF(B13&gt;Population!$B$6*Population!$B$19,Population!$B$11,IF(Population!$J$6=1,D14,Population!$B$11*Population!$B$6*0.9/B13))</f>
        <v>2.8514203965783622</v>
      </c>
      <c r="F14" s="12">
        <f>IF(B13&gt;Population!$B$6*0.75,Population!$B$11,E14)</f>
        <v>2.8514203965783622</v>
      </c>
      <c r="G14" s="15">
        <f>IF(Population!$J$6=1,IF(E14&gt;H13,H13,E14),IF(E14&gt;X13,X13,E14))</f>
        <v>2.8514203965783622</v>
      </c>
      <c r="H14" s="15">
        <f t="shared" si="15"/>
        <v>64</v>
      </c>
      <c r="I14" s="15">
        <f t="shared" si="16"/>
        <v>29</v>
      </c>
      <c r="J14" s="12">
        <f t="shared" si="2"/>
        <v>0.453125</v>
      </c>
      <c r="K14" s="12">
        <f>AA14*Population!$O$33+AB14*Population!$O$34+AC14*Population!$O$35+AD14*Population!$O$36+AE14*Population!$O$37+AF14*Population!$O$38+AG14*Population!$O$39+AH14*Population!$O$40+AI14*Population!$O$41+AJ14*Population!$O$42+AK14*Population!$O$43+AL14*Population!$O$44+AM14*Population!$O$45+AN14*Population!$O$46+AO14*Population!$O$47+AP14*Population!$O$48+AQ14*Population!$O$49+AR14*Population!$O$50</f>
        <v>0.29018123100918136</v>
      </c>
      <c r="L14" s="12">
        <f t="shared" si="17"/>
        <v>4.455344369653691E-2</v>
      </c>
      <c r="M14" s="12">
        <f>Population!$C$12</f>
        <v>3.0312000000000006</v>
      </c>
      <c r="N14" s="12">
        <f t="shared" si="18"/>
        <v>2.1945271591030888</v>
      </c>
      <c r="O14" s="12">
        <f>I14/B14</f>
        <v>0.13004484304932734</v>
      </c>
      <c r="P14" s="12">
        <f>B14-I14-Q14*2</f>
        <v>72.683881661345922</v>
      </c>
      <c r="Q14" s="12">
        <f t="shared" si="19"/>
        <v>60.658059169327039</v>
      </c>
      <c r="R14" s="12">
        <f t="shared" si="20"/>
        <v>1.9900022287345286E-2</v>
      </c>
      <c r="S14" s="12">
        <f>SUM(AR14:AR14)/B14</f>
        <v>1.6635860542635588E-4</v>
      </c>
      <c r="T14" s="12">
        <f t="shared" si="0"/>
        <v>0.94778217452073499</v>
      </c>
      <c r="U14" s="12">
        <f>Population!$B$17*MIN(Y13:Z13)</f>
        <v>0.97541317231003255</v>
      </c>
      <c r="V14" s="12">
        <f>X13*Population!$B$18</f>
        <v>0.36419017620541017</v>
      </c>
      <c r="W14" s="12">
        <f>AN13*T13*Population!$B$16</f>
        <v>0.65152652767927421</v>
      </c>
      <c r="X14" s="12">
        <f t="shared" si="24"/>
        <v>60.658059169327039</v>
      </c>
      <c r="Y14" s="14">
        <f t="shared" si="22"/>
        <v>3.3717100101915705</v>
      </c>
      <c r="Z14" s="13">
        <f t="shared" si="23"/>
        <v>3.3717100101915705</v>
      </c>
      <c r="AA14" s="18">
        <f>(G14+Population!$B$15*AA13)*Population!M$33</f>
        <v>16.26905523392082</v>
      </c>
      <c r="AB14" s="18">
        <f>AA13*Population!$B$16*Population!$M$33+AB13*Population!$B$15*Population!$M$34</f>
        <v>9.5625435118887303</v>
      </c>
      <c r="AC14" s="14">
        <f>(AB13*Population!$B$16*0.5*Population!$M$34)+(AC13*Population!$B$15*Population!M$35)</f>
        <v>1.9871241318679198</v>
      </c>
      <c r="AD14" s="13">
        <f>(AB13*Population!$B$16*0.5*Population!$M$34)+(AD13*Population!$B$15*Population!M$35)</f>
        <v>1.9871241318679198</v>
      </c>
      <c r="AE14" s="14">
        <f>(AC13*Population!$B$16*Population!M$35)+(AE13*Population!$B$15*Population!M$37)</f>
        <v>9.0816942588337231</v>
      </c>
      <c r="AF14" s="13">
        <f>(AD13*Population!$B$16*Population!M$35)+(AF13*Population!$B$15*Population!M$37)</f>
        <v>9.0816942588337231</v>
      </c>
      <c r="AG14" s="14">
        <f>(AE13*Population!$B$16*Population!M$37)+(AG13*Population!$B$15*Population!M$39)</f>
        <v>18.307453016256439</v>
      </c>
      <c r="AH14" s="13">
        <f>(AF13*Population!$B$16*Population!M$37)+(AH13*Population!$B$15*Population!M$39)</f>
        <v>18.307453016256439</v>
      </c>
      <c r="AI14" s="14">
        <f>(AG13*Population!$B$16*Population!M$39)+(AI13*Population!$B$15*Population!M$41)</f>
        <v>18.695923066074698</v>
      </c>
      <c r="AJ14" s="13">
        <f>(AH13*Population!$B$16*Population!M$39)+(AJ13*Population!$B$15*Population!M$41)</f>
        <v>18.695923066074698</v>
      </c>
      <c r="AK14" s="14">
        <f>(AI13*Population!$B$16*Population!M$41)+(AK13*Population!$B$15*Population!M$43)</f>
        <v>12.233333956858099</v>
      </c>
      <c r="AL14" s="13">
        <f>(AJ13*Population!$B$16*Population!M$41)+(AL13*Population!$B$15*Population!M$43)</f>
        <v>12.233333956858099</v>
      </c>
      <c r="AM14" s="14">
        <f>(AK13*Population!$B$16*Population!M$43)+(AM13*Population!$B$15*Population!M$45)</f>
        <v>5.7113648814956512</v>
      </c>
      <c r="AN14" s="13">
        <f>(AL13*Population!$B$16*Population!M$43)+(AN13*Population!$B$15*Population!M$45)</f>
        <v>5.7113648814956512</v>
      </c>
      <c r="AO14" s="15">
        <f>(AM13+AN13)*Population!$B$16*Population!$M$45+AO13*Population!$B$15*Population!$M$47</f>
        <v>3.9791983663925805</v>
      </c>
      <c r="AP14" s="5">
        <f>AO13*Population!M$47*Population!$B$16+AP13*Population!$B$15*Population!M$48</f>
        <v>1.0686181138795274</v>
      </c>
      <c r="AQ14" s="5">
        <f>AP13*Population!M$48*Population!$B$16+AQ13*Population!$B$15*Population!M$49</f>
        <v>0.21488099504278962</v>
      </c>
      <c r="AR14" s="5">
        <f>(AQ13*Population!$B$16+AR13)*Population!M$50</f>
        <v>3.7097969010077364E-2</v>
      </c>
      <c r="AS14">
        <f>AS13*(1-Population!$B$12)+M14</f>
        <v>60</v>
      </c>
    </row>
    <row r="15" spans="1:45">
      <c r="A15">
        <f>A14+Population!$B$2</f>
        <v>12</v>
      </c>
      <c r="B15" s="117">
        <f t="shared" si="1"/>
        <v>225</v>
      </c>
      <c r="C15" s="59">
        <f t="shared" si="3"/>
        <v>183</v>
      </c>
      <c r="D15" s="12">
        <f>AD14*Population!$P$36*Population!$C$2+AF14*Population!$P$38*Population!$C$2+AH14*Population!$P$40*Population!$C$2+AJ14*Population!$P$42*Population!$C$2+AL14*Population!$P$44*Population!$C$2+AN13*Population!$P$46*Population!$C$2</f>
        <v>4.5735524166701715</v>
      </c>
      <c r="E15" s="12">
        <f>IF(B14&gt;Population!$B$6*Population!$B$19,Population!$B$11,IF(Population!$J$6=1,D15,Population!$B$11*Population!$B$6*0.9/B14))</f>
        <v>2.8514203965783622</v>
      </c>
      <c r="F15" s="12">
        <f>IF(B14&gt;Population!$B$6*0.75,Population!$B$11,E15)</f>
        <v>2.8514203965783622</v>
      </c>
      <c r="G15" s="15">
        <f>IF(Population!$J$6=1,IF(E15&gt;H14,H14,E15),IF(E15&gt;X14,X14,E15))</f>
        <v>2.8514203965783622</v>
      </c>
      <c r="H15" s="15">
        <f t="shared" si="15"/>
        <v>63</v>
      </c>
      <c r="I15" s="15">
        <f t="shared" si="16"/>
        <v>32</v>
      </c>
      <c r="J15" s="12">
        <f t="shared" si="2"/>
        <v>0.50793650793650791</v>
      </c>
      <c r="K15" s="12">
        <f>AA15*Population!$O$33+AB15*Population!$O$34+AC15*Population!$O$35+AD15*Population!$O$36+AE15*Population!$O$37+AF15*Population!$O$38+AG15*Population!$O$39+AH15*Population!$O$40+AI15*Population!$O$41+AJ15*Population!$O$42+AK15*Population!$O$43+AL15*Population!$O$44+AM15*Population!$O$45+AN15*Population!$O$46+AO15*Population!$O$47+AP15*Population!$O$48+AQ15*Population!$O$49+AR15*Population!$O$50</f>
        <v>0.30832072167802838</v>
      </c>
      <c r="L15" s="12">
        <f t="shared" si="17"/>
        <v>4.5260641215529557E-2</v>
      </c>
      <c r="M15" s="12">
        <f>Population!$C$12</f>
        <v>3.0312000000000006</v>
      </c>
      <c r="N15" s="12">
        <f t="shared" si="18"/>
        <v>2.0772978676189742</v>
      </c>
      <c r="O15" s="12">
        <f>I15/B15</f>
        <v>0.14222222222222222</v>
      </c>
      <c r="P15" s="12">
        <f>B15-I15-Q15*2</f>
        <v>72.272531888243577</v>
      </c>
      <c r="Q15" s="12">
        <f t="shared" si="19"/>
        <v>60.363734055878211</v>
      </c>
      <c r="R15" s="12">
        <f t="shared" si="20"/>
        <v>3.7097969010077364E-2</v>
      </c>
      <c r="S15" s="12">
        <f>SUM(AR15:AR15)/B15</f>
        <v>2.8608994570352103E-4</v>
      </c>
      <c r="T15" s="12">
        <f t="shared" si="0"/>
        <v>0.95815450882346365</v>
      </c>
      <c r="U15" s="12">
        <f>Population!$B$17*MIN(Y14:Z14)</f>
        <v>0.84292750254789262</v>
      </c>
      <c r="V15" s="12">
        <f>X14*Population!$B$18</f>
        <v>0.36394835501596223</v>
      </c>
      <c r="W15" s="12">
        <f>AN14*T14*Population!$B$16</f>
        <v>0.77330426098075833</v>
      </c>
      <c r="X15" s="12">
        <f t="shared" si="24"/>
        <v>60.363734055878211</v>
      </c>
      <c r="Y15" s="14">
        <f t="shared" si="22"/>
        <v>3.0211415853993131</v>
      </c>
      <c r="Z15" s="13">
        <f t="shared" si="23"/>
        <v>3.0211415853993131</v>
      </c>
      <c r="AA15" s="18">
        <f>(G15+Population!$B$15*AA14)*Population!M$33</f>
        <v>16.789505574893795</v>
      </c>
      <c r="AB15" s="18">
        <f>AA14*Population!$B$16*Population!$M$33+AB14*Population!$B$15*Population!$M$34</f>
        <v>10.517828805012453</v>
      </c>
      <c r="AC15" s="14">
        <f>(AB14*Population!$B$16*0.5*Population!$M$34)+(AC14*Population!$B$15*Population!M$35)</f>
        <v>2.3845111978886822</v>
      </c>
      <c r="AD15" s="13">
        <f>(AB14*Population!$B$16*0.5*Population!$M$34)+(AD14*Population!$B$15*Population!M$35)</f>
        <v>2.3845111978886822</v>
      </c>
      <c r="AE15" s="14">
        <f>(AC14*Population!$B$16*Population!M$35)+(AE14*Population!$B$15*Population!M$37)</f>
        <v>8.0604952611143688</v>
      </c>
      <c r="AF15" s="13">
        <f>(AD14*Population!$B$16*Population!M$35)+(AF14*Population!$B$15*Population!M$37)</f>
        <v>8.0604952611143688</v>
      </c>
      <c r="AG15" s="14">
        <f>(AE14*Population!$B$16*Population!M$37)+(AG14*Population!$B$15*Population!M$39)</f>
        <v>16.958122234713773</v>
      </c>
      <c r="AH15" s="13">
        <f>(AF14*Population!$B$16*Population!M$37)+(AH14*Population!$B$15*Population!M$39)</f>
        <v>16.958122234713773</v>
      </c>
      <c r="AI15" s="14">
        <f>(AG14*Population!$B$16*Population!M$39)+(AI14*Population!$B$15*Population!M$41)</f>
        <v>18.60463772417032</v>
      </c>
      <c r="AJ15" s="13">
        <f>(AH14*Population!$B$16*Population!M$39)+(AJ14*Population!$B$15*Population!M$41)</f>
        <v>18.60463772417032</v>
      </c>
      <c r="AK15" s="14">
        <f>(AI14*Population!$B$16*Population!M$41)+(AK14*Population!$B$15*Population!M$43)</f>
        <v>13.131300375393348</v>
      </c>
      <c r="AL15" s="13">
        <f>(AJ14*Population!$B$16*Population!M$41)+(AL14*Population!$B$15*Population!M$43)</f>
        <v>13.131300375393348</v>
      </c>
      <c r="AM15" s="14">
        <f>(AK14*Population!$B$16*Population!M$43)+(AM14*Population!$B$15*Population!M$45)</f>
        <v>6.6303200458857159</v>
      </c>
      <c r="AN15" s="13">
        <f>(AL14*Population!$B$16*Population!M$43)+(AN14*Population!$B$15*Population!M$45)</f>
        <v>6.6303200458857159</v>
      </c>
      <c r="AO15" s="15">
        <f>(AM14+AN14)*Population!$B$16*Population!$M$45+AO14*Population!$B$15*Population!$M$47</f>
        <v>5.0146990273233953</v>
      </c>
      <c r="AP15" s="5">
        <f>AO14*Population!M$47*Population!$B$16+AP14*Population!$B$15*Population!M$48</f>
        <v>1.4736532819370916</v>
      </c>
      <c r="AQ15" s="5">
        <f>AP14*Population!M$48*Population!$B$16+AQ14*Population!$B$15*Population!M$49</f>
        <v>0.32643169651332404</v>
      </c>
      <c r="AR15" s="5">
        <f>(AQ14*Population!$B$16+AR14)*Population!M$50</f>
        <v>6.4370237783292233E-2</v>
      </c>
      <c r="AS15">
        <f>AS14*(1-Population!$B$12)+M15</f>
        <v>60</v>
      </c>
    </row>
    <row r="16" spans="1:45">
      <c r="A16">
        <f>A15+Population!$B$2</f>
        <v>13</v>
      </c>
      <c r="B16" s="117">
        <f t="shared" si="1"/>
        <v>228</v>
      </c>
      <c r="C16" s="59">
        <f t="shared" si="3"/>
        <v>182</v>
      </c>
      <c r="D16" s="12">
        <f>AD15*Population!$P$36*Population!$C$2+AF15*Population!$P$38*Population!$C$2+AH15*Population!$P$40*Population!$C$2+AJ15*Population!$P$42*Population!$C$2+AL15*Population!$P$44*Population!$C$2+AN14*Population!$P$46*Population!$C$2</f>
        <v>4.4138978861843094</v>
      </c>
      <c r="E16" s="12">
        <f>IF(B15&gt;Population!$B$6*Population!$B$19,Population!$B$11,IF(Population!$J$6=1,D16,Population!$B$11*Population!$B$6*0.9/B15))</f>
        <v>2.8514203965783622</v>
      </c>
      <c r="F16" s="12">
        <f>IF(B15&gt;Population!$B$6*0.75,Population!$B$11,E16)</f>
        <v>2.8514203965783622</v>
      </c>
      <c r="G16" s="15">
        <f>IF(Population!$J$6=1,IF(E16&gt;H15,H15,E16),IF(E16&gt;X15,X15,E16))</f>
        <v>2.8514203965783622</v>
      </c>
      <c r="H16" s="15">
        <f t="shared" si="15"/>
        <v>62</v>
      </c>
      <c r="I16" s="15">
        <f t="shared" si="16"/>
        <v>34</v>
      </c>
      <c r="J16" s="12">
        <f t="shared" si="2"/>
        <v>0.54838709677419351</v>
      </c>
      <c r="K16" s="12">
        <f>AA16*Population!$O$33+AB16*Population!$O$34+AC16*Population!$O$35+AD16*Population!$O$36+AE16*Population!$O$37+AF16*Population!$O$38+AG16*Population!$O$39+AH16*Population!$O$40+AI16*Population!$O$41+AJ16*Population!$O$42+AK16*Population!$O$43+AL16*Population!$O$44+AM16*Population!$O$45+AN16*Population!$O$46+AO16*Population!$O$47+AP16*Population!$O$48+AQ16*Population!$O$49+AR16*Population!$O$50</f>
        <v>0.32971470124251745</v>
      </c>
      <c r="L16" s="12">
        <f t="shared" si="17"/>
        <v>4.599065155771552E-2</v>
      </c>
      <c r="M16" s="12">
        <f>Population!$C$12</f>
        <v>3.0312000000000006</v>
      </c>
      <c r="N16" s="12">
        <f t="shared" si="18"/>
        <v>1.9635671661308312</v>
      </c>
      <c r="O16" s="12">
        <f>I16/B16</f>
        <v>0.14912280701754385</v>
      </c>
      <c r="P16" s="12">
        <f>B16-I16-Q16*2</f>
        <v>74.301431917616753</v>
      </c>
      <c r="Q16" s="12">
        <f t="shared" si="19"/>
        <v>59.849284041191623</v>
      </c>
      <c r="R16" s="12">
        <f t="shared" si="20"/>
        <v>6.4370237783292233E-2</v>
      </c>
      <c r="S16" s="12">
        <f>SUM(AR16:AR16)/B16</f>
        <v>4.6226073984889291E-4</v>
      </c>
      <c r="T16" s="12">
        <f t="shared" si="0"/>
        <v>0.96531103292244558</v>
      </c>
      <c r="U16" s="12">
        <f>Population!$B$17*MIN(Y15:Z15)</f>
        <v>0.75528539634982828</v>
      </c>
      <c r="V16" s="12">
        <f>X15*Population!$B$18</f>
        <v>0.36218240433526927</v>
      </c>
      <c r="W16" s="12">
        <f>AN15*T15*Population!$B$16</f>
        <v>0.90755300670114192</v>
      </c>
      <c r="X16" s="12">
        <f t="shared" si="24"/>
        <v>59.849284041191623</v>
      </c>
      <c r="Y16" s="14">
        <f t="shared" si="22"/>
        <v>2.8166369845320745</v>
      </c>
      <c r="Z16" s="13">
        <f t="shared" si="23"/>
        <v>2.8166369845320745</v>
      </c>
      <c r="AA16" s="18">
        <f>(G16+Population!$B$15*AA15)*Population!M$33</f>
        <v>17.235424750437684</v>
      </c>
      <c r="AB16" s="18">
        <f>AA15*Population!$B$16*Population!$M$33+AB15*Population!$B$15*Population!$M$34</f>
        <v>11.410780399545477</v>
      </c>
      <c r="AC16" s="14">
        <f>(AB15*Population!$B$16*0.5*Population!$M$34)+(AC15*Population!$B$15*Population!M$35)</f>
        <v>2.7930233855811757</v>
      </c>
      <c r="AD16" s="13">
        <f>(AB15*Population!$B$16*0.5*Population!$M$34)+(AD15*Population!$B$15*Population!M$35)</f>
        <v>2.7930233855811757</v>
      </c>
      <c r="AE16" s="14">
        <f>(AC15*Population!$B$16*Population!M$35)+(AE15*Population!$B$15*Population!M$37)</f>
        <v>7.2427314876428941</v>
      </c>
      <c r="AF16" s="13">
        <f>(AD15*Population!$B$16*Population!M$35)+(AF15*Population!$B$15*Population!M$37)</f>
        <v>7.2427314876428941</v>
      </c>
      <c r="AG16" s="14">
        <f>(AE15*Population!$B$16*Population!M$37)+(AG15*Population!$B$15*Population!M$39)</f>
        <v>15.658027064181322</v>
      </c>
      <c r="AH16" s="13">
        <f>(AF15*Population!$B$16*Population!M$37)+(AH15*Population!$B$15*Population!M$39)</f>
        <v>15.658027064181322</v>
      </c>
      <c r="AI16" s="14">
        <f>(AG15*Population!$B$16*Population!M$39)+(AI15*Population!$B$15*Population!M$41)</f>
        <v>18.334151936923231</v>
      </c>
      <c r="AJ16" s="13">
        <f>(AH15*Population!$B$16*Population!M$39)+(AJ15*Population!$B$15*Population!M$41)</f>
        <v>18.334151936923231</v>
      </c>
      <c r="AK16" s="14">
        <f>(AI15*Population!$B$16*Population!M$41)+(AK15*Population!$B$15*Population!M$43)</f>
        <v>13.886492355967922</v>
      </c>
      <c r="AL16" s="13">
        <f>(AJ15*Population!$B$16*Population!M$41)+(AL15*Population!$B$15*Population!M$43)</f>
        <v>13.886492355967922</v>
      </c>
      <c r="AM16" s="14">
        <f>(AK15*Population!$B$16*Population!M$43)+(AM15*Population!$B$15*Population!M$45)</f>
        <v>7.5445181810083266</v>
      </c>
      <c r="AN16" s="13">
        <f>(AL15*Population!$B$16*Population!M$43)+(AN15*Population!$B$15*Population!M$45)</f>
        <v>7.5445181810083266</v>
      </c>
      <c r="AO16" s="15">
        <f>(AM15+AN15)*Population!$B$16*Population!$M$45+AO15*Population!$B$15*Population!$M$47</f>
        <v>6.1578906312924335</v>
      </c>
      <c r="AP16" s="5">
        <f>AO15*Population!M$47*Population!$B$16+AP15*Population!$B$15*Population!M$48</f>
        <v>1.9651654618905126</v>
      </c>
      <c r="AQ16" s="5">
        <f>AP15*Population!M$48*Population!$B$16+AQ15*Population!$B$15*Population!M$49</f>
        <v>0.47465878555369617</v>
      </c>
      <c r="AR16" s="5">
        <f>(AQ15*Population!$B$16+AR15)*Population!M$50</f>
        <v>0.10539544868554758</v>
      </c>
      <c r="AS16">
        <f>AS15*(1-Population!$B$12)+M16</f>
        <v>60</v>
      </c>
    </row>
    <row r="17" spans="1:45">
      <c r="A17">
        <f>A16+Population!$B$2</f>
        <v>14</v>
      </c>
      <c r="B17" s="117">
        <f t="shared" si="1"/>
        <v>230</v>
      </c>
      <c r="C17" s="59">
        <f t="shared" si="3"/>
        <v>180</v>
      </c>
      <c r="D17" s="12">
        <f>AD16*Population!$P$36*Population!$C$2+AF16*Population!$P$38*Population!$C$2+AH16*Population!$P$40*Population!$C$2+AJ16*Population!$P$42*Population!$C$2+AL16*Population!$P$44*Population!$C$2+AN15*Population!$P$46*Population!$C$2</f>
        <v>4.2571759632905053</v>
      </c>
      <c r="E17" s="12">
        <f>IF(B16&gt;Population!$B$6*Population!$B$19,Population!$B$11,IF(Population!$J$6=1,D17,Population!$B$11*Population!$B$6*0.9/B16))</f>
        <v>2.8514203965783622</v>
      </c>
      <c r="F17" s="12">
        <f>IF(B16&gt;Population!$B$6*0.75,Population!$B$11,E17)</f>
        <v>2.8514203965783622</v>
      </c>
      <c r="G17" s="15">
        <f>IF(Population!$J$6=1,IF(E17&gt;H16,H16,E17),IF(E17&gt;X16,X16,E17))</f>
        <v>2.8514203965783622</v>
      </c>
      <c r="H17" s="15">
        <f t="shared" si="15"/>
        <v>61</v>
      </c>
      <c r="I17" s="15">
        <f t="shared" si="16"/>
        <v>36</v>
      </c>
      <c r="J17" s="12">
        <f t="shared" si="2"/>
        <v>0.5901639344262295</v>
      </c>
      <c r="K17" s="12">
        <f>AA17*Population!$O$33+AB17*Population!$O$34+AC17*Population!$O$35+AD17*Population!$O$36+AE17*Population!$O$37+AF17*Population!$O$38+AG17*Population!$O$39+AH17*Population!$O$40+AI17*Population!$O$41+AJ17*Population!$O$42+AK17*Population!$O$43+AL17*Population!$O$44+AM17*Population!$O$45+AN17*Population!$O$46+AO17*Population!$O$47+AP17*Population!$O$48+AQ17*Population!$O$49+AR17*Population!$O$50</f>
        <v>0.35480096952170742</v>
      </c>
      <c r="L17" s="12">
        <f t="shared" si="17"/>
        <v>4.6744596665219053E-2</v>
      </c>
      <c r="M17" s="12">
        <f>Population!$C$12</f>
        <v>3.0312000000000006</v>
      </c>
      <c r="N17" s="12">
        <f t="shared" si="18"/>
        <v>1.8546300241006368</v>
      </c>
      <c r="O17" s="12">
        <f>I17/B17</f>
        <v>0.15652173913043479</v>
      </c>
      <c r="P17" s="12">
        <f>B17-I17-Q17*2</f>
        <v>75.692106730476837</v>
      </c>
      <c r="Q17" s="12">
        <f t="shared" si="19"/>
        <v>59.153946634761581</v>
      </c>
      <c r="R17" s="12">
        <f t="shared" si="20"/>
        <v>0.10539544868554758</v>
      </c>
      <c r="S17" s="12">
        <f>SUM(AR17:AR17)/B17</f>
        <v>7.1501560126285683E-4</v>
      </c>
      <c r="T17" s="12">
        <f t="shared" si="0"/>
        <v>0.96973683007805866</v>
      </c>
      <c r="U17" s="12">
        <f>Population!$B$17*MIN(Y16:Z16)</f>
        <v>0.70415924613301861</v>
      </c>
      <c r="V17" s="12">
        <f>X16*Population!$B$18</f>
        <v>0.35909570424714976</v>
      </c>
      <c r="W17" s="12">
        <f>AN16*T16*Population!$B$16</f>
        <v>1.0404009483159025</v>
      </c>
      <c r="X17" s="12">
        <f t="shared" si="24"/>
        <v>59.153946634761581</v>
      </c>
      <c r="Y17" s="14">
        <f t="shared" si="22"/>
        <v>2.7215636765404057</v>
      </c>
      <c r="Z17" s="13">
        <f t="shared" si="23"/>
        <v>2.7215636765404057</v>
      </c>
      <c r="AA17" s="18">
        <f>(G17+Population!$B$15*AA16)*Population!M$33</f>
        <v>17.617486006745072</v>
      </c>
      <c r="AB17" s="18">
        <f>AA16*Population!$B$16*Population!$M$33+AB16*Population!$B$15*Population!$M$34</f>
        <v>12.239672144531784</v>
      </c>
      <c r="AC17" s="14">
        <f>(AB16*Population!$B$16*0.5*Population!$M$34)+(AC16*Population!$B$15*Population!M$35)</f>
        <v>3.2066108989637274</v>
      </c>
      <c r="AD17" s="13">
        <f>(AB16*Population!$B$16*0.5*Population!$M$34)+(AD16*Population!$B$15*Population!M$35)</f>
        <v>3.2066108989637274</v>
      </c>
      <c r="AE17" s="14">
        <f>(AC16*Population!$B$16*Population!M$35)+(AE16*Population!$B$15*Population!M$37)</f>
        <v>6.6007623745008202</v>
      </c>
      <c r="AF17" s="13">
        <f>(AD16*Population!$B$16*Population!M$35)+(AF16*Population!$B$15*Population!M$37)</f>
        <v>6.6007623745008202</v>
      </c>
      <c r="AG17" s="14">
        <f>(AE16*Population!$B$16*Population!M$37)+(AG16*Population!$B$15*Population!M$39)</f>
        <v>14.429087296834819</v>
      </c>
      <c r="AH17" s="13">
        <f>(AF16*Population!$B$16*Population!M$37)+(AH16*Population!$B$15*Population!M$39)</f>
        <v>14.429087296834819</v>
      </c>
      <c r="AI17" s="14">
        <f>(AG16*Population!$B$16*Population!M$39)+(AI16*Population!$B$15*Population!M$41)</f>
        <v>17.917380834777731</v>
      </c>
      <c r="AJ17" s="13">
        <f>(AH16*Population!$B$16*Population!M$39)+(AJ16*Population!$B$15*Population!M$41)</f>
        <v>17.917380834777731</v>
      </c>
      <c r="AK17" s="14">
        <f>(AI16*Population!$B$16*Population!M$41)+(AK16*Population!$B$15*Population!M$43)</f>
        <v>14.493990301295874</v>
      </c>
      <c r="AL17" s="13">
        <f>(AJ16*Population!$B$16*Population!M$41)+(AL16*Population!$B$15*Population!M$43)</f>
        <v>14.493990301295874</v>
      </c>
      <c r="AM17" s="14">
        <f>(AK16*Population!$B$16*Population!M$43)+(AM16*Population!$B$15*Population!M$45)</f>
        <v>8.4342895038927441</v>
      </c>
      <c r="AN17" s="13">
        <f>(AL16*Population!$B$16*Population!M$43)+(AN16*Population!$B$15*Population!M$45)</f>
        <v>8.4342895038927441</v>
      </c>
      <c r="AO17" s="15">
        <f>(AM16+AN16)*Population!$B$16*Population!$M$45+AO16*Population!$B$15*Population!$M$47</f>
        <v>7.391362993927852</v>
      </c>
      <c r="AP17" s="5">
        <f>AO16*Population!M$47*Population!$B$16+AP16*Population!$B$15*Population!M$48</f>
        <v>2.545536285423772</v>
      </c>
      <c r="AQ17" s="5">
        <f>AP16*Population!M$48*Population!$B$16+AQ16*Population!$B$15*Population!M$49</f>
        <v>0.66499887921956391</v>
      </c>
      <c r="AR17" s="5">
        <f>(AQ16*Population!$B$16+AR16)*Population!M$50</f>
        <v>0.16445358829045706</v>
      </c>
      <c r="AS17">
        <f>AS16*(1-Population!$B$12)+M17</f>
        <v>60</v>
      </c>
    </row>
    <row r="18" spans="1:45">
      <c r="A18">
        <f>A17+Population!$B$2</f>
        <v>15</v>
      </c>
      <c r="B18" s="117">
        <f t="shared" si="1"/>
        <v>233</v>
      </c>
      <c r="C18" s="59">
        <f t="shared" si="3"/>
        <v>179</v>
      </c>
      <c r="D18" s="12">
        <f>AD17*Population!$P$36*Population!$C$2+AF17*Population!$P$38*Population!$C$2+AH17*Population!$P$40*Population!$C$2+AJ17*Population!$P$42*Population!$C$2+AL17*Population!$P$44*Population!$C$2+AN16*Population!$P$46*Population!$C$2</f>
        <v>4.1049523613123631</v>
      </c>
      <c r="E18" s="12">
        <f>IF(B17&gt;Population!$B$6*Population!$B$19,Population!$B$11,IF(Population!$J$6=1,D18,Population!$B$11*Population!$B$6*0.9/B17))</f>
        <v>2.8514203965783622</v>
      </c>
      <c r="F18" s="12">
        <f>IF(B17&gt;Population!$B$6*0.75,Population!$B$11,E18)</f>
        <v>2.8514203965783622</v>
      </c>
      <c r="G18" s="15">
        <f>IF(Population!$J$6=1,IF(E18&gt;H17,H17,E18),IF(E18&gt;X17,X17,E18))</f>
        <v>2.8514203965783622</v>
      </c>
      <c r="H18" s="15">
        <f t="shared" si="15"/>
        <v>61</v>
      </c>
      <c r="I18" s="15">
        <f t="shared" si="16"/>
        <v>38</v>
      </c>
      <c r="J18" s="12">
        <f t="shared" si="2"/>
        <v>0.62295081967213117</v>
      </c>
      <c r="K18" s="12">
        <f>AA18*Population!$O$33+AB18*Population!$O$34+AC18*Population!$O$35+AD18*Population!$O$36+AE18*Population!$O$37+AF18*Population!$O$38+AG18*Population!$O$39+AH18*Population!$O$40+AI18*Population!$O$41+AJ18*Population!$O$42+AK18*Population!$O$43+AL18*Population!$O$44+AM18*Population!$O$45+AN18*Population!$O$46+AO18*Population!$O$47+AP18*Population!$O$48+AQ18*Population!$O$49+AR18*Population!$O$50</f>
        <v>0.38396978703569506</v>
      </c>
      <c r="L18" s="12">
        <f t="shared" si="17"/>
        <v>4.6744596665219053E-2</v>
      </c>
      <c r="M18" s="12">
        <f>Population!$C$12</f>
        <v>3.0312000000000006</v>
      </c>
      <c r="N18" s="12">
        <f t="shared" si="18"/>
        <v>1.7515130534728331</v>
      </c>
      <c r="O18" s="12">
        <f>I18/B18</f>
        <v>0.1630901287553648</v>
      </c>
      <c r="P18" s="12">
        <f>B18-I18-Q18*2</f>
        <v>78.37804115681395</v>
      </c>
      <c r="Q18" s="12">
        <f t="shared" si="19"/>
        <v>58.310979421593025</v>
      </c>
      <c r="R18" s="12">
        <f t="shared" si="20"/>
        <v>0.16445358829045706</v>
      </c>
      <c r="S18" s="12">
        <f>SUM(AR18:AR18)/B18</f>
        <v>1.0572782874994199E-3</v>
      </c>
      <c r="T18" s="12">
        <f t="shared" si="0"/>
        <v>0.95591769543595118</v>
      </c>
      <c r="U18" s="12">
        <f>Population!$B$17*MIN(Y17:Z17)</f>
        <v>0.68039091913510141</v>
      </c>
      <c r="V18" s="12">
        <f>X17*Population!$B$18</f>
        <v>0.35492367980856948</v>
      </c>
      <c r="W18" s="12">
        <f>AN17*T17*Population!$B$16</f>
        <v>1.1684344524950845</v>
      </c>
      <c r="X18" s="12">
        <f t="shared" si="24"/>
        <v>58.310979421593025</v>
      </c>
      <c r="Y18" s="14">
        <f t="shared" si="22"/>
        <v>2.7071784658033735</v>
      </c>
      <c r="Z18" s="13">
        <f t="shared" si="23"/>
        <v>2.7071784658033735</v>
      </c>
      <c r="AA18" s="18">
        <f>(G18+Population!$B$15*AA17)*Population!M$33</f>
        <v>17.944834126262784</v>
      </c>
      <c r="AB18" s="18">
        <f>AA17*Population!$B$16*Population!$M$33+AB17*Population!$B$15*Population!$M$34</f>
        <v>13.004548945317419</v>
      </c>
      <c r="AC18" s="14">
        <f>(AB17*Population!$B$16*0.5*Population!$M$34)+(AC17*Population!$B$15*Population!M$35)</f>
        <v>3.6199698716873892</v>
      </c>
      <c r="AD18" s="13">
        <f>(AB17*Population!$B$16*0.5*Population!$M$34)+(AD17*Population!$B$15*Population!M$35)</f>
        <v>3.6199698716873892</v>
      </c>
      <c r="AE18" s="14">
        <f>(AC17*Population!$B$16*Population!M$35)+(AE17*Population!$B$15*Population!M$37)</f>
        <v>6.1100551552177924</v>
      </c>
      <c r="AF18" s="13">
        <f>(AD17*Population!$B$16*Population!M$35)+(AF17*Population!$B$15*Population!M$37)</f>
        <v>6.1100551552177924</v>
      </c>
      <c r="AG18" s="14">
        <f>(AE17*Population!$B$16*Population!M$37)+(AG17*Population!$B$15*Population!M$39)</f>
        <v>13.286110363329616</v>
      </c>
      <c r="AH18" s="13">
        <f>(AF17*Population!$B$16*Population!M$37)+(AH17*Population!$B$15*Population!M$39)</f>
        <v>13.286110363329616</v>
      </c>
      <c r="AI18" s="14">
        <f>(AG17*Population!$B$16*Population!M$39)+(AI17*Population!$B$15*Population!M$41)</f>
        <v>17.385608604382092</v>
      </c>
      <c r="AJ18" s="13">
        <f>(AH17*Population!$B$16*Population!M$39)+(AJ17*Population!$B$15*Population!M$41)</f>
        <v>17.385608604382092</v>
      </c>
      <c r="AK18" s="14">
        <f>(AI17*Population!$B$16*Population!M$41)+(AK17*Population!$B$15*Population!M$43)</f>
        <v>14.954278643297039</v>
      </c>
      <c r="AL18" s="13">
        <f>(AJ17*Population!$B$16*Population!M$41)+(AL17*Population!$B$15*Population!M$43)</f>
        <v>14.954278643297039</v>
      </c>
      <c r="AM18" s="14">
        <f>(AK17*Population!$B$16*Population!M$43)+(AM17*Population!$B$15*Population!M$45)</f>
        <v>9.2821051211698578</v>
      </c>
      <c r="AN18" s="13">
        <f>(AL17*Population!$B$16*Population!M$43)+(AN17*Population!$B$15*Population!M$45)</f>
        <v>9.2821051211698578</v>
      </c>
      <c r="AO18" s="15">
        <f>(AM17+AN17)*Population!$B$16*Population!$M$45+AO17*Population!$B$15*Population!$M$47</f>
        <v>8.6946921442031133</v>
      </c>
      <c r="AP18" s="5">
        <f>AO17*Population!M$47*Population!$B$16+AP17*Population!$B$15*Population!M$48</f>
        <v>3.2143232137640823</v>
      </c>
      <c r="AQ18" s="5">
        <f>AP17*Population!M$48*Population!$B$16+AQ17*Population!$B$15*Population!M$49</f>
        <v>0.90221428034325701</v>
      </c>
      <c r="AR18" s="5">
        <f>(AQ17*Population!$B$16+AR17)*Population!M$50</f>
        <v>0.24634584098736484</v>
      </c>
      <c r="AS18">
        <f>AS17*(1-Population!$B$12)+M18</f>
        <v>60</v>
      </c>
    </row>
    <row r="19" spans="1:45">
      <c r="A19">
        <f>A18+Population!$B$2</f>
        <v>16</v>
      </c>
      <c r="B19" s="117">
        <f t="shared" si="1"/>
        <v>235</v>
      </c>
      <c r="C19" s="59">
        <f t="shared" ref="C4:C67" si="25">FLOOR(B19-I19-G19-SUM(AO19:AR19),1)</f>
        <v>177</v>
      </c>
      <c r="D19" s="12">
        <f>AD18*Population!$P$36*Population!$C$2+AF18*Population!$P$38*Population!$C$2+AH18*Population!$P$40*Population!$C$2+AJ18*Population!$P$42*Population!$C$2+AL18*Population!$P$44*Population!$C$2+AN17*Population!$P$46*Population!$C$2</f>
        <v>3.9585042375465487</v>
      </c>
      <c r="E19" s="12">
        <f>IF(B18&gt;Population!$B$6*Population!$B$19,Population!$B$11,IF(Population!$J$6=1,D19,Population!$B$11*Population!$B$6*0.9/B18))</f>
        <v>2.8514203965783622</v>
      </c>
      <c r="F19" s="12">
        <f>IF(B18&gt;Population!$B$6*0.75,Population!$B$11,E19)</f>
        <v>2.8514203965783622</v>
      </c>
      <c r="G19" s="15">
        <f>IF(Population!$J$6=1,IF(E19&gt;H18,H18,E19),IF(E19&gt;X18,X18,E19))</f>
        <v>2.8514203965783622</v>
      </c>
      <c r="H19" s="15">
        <f t="shared" si="15"/>
        <v>60</v>
      </c>
      <c r="I19" s="15">
        <f t="shared" si="16"/>
        <v>39</v>
      </c>
      <c r="J19" s="12">
        <f t="shared" si="2"/>
        <v>0.65</v>
      </c>
      <c r="K19" s="12">
        <f>AA19*Population!$O$33+AB19*Population!$O$34+AC19*Population!$O$35+AD19*Population!$O$36+AE19*Population!$O$37+AF19*Population!$O$38+AG19*Population!$O$39+AH19*Population!$O$40+AI19*Population!$O$41+AJ19*Population!$O$42+AK19*Population!$O$43+AL19*Population!$O$44+AM19*Population!$O$45+AN19*Population!$O$46+AO19*Population!$O$47+AP19*Population!$O$48+AQ19*Population!$O$49+AR19*Population!$O$50</f>
        <v>0.41755157929887049</v>
      </c>
      <c r="L19" s="12">
        <f t="shared" si="17"/>
        <v>4.7523673276306036E-2</v>
      </c>
      <c r="M19" s="12">
        <f>Population!$C$12</f>
        <v>3.0312000000000006</v>
      </c>
      <c r="N19" s="12">
        <f t="shared" si="18"/>
        <v>1.6549913100964488</v>
      </c>
      <c r="O19" s="12">
        <f>I19/B19</f>
        <v>0.16595744680851063</v>
      </c>
      <c r="P19" s="12">
        <f>B19-I19-Q19*2</f>
        <v>81.259306115892215</v>
      </c>
      <c r="Q19" s="12">
        <f t="shared" si="19"/>
        <v>57.370346942053892</v>
      </c>
      <c r="R19" s="12">
        <f t="shared" si="20"/>
        <v>0.24634584098736484</v>
      </c>
      <c r="S19" s="12">
        <f>SUM(AR19:AR19)/B19</f>
        <v>1.5160714641976279E-3</v>
      </c>
      <c r="T19" s="12">
        <f t="shared" si="0"/>
        <v>0.95617244903423149</v>
      </c>
      <c r="U19" s="12">
        <f>Population!$B$17*MIN(Y18:Z18)</f>
        <v>0.67679461645084338</v>
      </c>
      <c r="V19" s="12">
        <f>X18*Population!$B$18</f>
        <v>0.34986587652955814</v>
      </c>
      <c r="W19" s="12">
        <f>AN18*T18*Population!$B$16</f>
        <v>1.2675612194604187</v>
      </c>
      <c r="X19" s="12">
        <f t="shared" si="24"/>
        <v>57.370346942053892</v>
      </c>
      <c r="Y19" s="14">
        <f t="shared" si="22"/>
        <v>2.7297411571141552</v>
      </c>
      <c r="Z19" s="13">
        <f t="shared" si="23"/>
        <v>2.7297411571141552</v>
      </c>
      <c r="AA19" s="18">
        <f>(G19+Population!$B$15*AA18)*Population!M$33</f>
        <v>18.22530431156094</v>
      </c>
      <c r="AB19" s="18">
        <f>AA18*Population!$B$16*Population!$M$33+AB18*Population!$B$15*Population!$M$34</f>
        <v>13.706755150633693</v>
      </c>
      <c r="AC19" s="14">
        <f>(AB18*Population!$B$16*0.5*Population!$M$34)+(AC18*Population!$B$15*Population!M$35)</f>
        <v>4.0285616719000554</v>
      </c>
      <c r="AD19" s="13">
        <f>(AB18*Population!$B$16*0.5*Population!$M$34)+(AD18*Population!$B$15*Population!M$35)</f>
        <v>4.0285616719000554</v>
      </c>
      <c r="AE19" s="14">
        <f>(AC18*Population!$B$16*Population!M$35)+(AE18*Population!$B$15*Population!M$37)</f>
        <v>5.7488448109041279</v>
      </c>
      <c r="AF19" s="13">
        <f>(AD18*Population!$B$16*Population!M$35)+(AF18*Population!$B$15*Population!M$37)</f>
        <v>5.7488448109041279</v>
      </c>
      <c r="AG19" s="14">
        <f>(AE18*Population!$B$16*Population!M$37)+(AG18*Population!$B$15*Population!M$39)</f>
        <v>12.238262637321002</v>
      </c>
      <c r="AH19" s="13">
        <f>(AF18*Population!$B$16*Population!M$37)+(AH18*Population!$B$15*Population!M$39)</f>
        <v>12.238262637321002</v>
      </c>
      <c r="AI19" s="14">
        <f>(AG18*Population!$B$16*Population!M$39)+(AI18*Population!$B$15*Population!M$41)</f>
        <v>16.767710063800301</v>
      </c>
      <c r="AJ19" s="13">
        <f>(AH18*Population!$B$16*Population!M$39)+(AJ18*Population!$B$15*Population!M$41)</f>
        <v>16.767710063800301</v>
      </c>
      <c r="AK19" s="14">
        <f>(AI18*Population!$B$16*Population!M$41)+(AK18*Population!$B$15*Population!M$43)</f>
        <v>15.272232400810449</v>
      </c>
      <c r="AL19" s="13">
        <f>(AJ18*Population!$B$16*Population!M$41)+(AL18*Population!$B$15*Population!M$43)</f>
        <v>15.272232400810449</v>
      </c>
      <c r="AM19" s="14">
        <f>(AK18*Population!$B$16*Population!M$43)+(AM18*Population!$B$15*Population!M$45)</f>
        <v>10.073038186332168</v>
      </c>
      <c r="AN19" s="13">
        <f>(AL18*Population!$B$16*Population!M$43)+(AN18*Population!$B$15*Population!M$45)</f>
        <v>10.073038186332168</v>
      </c>
      <c r="AO19" s="15">
        <f>(AM18+AN18)*Population!$B$16*Population!$M$45+AO18*Population!$B$15*Population!$M$47</f>
        <v>10.045500102231468</v>
      </c>
      <c r="AP19" s="5">
        <f>AO18*Population!M$47*Population!$B$16+AP18*Population!$B$15*Population!M$48</f>
        <v>3.9682531212776286</v>
      </c>
      <c r="AQ19" s="5">
        <f>AP18*Population!M$48*Population!$B$16+AQ18*Population!$B$15*Population!M$49</f>
        <v>1.1901179799808839</v>
      </c>
      <c r="AR19" s="5">
        <f>(AQ18*Population!$B$16+AR18)*Population!M$50</f>
        <v>0.35627679408644258</v>
      </c>
      <c r="AS19">
        <f>AS18*(1-Population!$B$12)+M19</f>
        <v>60</v>
      </c>
    </row>
    <row r="20" spans="1:45">
      <c r="A20">
        <f>A19+Population!$B$2</f>
        <v>17</v>
      </c>
      <c r="B20" s="117">
        <f t="shared" si="1"/>
        <v>238</v>
      </c>
      <c r="C20" s="59">
        <f t="shared" si="25"/>
        <v>175</v>
      </c>
      <c r="D20" s="12">
        <f>AD19*Population!$P$36*Population!$C$2+AF19*Population!$P$38*Population!$C$2+AH19*Population!$P$40*Population!$C$2+AJ19*Population!$P$42*Population!$C$2+AL19*Population!$P$44*Population!$C$2+AN18*Population!$P$46*Population!$C$2</f>
        <v>3.8188424692584673</v>
      </c>
      <c r="E20" s="12">
        <f>IF(B19&gt;Population!$B$6*Population!$B$19,Population!$B$11,IF(Population!$J$6=1,D20,Population!$B$11*Population!$B$6*0.9/B19))</f>
        <v>2.8514203965783622</v>
      </c>
      <c r="F20" s="12">
        <f>IF(B19&gt;Population!$B$6*0.75,Population!$B$11,E20)</f>
        <v>2.8514203965783622</v>
      </c>
      <c r="G20" s="15">
        <f>IF(Population!$J$6=1,IF(E20&gt;H19,H19,E20),IF(E20&gt;X19,X19,E20))</f>
        <v>2.8514203965783622</v>
      </c>
      <c r="H20" s="15">
        <f t="shared" si="15"/>
        <v>59</v>
      </c>
      <c r="I20" s="15">
        <f t="shared" si="16"/>
        <v>41</v>
      </c>
      <c r="J20" s="12">
        <f t="shared" si="2"/>
        <v>0.69491525423728817</v>
      </c>
      <c r="K20" s="12">
        <f>AA20*Population!$O$33+AB20*Population!$O$34+AC20*Population!$O$35+AD20*Population!$O$36+AE20*Population!$O$37+AF20*Population!$O$38+AG20*Population!$O$39+AH20*Population!$O$40+AI20*Population!$O$41+AJ20*Population!$O$42+AK20*Population!$O$43+AL20*Population!$O$44+AM20*Population!$O$45+AN20*Population!$O$46+AO20*Population!$O$47+AP20*Population!$O$48+AQ20*Population!$O$49+AR20*Population!$O$50</f>
        <v>0.45580610078998324</v>
      </c>
      <c r="L20" s="12">
        <f t="shared" si="17"/>
        <v>4.8329159264040036E-2</v>
      </c>
      <c r="M20" s="12">
        <f>Population!$C$12</f>
        <v>3.0312000000000006</v>
      </c>
      <c r="N20" s="12">
        <f t="shared" si="18"/>
        <v>1.5656104636700023</v>
      </c>
      <c r="O20" s="12">
        <f>I20/B20</f>
        <v>0.17226890756302521</v>
      </c>
      <c r="P20" s="12">
        <f>B20-I20-Q20*2</f>
        <v>84.334754441165671</v>
      </c>
      <c r="Q20" s="12">
        <f t="shared" si="19"/>
        <v>56.332622779417164</v>
      </c>
      <c r="R20" s="12">
        <f t="shared" si="20"/>
        <v>0.35627679408644258</v>
      </c>
      <c r="S20" s="12">
        <f>SUM(AR20:AR20)/B20</f>
        <v>2.0996020724949691E-3</v>
      </c>
      <c r="T20" s="12">
        <f t="shared" si="0"/>
        <v>0.95479021660029095</v>
      </c>
      <c r="U20" s="12">
        <f>Population!$B$17*MIN(Y19:Z19)</f>
        <v>0.6824352892785388</v>
      </c>
      <c r="V20" s="12">
        <f>X19*Population!$B$18</f>
        <v>0.34422208165232338</v>
      </c>
      <c r="W20" s="12">
        <f>AN19*T19*Population!$B$16</f>
        <v>1.3759373702629374</v>
      </c>
      <c r="X20" s="12">
        <f t="shared" si="24"/>
        <v>56.332622779417164</v>
      </c>
      <c r="Y20" s="14">
        <f t="shared" si="22"/>
        <v>2.7963500691915328</v>
      </c>
      <c r="Z20" s="13">
        <f t="shared" si="23"/>
        <v>2.7963500691915328</v>
      </c>
      <c r="AA20" s="18">
        <f>(G20+Population!$B$15*AA19)*Population!M$33</f>
        <v>18.465609723906308</v>
      </c>
      <c r="AB20" s="18">
        <f>AA19*Population!$B$16*Population!$M$33+AB19*Population!$B$15*Population!$M$34</f>
        <v>14.348561660337037</v>
      </c>
      <c r="AC20" s="14">
        <f>(AB19*Population!$B$16*0.5*Population!$M$34)+(AC19*Population!$B$15*Population!M$35)</f>
        <v>4.4285957544461159</v>
      </c>
      <c r="AD20" s="13">
        <f>(AB19*Population!$B$16*0.5*Population!$M$34)+(AD19*Population!$B$15*Population!M$35)</f>
        <v>4.4285957544461159</v>
      </c>
      <c r="AE20" s="14">
        <f>(AC19*Population!$B$16*Population!M$35)+(AE19*Population!$B$15*Population!M$37)</f>
        <v>5.4978456319175368</v>
      </c>
      <c r="AF20" s="13">
        <f>(AD19*Population!$B$16*Population!M$35)+(AF19*Population!$B$15*Population!M$37)</f>
        <v>5.4978456319175368</v>
      </c>
      <c r="AG20" s="14">
        <f>(AE19*Population!$B$16*Population!M$37)+(AG19*Population!$B$15*Population!M$39)</f>
        <v>11.290279600020487</v>
      </c>
      <c r="AH20" s="13">
        <f>(AF19*Population!$B$16*Population!M$37)+(AH19*Population!$B$15*Population!M$39)</f>
        <v>11.290279600020487</v>
      </c>
      <c r="AI20" s="14">
        <f>(AG19*Population!$B$16*Population!M$39)+(AI19*Population!$B$15*Population!M$41)</f>
        <v>16.089694505132023</v>
      </c>
      <c r="AJ20" s="13">
        <f>(AH19*Population!$B$16*Population!M$39)+(AJ19*Population!$B$15*Population!M$41)</f>
        <v>16.089694505132023</v>
      </c>
      <c r="AK20" s="14">
        <f>(AI19*Population!$B$16*Population!M$41)+(AK19*Population!$B$15*Population!M$43)</f>
        <v>15.456139192583308</v>
      </c>
      <c r="AL20" s="13">
        <f>(AJ19*Population!$B$16*Population!M$41)+(AL19*Population!$B$15*Population!M$43)</f>
        <v>15.456139192583308</v>
      </c>
      <c r="AM20" s="14">
        <f>(AK19*Population!$B$16*Population!M$43)+(AM19*Population!$B$15*Population!M$45)</f>
        <v>10.795013918955338</v>
      </c>
      <c r="AN20" s="13">
        <f>(AL19*Population!$B$16*Population!M$43)+(AN19*Population!$B$15*Population!M$45)</f>
        <v>10.795013918955338</v>
      </c>
      <c r="AO20" s="15">
        <f>(AM19+AN19)*Population!$B$16*Population!$M$45+AO19*Population!$B$15*Population!$M$47</f>
        <v>11.42048818071008</v>
      </c>
      <c r="AP20" s="5">
        <f>AO19*Population!M$47*Population!$B$16+AP19*Population!$B$15*Population!M$48</f>
        <v>4.8013671347686415</v>
      </c>
      <c r="AQ20" s="5">
        <f>AP19*Population!M$48*Population!$B$16+AQ19*Population!$B$15*Population!M$49</f>
        <v>1.5313489434202663</v>
      </c>
      <c r="AR20" s="5">
        <f>(AQ19*Population!$B$16+AR19)*Population!M$50</f>
        <v>0.49970529325380264</v>
      </c>
      <c r="AS20">
        <f>AS19*(1-Population!$B$12)+M20</f>
        <v>60</v>
      </c>
    </row>
    <row r="21" spans="1:45">
      <c r="A21">
        <f>A20+Population!$B$2</f>
        <v>18</v>
      </c>
      <c r="B21" s="117">
        <f t="shared" si="1"/>
        <v>240</v>
      </c>
      <c r="C21" s="59">
        <f t="shared" si="25"/>
        <v>173</v>
      </c>
      <c r="D21" s="12">
        <f>AD20*Population!$P$36*Population!$C$2+AF20*Population!$P$38*Population!$C$2+AH20*Population!$P$40*Population!$C$2+AJ20*Population!$P$42*Population!$C$2+AL20*Population!$P$44*Population!$C$2+AN19*Population!$P$46*Population!$C$2</f>
        <v>3.6867374299040661</v>
      </c>
      <c r="E21" s="12">
        <f>IF(B20&gt;Population!$B$6*Population!$B$19,Population!$B$11,IF(Population!$J$6=1,D21,Population!$B$11*Population!$B$6*0.9/B20))</f>
        <v>2.8514203965783622</v>
      </c>
      <c r="F21" s="12">
        <f>IF(B20&gt;Population!$B$6*0.75,Population!$B$11,E21)</f>
        <v>2.8514203965783622</v>
      </c>
      <c r="G21" s="15">
        <f>IF(Population!$J$6=1,IF(E21&gt;H20,H20,E21),IF(E21&gt;X20,X20,E21))</f>
        <v>2.8514203965783622</v>
      </c>
      <c r="H21" s="15">
        <f t="shared" si="15"/>
        <v>58</v>
      </c>
      <c r="I21" s="15">
        <f t="shared" si="16"/>
        <v>43</v>
      </c>
      <c r="J21" s="12">
        <f t="shared" si="2"/>
        <v>0.74137931034482762</v>
      </c>
      <c r="K21" s="12">
        <f>AA21*Population!$O$33+AB21*Population!$O$34+AC21*Population!$O$35+AD21*Population!$O$36+AE21*Population!$O$37+AF21*Population!$O$38+AG21*Population!$O$39+AH21*Population!$O$40+AI21*Population!$O$41+AJ21*Population!$O$42+AK21*Population!$O$43+AL21*Population!$O$44+AM21*Population!$O$45+AN21*Population!$O$46+AO21*Population!$O$47+AP21*Population!$O$48+AQ21*Population!$O$49+AR21*Population!$O$50</f>
        <v>0.49891363713589965</v>
      </c>
      <c r="L21" s="12">
        <f t="shared" si="17"/>
        <v>4.9162420630661417E-2</v>
      </c>
      <c r="M21" s="12">
        <f>Population!$C$12</f>
        <v>3.0312000000000006</v>
      </c>
      <c r="N21" s="12">
        <f t="shared" si="18"/>
        <v>1.4837118924511326</v>
      </c>
      <c r="O21" s="12">
        <f>I21/B21</f>
        <v>0.17916666666666667</v>
      </c>
      <c r="P21" s="12">
        <f>B21-I21-Q21*2</f>
        <v>86.557420502175063</v>
      </c>
      <c r="Q21" s="12">
        <f t="shared" si="19"/>
        <v>55.221289748912469</v>
      </c>
      <c r="R21" s="12">
        <f t="shared" si="20"/>
        <v>0.49970529325380264</v>
      </c>
      <c r="S21" s="12">
        <f>SUM(AR21:AR21)/B21</f>
        <v>2.8423848021839394E-3</v>
      </c>
      <c r="T21" s="12">
        <f t="shared" si="0"/>
        <v>0.95209120256745638</v>
      </c>
      <c r="U21" s="12">
        <f>Population!$B$17*MIN(Y20:Z20)</f>
        <v>0.69908751729788321</v>
      </c>
      <c r="V21" s="12">
        <f>X20*Population!$B$18</f>
        <v>0.33799573667650301</v>
      </c>
      <c r="W21" s="12">
        <f>AN20*T20*Population!$B$16</f>
        <v>1.4724248111260745</v>
      </c>
      <c r="X21" s="12">
        <f t="shared" si="24"/>
        <v>55.221289748912469</v>
      </c>
      <c r="Y21" s="14">
        <f t="shared" si="22"/>
        <v>2.8923415757616979</v>
      </c>
      <c r="Z21" s="13">
        <f t="shared" si="23"/>
        <v>2.8923415757616979</v>
      </c>
      <c r="AA21" s="18">
        <f>(G21+Population!$B$15*AA20)*Population!M$33</f>
        <v>18.671502165347409</v>
      </c>
      <c r="AB21" s="18">
        <f>AA20*Population!$B$16*Population!$M$33+AB20*Population!$B$15*Population!$M$34</f>
        <v>14.932873155734169</v>
      </c>
      <c r="AC21" s="14">
        <f>(AB20*Population!$B$16*0.5*Population!$M$34)+(AC20*Population!$B$15*Population!M$35)</f>
        <v>4.8169883475906436</v>
      </c>
      <c r="AD21" s="13">
        <f>(AB20*Population!$B$16*0.5*Population!$M$34)+(AD20*Population!$B$15*Population!M$35)</f>
        <v>4.8169883475906436</v>
      </c>
      <c r="AE21" s="14">
        <f>(AC20*Population!$B$16*Population!M$35)+(AE20*Population!$B$15*Population!M$37)</f>
        <v>5.340001773267721</v>
      </c>
      <c r="AF21" s="13">
        <f>(AD20*Population!$B$16*Population!M$35)+(AF20*Population!$B$15*Population!M$37)</f>
        <v>5.340001773267721</v>
      </c>
      <c r="AG21" s="14">
        <f>(AE20*Population!$B$16*Population!M$37)+(AG20*Population!$B$15*Population!M$39)</f>
        <v>10.443459966308716</v>
      </c>
      <c r="AH21" s="13">
        <f>(AF20*Population!$B$16*Population!M$37)+(AH20*Population!$B$15*Population!M$39)</f>
        <v>10.443459966308716</v>
      </c>
      <c r="AI21" s="14">
        <f>(AG20*Population!$B$16*Population!M$39)+(AI20*Population!$B$15*Population!M$41)</f>
        <v>15.374488001897351</v>
      </c>
      <c r="AJ21" s="13">
        <f>(AH20*Population!$B$16*Population!M$39)+(AJ20*Population!$B$15*Population!M$41)</f>
        <v>15.374488001897351</v>
      </c>
      <c r="AK21" s="14">
        <f>(AI20*Population!$B$16*Population!M$41)+(AK20*Population!$B$15*Population!M$43)</f>
        <v>15.516797531954781</v>
      </c>
      <c r="AL21" s="13">
        <f>(AJ20*Population!$B$16*Population!M$41)+(AL20*Population!$B$15*Population!M$43)</f>
        <v>15.516797531954781</v>
      </c>
      <c r="AM21" s="14">
        <f>(AK20*Population!$B$16*Population!M$43)+(AM20*Population!$B$15*Population!M$45)</f>
        <v>11.438884051245601</v>
      </c>
      <c r="AN21" s="13">
        <f>(AL20*Population!$B$16*Population!M$43)+(AN20*Population!$B$15*Population!M$45)</f>
        <v>11.438884051245601</v>
      </c>
      <c r="AO21" s="15">
        <f>(AM20+AN20)*Population!$B$16*Population!$M$45+AO20*Population!$B$15*Population!$M$47</f>
        <v>12.796387547551641</v>
      </c>
      <c r="AP21" s="5">
        <f>AO20*Population!M$47*Population!$B$16+AP20*Population!$B$15*Population!M$48</f>
        <v>5.7052904256641925</v>
      </c>
      <c r="AQ21" s="5">
        <f>AP20*Population!M$48*Population!$B$16+AQ20*Population!$B$15*Population!M$49</f>
        <v>1.9272097702619453</v>
      </c>
      <c r="AR21" s="5">
        <f>(AQ20*Population!$B$16+AR20)*Population!M$50</f>
        <v>0.68217235252414543</v>
      </c>
      <c r="AS21">
        <f>AS20*(1-Population!$B$12)+M21</f>
        <v>60</v>
      </c>
    </row>
    <row r="22" spans="1:45">
      <c r="A22">
        <f>A21+Population!$B$2</f>
        <v>19</v>
      </c>
      <c r="B22" s="117">
        <f t="shared" si="1"/>
        <v>242</v>
      </c>
      <c r="C22" s="59">
        <f t="shared" si="25"/>
        <v>171</v>
      </c>
      <c r="D22" s="12">
        <f>AD21*Population!$P$36*Population!$C$2+AF21*Population!$P$38*Population!$C$2+AH21*Population!$P$40*Population!$C$2+AJ21*Population!$P$42*Population!$C$2+AL21*Population!$P$44*Population!$C$2+AN20*Population!$P$46*Population!$C$2</f>
        <v>3.5627459694971746</v>
      </c>
      <c r="E22" s="12">
        <f>IF(B21&gt;Population!$B$6*Population!$B$19,Population!$B$11,IF(Population!$J$6=1,D22,Population!$B$11*Population!$B$6*0.9/B21))</f>
        <v>2.8514203965783622</v>
      </c>
      <c r="F22" s="12">
        <f>IF(B21&gt;Population!$B$6*0.75,Population!$B$11,E22)</f>
        <v>2.8514203965783622</v>
      </c>
      <c r="G22" s="15">
        <f>IF(Population!$J$6=1,IF(E22&gt;H21,H21,E22),IF(E22&gt;X21,X21,E22))</f>
        <v>2.8514203965783622</v>
      </c>
      <c r="H22" s="15">
        <f t="shared" si="15"/>
        <v>57</v>
      </c>
      <c r="I22" s="15">
        <f t="shared" si="16"/>
        <v>44</v>
      </c>
      <c r="J22" s="12">
        <f t="shared" si="2"/>
        <v>0.77192982456140347</v>
      </c>
      <c r="K22" s="12">
        <f>AA22*Population!$O$33+AB22*Population!$O$34+AC22*Population!$O$35+AD22*Population!$O$36+AE22*Population!$O$37+AF22*Population!$O$38+AG22*Population!$O$39+AH22*Population!$O$40+AI22*Population!$O$41+AJ22*Population!$O$42+AK22*Population!$O$43+AL22*Population!$O$44+AM22*Population!$O$45+AN22*Population!$O$46+AO22*Population!$O$47+AP22*Population!$O$48+AQ22*Population!$O$49+AR22*Population!$O$50</f>
        <v>0.54696866291468915</v>
      </c>
      <c r="L22" s="12">
        <f t="shared" si="17"/>
        <v>5.0024919238216878E-2</v>
      </c>
      <c r="M22" s="12">
        <f>Population!$C$12</f>
        <v>3.0312000000000006</v>
      </c>
      <c r="N22" s="12">
        <f t="shared" si="18"/>
        <v>1.4094589155820139</v>
      </c>
      <c r="O22" s="12">
        <f>I22/B22</f>
        <v>0.18181818181818182</v>
      </c>
      <c r="P22" s="12">
        <f>B22-I22-Q22*2</f>
        <v>89.885579726246917</v>
      </c>
      <c r="Q22" s="12">
        <f t="shared" si="19"/>
        <v>54.057210136876542</v>
      </c>
      <c r="R22" s="12">
        <f t="shared" si="20"/>
        <v>0.68217235252414543</v>
      </c>
      <c r="S22" s="12">
        <f>SUM(AR22:AR22)/B22</f>
        <v>3.7566766054254372E-3</v>
      </c>
      <c r="T22" s="12">
        <f t="shared" si="0"/>
        <v>0.94837210766450075</v>
      </c>
      <c r="U22" s="12">
        <f>Population!$B$17*MIN(Y21:Z21)</f>
        <v>0.72308539394042448</v>
      </c>
      <c r="V22" s="12">
        <f>X21*Population!$B$18</f>
        <v>0.3313277384934748</v>
      </c>
      <c r="W22" s="12">
        <f>AN21*T21*Population!$B$16</f>
        <v>1.5558372674828744</v>
      </c>
      <c r="X22" s="12">
        <f t="shared" si="24"/>
        <v>54.057210136876542</v>
      </c>
      <c r="Y22" s="14">
        <f t="shared" si="22"/>
        <v>3.0065034207730292</v>
      </c>
      <c r="Z22" s="13">
        <f t="shared" si="23"/>
        <v>3.0065034207730292</v>
      </c>
      <c r="AA22" s="18">
        <f>(G22+Population!$B$15*AA21)*Population!M$33</f>
        <v>18.847909750298733</v>
      </c>
      <c r="AB22" s="18">
        <f>AA21*Population!$B$16*Population!$M$33+AB21*Population!$B$15*Population!$M$34</f>
        <v>15.463000155873294</v>
      </c>
      <c r="AC22" s="14">
        <f>(AB21*Population!$B$16*0.5*Population!$M$34)+(AC21*Population!$B$15*Population!M$35)</f>
        <v>5.1913061679727726</v>
      </c>
      <c r="AD22" s="13">
        <f>(AB21*Population!$B$16*0.5*Population!$M$34)+(AD21*Population!$B$15*Population!M$35)</f>
        <v>5.1913061679727726</v>
      </c>
      <c r="AE22" s="14">
        <f>(AC21*Population!$B$16*Population!M$35)+(AE21*Population!$B$15*Population!M$37)</f>
        <v>5.2602677524517389</v>
      </c>
      <c r="AF22" s="13">
        <f>(AD21*Population!$B$16*Population!M$35)+(AF21*Population!$B$15*Population!M$37)</f>
        <v>5.2602677524517389</v>
      </c>
      <c r="AG22" s="14">
        <f>(AE21*Population!$B$16*Population!M$37)+(AG21*Population!$B$15*Population!M$39)</f>
        <v>9.6964805558026015</v>
      </c>
      <c r="AH22" s="13">
        <f>(AF21*Population!$B$16*Population!M$37)+(AH21*Population!$B$15*Population!M$39)</f>
        <v>9.6964805558026015</v>
      </c>
      <c r="AI22" s="14">
        <f>(AG21*Population!$B$16*Population!M$39)+(AI21*Population!$B$15*Population!M$41)</f>
        <v>14.64188891896795</v>
      </c>
      <c r="AJ22" s="13">
        <f>(AH21*Population!$B$16*Population!M$39)+(AJ21*Population!$B$15*Population!M$41)</f>
        <v>14.64188891896795</v>
      </c>
      <c r="AK22" s="14">
        <f>(AI21*Population!$B$16*Population!M$41)+(AK21*Population!$B$15*Population!M$43)</f>
        <v>15.466714381299182</v>
      </c>
      <c r="AL22" s="13">
        <f>(AJ21*Population!$B$16*Population!M$41)+(AL21*Population!$B$15*Population!M$43)</f>
        <v>15.466714381299182</v>
      </c>
      <c r="AM22" s="14">
        <f>(AK21*Population!$B$16*Population!M$43)+(AM21*Population!$B$15*Population!M$45)</f>
        <v>11.998361949128098</v>
      </c>
      <c r="AN22" s="13">
        <f>(AL21*Population!$B$16*Population!M$43)+(AN21*Population!$B$15*Population!M$45)</f>
        <v>11.998361949128098</v>
      </c>
      <c r="AO22" s="15">
        <f>(AM21+AN21)*Population!$B$16*Population!$M$45+AO21*Population!$B$15*Population!$M$47</f>
        <v>14.150789316389398</v>
      </c>
      <c r="AP22" s="5">
        <f>AO21*Population!M$47*Population!$B$16+AP21*Population!$B$15*Population!M$48</f>
        <v>6.669596594042952</v>
      </c>
      <c r="AQ22" s="5">
        <f>AP21*Population!M$48*Population!$B$16+AQ21*Population!$B$15*Population!M$49</f>
        <v>2.3775728380125711</v>
      </c>
      <c r="AR22" s="5">
        <f>(AQ21*Population!$B$16+AR21)*Population!M$50</f>
        <v>0.9091157385129558</v>
      </c>
      <c r="AS22">
        <f>AS21*(1-Population!$B$12)+M22</f>
        <v>60</v>
      </c>
    </row>
    <row r="23" spans="1:45">
      <c r="A23">
        <f>A22+Population!$B$2</f>
        <v>20</v>
      </c>
      <c r="B23" s="117">
        <f t="shared" si="1"/>
        <v>245</v>
      </c>
      <c r="C23" s="59">
        <f t="shared" si="25"/>
        <v>168</v>
      </c>
      <c r="D23" s="12">
        <f>AD22*Population!$P$36*Population!$C$2+AF22*Population!$P$38*Population!$C$2+AH22*Population!$P$40*Population!$C$2+AJ22*Population!$P$42*Population!$C$2+AL22*Population!$P$44*Population!$C$2+AN21*Population!$P$46*Population!$C$2</f>
        <v>3.447238104555034</v>
      </c>
      <c r="E23" s="12">
        <f>IF(B22&gt;Population!$B$6*Population!$B$19,Population!$B$11,IF(Population!$J$6=1,D23,Population!$B$11*Population!$B$6*0.9/B22))</f>
        <v>2.8514203965783622</v>
      </c>
      <c r="F23" s="12">
        <f>IF(B22&gt;Population!$B$6*0.75,Population!$B$11,E23)</f>
        <v>2.8514203965783622</v>
      </c>
      <c r="G23" s="15">
        <f>IF(Population!$J$6=1,IF(E23&gt;H22,H22,E23),IF(E23&gt;X22,X22,E23))</f>
        <v>2.8514203965783622</v>
      </c>
      <c r="H23" s="15">
        <f t="shared" si="15"/>
        <v>55</v>
      </c>
      <c r="I23" s="15">
        <f t="shared" si="16"/>
        <v>46</v>
      </c>
      <c r="J23" s="12">
        <f t="shared" si="2"/>
        <v>0.83636363636363631</v>
      </c>
      <c r="K23" s="12">
        <f>AA23*Population!$O$33+AB23*Population!$O$34+AC23*Population!$O$35+AD23*Population!$O$36+AE23*Population!$O$37+AF23*Population!$O$38+AG23*Population!$O$39+AH23*Population!$O$40+AI23*Population!$O$41+AJ23*Population!$O$42+AK23*Population!$O$43+AL23*Population!$O$44+AM23*Population!$O$45+AN23*Population!$O$46+AO23*Population!$O$47+AP23*Population!$O$48+AQ23*Population!$O$49+AR23*Population!$O$50</f>
        <v>0.59997620028238752</v>
      </c>
      <c r="L23" s="12">
        <f t="shared" si="17"/>
        <v>5.1844007210515679E-2</v>
      </c>
      <c r="M23" s="12">
        <f>Population!$C$12</f>
        <v>3.0312000000000006</v>
      </c>
      <c r="N23" s="12">
        <f t="shared" si="18"/>
        <v>1.3428628844870047</v>
      </c>
      <c r="O23" s="12">
        <f>I23/B23</f>
        <v>0.18775510204081633</v>
      </c>
      <c r="P23" s="12">
        <f>B23-I23-Q23*2</f>
        <v>93.282132197564678</v>
      </c>
      <c r="Q23" s="12">
        <f t="shared" si="19"/>
        <v>52.858933901217661</v>
      </c>
      <c r="R23" s="12">
        <f t="shared" si="20"/>
        <v>0.9091157385129558</v>
      </c>
      <c r="S23" s="12">
        <f>SUM(AR23:AR23)/B23</f>
        <v>4.8395150659237005E-3</v>
      </c>
      <c r="T23" s="12">
        <f t="shared" si="0"/>
        <v>0.96107152547668473</v>
      </c>
      <c r="U23" s="12">
        <f>Population!$B$17*MIN(Y22:Z22)</f>
        <v>0.75162585519325731</v>
      </c>
      <c r="V23" s="12">
        <f>X22*Population!$B$18</f>
        <v>0.32434326082125925</v>
      </c>
      <c r="W23" s="12">
        <f>AN22*T22*Population!$B$16</f>
        <v>1.6255588300308801</v>
      </c>
      <c r="X23" s="12">
        <f t="shared" si="24"/>
        <v>52.858933901217661</v>
      </c>
      <c r="Y23" s="14">
        <f t="shared" si="22"/>
        <v>3.1304516851762614</v>
      </c>
      <c r="Z23" s="13">
        <f t="shared" si="23"/>
        <v>3.1304516851762614</v>
      </c>
      <c r="AA23" s="18">
        <f>(G23+Population!$B$15*AA22)*Population!M$33</f>
        <v>18.999054861846016</v>
      </c>
      <c r="AB23" s="18">
        <f>AA22*Population!$B$16*Population!$M$33+AB22*Population!$B$15*Population!$M$34</f>
        <v>15.942483340567062</v>
      </c>
      <c r="AC23" s="14">
        <f>(AB22*Population!$B$16*0.5*Population!$M$34)+(AC22*Population!$B$15*Population!M$35)</f>
        <v>5.5497019442267543</v>
      </c>
      <c r="AD23" s="13">
        <f>(AB22*Population!$B$16*0.5*Population!$M$34)+(AD22*Population!$B$15*Population!M$35)</f>
        <v>5.5497019442267543</v>
      </c>
      <c r="AE23" s="14">
        <f>(AC22*Population!$B$16*Population!M$35)+(AE22*Population!$B$15*Population!M$37)</f>
        <v>5.2454124509852296</v>
      </c>
      <c r="AF23" s="13">
        <f>(AD22*Population!$B$16*Population!M$35)+(AF22*Population!$B$15*Population!M$37)</f>
        <v>5.2454124509852296</v>
      </c>
      <c r="AG23" s="14">
        <f>(AE22*Population!$B$16*Population!M$37)+(AG22*Population!$B$15*Population!M$39)</f>
        <v>9.0460620851566311</v>
      </c>
      <c r="AH23" s="13">
        <f>(AF22*Population!$B$16*Population!M$37)+(AH22*Population!$B$15*Population!M$39)</f>
        <v>9.0460620851566311</v>
      </c>
      <c r="AI23" s="14">
        <f>(AG22*Population!$B$16*Population!M$39)+(AI22*Population!$B$15*Population!M$41)</f>
        <v>13.908646038085237</v>
      </c>
      <c r="AJ23" s="13">
        <f>(AH22*Population!$B$16*Population!M$39)+(AJ22*Population!$B$15*Population!M$41)</f>
        <v>13.908646038085237</v>
      </c>
      <c r="AK23" s="14">
        <f>(AI22*Population!$B$16*Population!M$41)+(AK22*Population!$B$15*Population!M$43)</f>
        <v>15.319412318623723</v>
      </c>
      <c r="AL23" s="13">
        <f>(AJ22*Population!$B$16*Population!M$41)+(AL22*Population!$B$15*Population!M$43)</f>
        <v>15.319412318623723</v>
      </c>
      <c r="AM23" s="14">
        <f>(AK22*Population!$B$16*Population!M$43)+(AM22*Population!$B$15*Population!M$45)</f>
        <v>12.469852693543103</v>
      </c>
      <c r="AN23" s="13">
        <f>(AL22*Population!$B$16*Population!M$43)+(AN22*Population!$B$15*Population!M$45)</f>
        <v>12.469852693543103</v>
      </c>
      <c r="AO23" s="15">
        <f>(AM22+AN22)*Population!$B$16*Population!$M$45+AO22*Population!$B$15*Population!$M$47</f>
        <v>15.462832393063572</v>
      </c>
      <c r="AP23" s="5">
        <f>AO22*Population!M$47*Population!$B$16+AP22*Population!$B$15*Population!M$48</f>
        <v>7.6822354580374892</v>
      </c>
      <c r="AQ23" s="5">
        <f>AP22*Population!M$48*Population!$B$16+AQ22*Population!$B$15*Population!M$49</f>
        <v>2.8808555954504569</v>
      </c>
      <c r="AR23" s="5">
        <f>(AQ22*Population!$B$16+AR22)*Population!M$50</f>
        <v>1.1856811911513065</v>
      </c>
      <c r="AS23">
        <f>AS22*(1-Population!$B$12)+M23</f>
        <v>60</v>
      </c>
    </row>
    <row r="24" spans="1:45">
      <c r="A24">
        <f>A23+Population!$B$2</f>
        <v>21</v>
      </c>
      <c r="B24" s="117">
        <f t="shared" si="1"/>
        <v>247</v>
      </c>
      <c r="C24" s="59">
        <f t="shared" si="25"/>
        <v>166</v>
      </c>
      <c r="D24" s="12">
        <f>AD23*Population!$P$36*Population!$C$2+AF23*Population!$P$38*Population!$C$2+AH23*Population!$P$40*Population!$C$2+AJ23*Population!$P$42*Population!$C$2+AL23*Population!$P$44*Population!$C$2+AN22*Population!$P$46*Population!$C$2</f>
        <v>3.3404224876275093</v>
      </c>
      <c r="E24" s="12">
        <f>IF(B23&gt;Population!$B$6*Population!$B$19,Population!$B$11,IF(Population!$J$6=1,D24,Population!$B$11*Population!$B$6*0.9/B23))</f>
        <v>2.8514203965783622</v>
      </c>
      <c r="F24" s="12">
        <f>IF(B23&gt;Population!$B$6*0.75,Population!$B$11,E24)</f>
        <v>2.8514203965783622</v>
      </c>
      <c r="G24" s="15">
        <f>IF(Population!$J$6=1,IF(E24&gt;H23,H23,E24),IF(E24&gt;X23,X23,E24))</f>
        <v>2.8514203965783622</v>
      </c>
      <c r="H24" s="15">
        <f t="shared" si="15"/>
        <v>54</v>
      </c>
      <c r="I24" s="15">
        <f t="shared" si="16"/>
        <v>47</v>
      </c>
      <c r="J24" s="12">
        <f t="shared" si="2"/>
        <v>0.87037037037037035</v>
      </c>
      <c r="K24" s="12">
        <f>AA24*Population!$O$33+AB24*Population!$O$34+AC24*Population!$O$35+AD24*Population!$O$36+AE24*Population!$O$37+AF24*Population!$O$38+AG24*Population!$O$39+AH24*Population!$O$40+AI24*Population!$O$41+AJ24*Population!$O$42+AK24*Population!$O$43+AL24*Population!$O$44+AM24*Population!$O$45+AN24*Population!$O$46+AO24*Population!$O$47+AP24*Population!$O$48+AQ24*Population!$O$49+AR24*Population!$O$50</f>
        <v>0.65785095666958449</v>
      </c>
      <c r="L24" s="12">
        <f t="shared" si="17"/>
        <v>5.2804081418117821E-2</v>
      </c>
      <c r="M24" s="12">
        <f>Population!$C$12</f>
        <v>3.0312000000000006</v>
      </c>
      <c r="N24" s="12">
        <f t="shared" si="18"/>
        <v>1.2838082465070382</v>
      </c>
      <c r="O24" s="12">
        <f>I24/B24</f>
        <v>0.19028340080971659</v>
      </c>
      <c r="P24" s="12">
        <f>B24-I24-Q24*2</f>
        <v>96.775333661977726</v>
      </c>
      <c r="Q24" s="12">
        <f t="shared" si="19"/>
        <v>51.612333169011137</v>
      </c>
      <c r="R24" s="12">
        <f t="shared" si="20"/>
        <v>1.1856811911513065</v>
      </c>
      <c r="S24" s="12">
        <f>SUM(AR24:AR24)/B24</f>
        <v>6.1398373698026013E-3</v>
      </c>
      <c r="T24" s="12">
        <f t="shared" si="0"/>
        <v>0.95578394757428031</v>
      </c>
      <c r="U24" s="12">
        <f>Population!$B$17*MIN(Y23:Z23)</f>
        <v>0.78261292129406534</v>
      </c>
      <c r="V24" s="12">
        <f>X23*Population!$B$18</f>
        <v>0.31715360340730597</v>
      </c>
      <c r="W24" s="12">
        <f>AN23*T23*Population!$B$16</f>
        <v>1.7120600500932879</v>
      </c>
      <c r="X24" s="12">
        <f t="shared" si="24"/>
        <v>51.612333169011137</v>
      </c>
      <c r="Y24" s="14">
        <f t="shared" si="22"/>
        <v>3.2886968968830743</v>
      </c>
      <c r="Z24" s="13">
        <f t="shared" si="23"/>
        <v>3.2886968968830743</v>
      </c>
      <c r="AA24" s="18">
        <f>(G24+Population!$B$15*AA23)*Population!M$33</f>
        <v>19.128555216102015</v>
      </c>
      <c r="AB24" s="18">
        <f>AA23*Population!$B$16*Population!$M$33+AB23*Population!$B$15*Population!$M$34</f>
        <v>16.374959848066389</v>
      </c>
      <c r="AC24" s="14">
        <f>(AB23*Population!$B$16*0.5*Population!$M$34)+(AC23*Population!$B$15*Population!M$35)</f>
        <v>5.8908466586501653</v>
      </c>
      <c r="AD24" s="13">
        <f>(AB23*Population!$B$16*0.5*Population!$M$34)+(AD23*Population!$B$15*Population!M$35)</f>
        <v>5.8908466586501653</v>
      </c>
      <c r="AE24" s="14">
        <f>(AC23*Population!$B$16*Population!M$35)+(AE23*Population!$B$15*Population!M$37)</f>
        <v>5.2838420736843652</v>
      </c>
      <c r="AF24" s="13">
        <f>(AD23*Population!$B$16*Population!M$35)+(AF23*Population!$B$15*Population!M$37)</f>
        <v>5.2838420736843652</v>
      </c>
      <c r="AG24" s="14">
        <f>(AE23*Population!$B$16*Population!M$37)+(AG23*Population!$B$15*Population!M$39)</f>
        <v>8.4875107783768904</v>
      </c>
      <c r="AH24" s="13">
        <f>(AF23*Population!$B$16*Population!M$37)+(AH23*Population!$B$15*Population!M$39)</f>
        <v>8.4875107783768904</v>
      </c>
      <c r="AI24" s="14">
        <f>(AG23*Population!$B$16*Population!M$39)+(AI23*Population!$B$15*Population!M$41)</f>
        <v>13.188620324586545</v>
      </c>
      <c r="AJ24" s="13">
        <f>(AH23*Population!$B$16*Population!M$39)+(AJ23*Population!$B$15*Population!M$41)</f>
        <v>13.188620324586545</v>
      </c>
      <c r="AK24" s="14">
        <f>(AI23*Population!$B$16*Population!M$41)+(AK23*Population!$B$15*Population!M$43)</f>
        <v>15.088847959931986</v>
      </c>
      <c r="AL24" s="13">
        <f>(AJ23*Population!$B$16*Population!M$41)+(AL23*Population!$B$15*Population!M$43)</f>
        <v>15.088847959931986</v>
      </c>
      <c r="AM24" s="14">
        <f>(AK23*Population!$B$16*Population!M$43)+(AM23*Population!$B$15*Population!M$45)</f>
        <v>12.852208929314424</v>
      </c>
      <c r="AN24" s="13">
        <f>(AL23*Population!$B$16*Population!M$43)+(AN23*Population!$B$15*Population!M$45)</f>
        <v>12.852208929314424</v>
      </c>
      <c r="AO24" s="15">
        <f>(AM23+AN23)*Population!$B$16*Population!$M$45+AO23*Population!$B$15*Population!$M$47</f>
        <v>16.713740328860883</v>
      </c>
      <c r="AP24" s="5">
        <f>AO23*Population!M$47*Population!$B$16+AP23*Population!$B$15*Population!M$48</f>
        <v>8.7299946234305956</v>
      </c>
      <c r="AQ24" s="5">
        <f>AP23*Population!M$48*Population!$B$16+AQ23*Population!$B$15*Population!M$49</f>
        <v>3.4340611250823598</v>
      </c>
      <c r="AR24" s="5">
        <f>(AQ23*Population!$B$16+AR23)*Population!M$50</f>
        <v>1.5165398303412425</v>
      </c>
      <c r="AS24">
        <f>AS23*(1-Population!$B$12)+M24</f>
        <v>60</v>
      </c>
    </row>
    <row r="25" spans="1:45">
      <c r="A25">
        <f>A24+Population!$B$2</f>
        <v>22</v>
      </c>
      <c r="B25" s="117">
        <f t="shared" si="1"/>
        <v>249</v>
      </c>
      <c r="C25" s="59">
        <f t="shared" si="25"/>
        <v>164</v>
      </c>
      <c r="D25" s="12">
        <f>AD24*Population!$P$36*Population!$C$2+AF24*Population!$P$38*Population!$C$2+AH24*Population!$P$40*Population!$C$2+AJ24*Population!$P$42*Population!$C$2+AL24*Population!$P$44*Population!$C$2+AN23*Population!$P$46*Population!$C$2</f>
        <v>3.2423701183995859</v>
      </c>
      <c r="E25" s="12">
        <f>IF(B24&gt;Population!$B$6*Population!$B$19,Population!$B$11,IF(Population!$J$6=1,D25,Population!$B$11*Population!$B$6*0.9/B24))</f>
        <v>2.8514203965783622</v>
      </c>
      <c r="F25" s="12">
        <f>IF(B24&gt;Population!$B$6*0.75,Population!$B$11,E25)</f>
        <v>2.8514203965783622</v>
      </c>
      <c r="G25" s="15">
        <f>IF(Population!$J$6=1,IF(E25&gt;H24,H24,E25),IF(E25&gt;X24,X24,E25))</f>
        <v>2.8514203965783622</v>
      </c>
      <c r="H25" s="15">
        <f t="shared" si="15"/>
        <v>53</v>
      </c>
      <c r="I25" s="15">
        <f t="shared" si="16"/>
        <v>48</v>
      </c>
      <c r="J25" s="12">
        <f t="shared" si="2"/>
        <v>0.90566037735849059</v>
      </c>
      <c r="K25" s="12">
        <f>AA25*Population!$O$33+AB25*Population!$O$34+AC25*Population!$O$35+AD25*Population!$O$36+AE25*Population!$O$37+AF25*Population!$O$38+AG25*Population!$O$39+AH25*Population!$O$40+AI25*Population!$O$41+AJ25*Population!$O$42+AK25*Population!$O$43+AL25*Population!$O$44+AM25*Population!$O$45+AN25*Population!$O$46+AO25*Population!$O$47+AP25*Population!$O$48+AQ25*Population!$O$49+AR25*Population!$O$50</f>
        <v>0.72041916983584853</v>
      </c>
      <c r="L25" s="12">
        <f t="shared" si="17"/>
        <v>5.3800384841101175E-2</v>
      </c>
      <c r="M25" s="12">
        <f>Population!$C$12</f>
        <v>3.0312000000000006</v>
      </c>
      <c r="N25" s="12">
        <f t="shared" si="18"/>
        <v>1.2320759934167238</v>
      </c>
      <c r="O25" s="12">
        <f>I25/B25</f>
        <v>0.19277108433734941</v>
      </c>
      <c r="P25" s="12">
        <f>B25-I25-Q25*2</f>
        <v>100.26002892170992</v>
      </c>
      <c r="Q25" s="12">
        <f t="shared" si="19"/>
        <v>50.369985539145041</v>
      </c>
      <c r="R25" s="12">
        <f t="shared" si="20"/>
        <v>1.5165398303412425</v>
      </c>
      <c r="S25" s="12">
        <f>SUM(AR25:AR25)/B25</f>
        <v>7.6534951370223862E-3</v>
      </c>
      <c r="T25" s="12">
        <f t="shared" si="0"/>
        <v>0.95037708564424606</v>
      </c>
      <c r="U25" s="12">
        <f>Population!$B$17*MIN(Y24:Z24)</f>
        <v>0.82217422422076858</v>
      </c>
      <c r="V25" s="12">
        <f>X24*Population!$B$18</f>
        <v>0.30967399901406684</v>
      </c>
      <c r="W25" s="12">
        <f>AN24*T24*Population!$B$16</f>
        <v>1.7548478550727935</v>
      </c>
      <c r="X25" s="12">
        <f t="shared" si="24"/>
        <v>50.369985539145041</v>
      </c>
      <c r="Y25" s="14">
        <f t="shared" si="22"/>
        <v>3.438986880538522</v>
      </c>
      <c r="Z25" s="13">
        <f t="shared" si="23"/>
        <v>3.438986880538522</v>
      </c>
      <c r="AA25" s="18">
        <f>(G25+Population!$B$15*AA24)*Population!M$33</f>
        <v>19.239510453626735</v>
      </c>
      <c r="AB25" s="18">
        <f>AA24*Population!$B$16*Population!$M$33+AB24*Population!$B$15*Population!$M$34</f>
        <v>16.764063130755389</v>
      </c>
      <c r="AC25" s="14">
        <f>(AB24*Population!$B$16*0.5*Population!$M$34)+(AC24*Population!$B$15*Population!M$35)</f>
        <v>6.2138619759653029</v>
      </c>
      <c r="AD25" s="13">
        <f>(AB24*Population!$B$16*0.5*Population!$M$34)+(AD24*Population!$B$15*Population!M$35)</f>
        <v>6.2138619759653029</v>
      </c>
      <c r="AE25" s="14">
        <f>(AC24*Population!$B$16*Population!M$35)+(AE24*Population!$B$15*Population!M$37)</f>
        <v>5.3654388735590484</v>
      </c>
      <c r="AF25" s="13">
        <f>(AD24*Population!$B$16*Population!M$35)+(AF24*Population!$B$15*Population!M$37)</f>
        <v>5.3654388735590484</v>
      </c>
      <c r="AG25" s="14">
        <f>(AE24*Population!$B$16*Population!M$37)+(AG24*Population!$B$15*Population!M$39)</f>
        <v>8.015156445468941</v>
      </c>
      <c r="AH25" s="13">
        <f>(AF24*Population!$B$16*Population!M$37)+(AH24*Population!$B$15*Population!M$39)</f>
        <v>8.015156445468941</v>
      </c>
      <c r="AI25" s="14">
        <f>(AG24*Population!$B$16*Population!M$39)+(AI24*Population!$B$15*Population!M$41)</f>
        <v>12.493000542723205</v>
      </c>
      <c r="AJ25" s="13">
        <f>(AH24*Population!$B$16*Population!M$39)+(AJ24*Population!$B$15*Population!M$41)</f>
        <v>12.493000542723205</v>
      </c>
      <c r="AK25" s="14">
        <f>(AI24*Population!$B$16*Population!M$41)+(AK24*Population!$B$15*Population!M$43)</f>
        <v>14.788937486379549</v>
      </c>
      <c r="AL25" s="13">
        <f>(AJ24*Population!$B$16*Population!M$41)+(AL24*Population!$B$15*Population!M$43)</f>
        <v>14.788937486379549</v>
      </c>
      <c r="AM25" s="14">
        <f>(AK24*Population!$B$16*Population!M$43)+(AM24*Population!$B$15*Population!M$45)</f>
        <v>13.146439071552821</v>
      </c>
      <c r="AN25" s="13">
        <f>(AL24*Population!$B$16*Population!M$43)+(AN24*Population!$B$15*Population!M$45)</f>
        <v>13.146439071552821</v>
      </c>
      <c r="AO25" s="15">
        <f>(AM24+AN24)*Population!$B$16*Population!$M$45+AO24*Population!$B$15*Population!$M$47</f>
        <v>17.887208520742877</v>
      </c>
      <c r="AP25" s="5">
        <f>AO24*Population!M$47*Population!$B$16+AP24*Population!$B$15*Population!M$48</f>
        <v>9.798968383705855</v>
      </c>
      <c r="AQ25" s="5">
        <f>AP24*Population!M$48*Population!$B$16+AQ24*Population!$B$15*Population!M$49</f>
        <v>4.0328766149528459</v>
      </c>
      <c r="AR25" s="5">
        <f>(AQ24*Population!$B$16+AR24)*Population!M$50</f>
        <v>1.9057202891185743</v>
      </c>
      <c r="AS25">
        <f>AS24*(1-Population!$B$12)+M25</f>
        <v>60</v>
      </c>
    </row>
    <row r="26" spans="1:45">
      <c r="A26">
        <f>A25+Population!$B$2</f>
        <v>23</v>
      </c>
      <c r="B26" s="117">
        <f t="shared" si="1"/>
        <v>251</v>
      </c>
      <c r="C26" s="59">
        <f t="shared" si="25"/>
        <v>162</v>
      </c>
      <c r="D26" s="12">
        <f>AD25*Population!$P$36*Population!$C$2+AF25*Population!$P$38*Population!$C$2+AH25*Population!$P$40*Population!$C$2+AJ25*Population!$P$42*Population!$C$2+AL25*Population!$P$44*Population!$C$2+AN24*Population!$P$46*Population!$C$2</f>
        <v>3.1530360256008141</v>
      </c>
      <c r="E26" s="12">
        <f>IF(B25&gt;Population!$B$6*Population!$B$19,Population!$B$11,IF(Population!$J$6=1,D26,Population!$B$11*Population!$B$6*0.9/B25))</f>
        <v>2.8514203965783622</v>
      </c>
      <c r="F26" s="12">
        <f>IF(B25&gt;Population!$B$6*0.75,Population!$B$11,E26)</f>
        <v>2.8514203965783622</v>
      </c>
      <c r="G26" s="15">
        <f>IF(Population!$J$6=1,IF(E26&gt;H25,H25,E26),IF(E26&gt;X25,X25,E26))</f>
        <v>2.8514203965783622</v>
      </c>
      <c r="H26" s="15">
        <f t="shared" si="15"/>
        <v>52</v>
      </c>
      <c r="I26" s="15">
        <f t="shared" si="16"/>
        <v>49</v>
      </c>
      <c r="J26" s="12">
        <f t="shared" si="2"/>
        <v>0.94230769230769229</v>
      </c>
      <c r="K26" s="12">
        <f>AA26*Population!$O$33+AB26*Population!$O$34+AC26*Population!$O$35+AD26*Population!$O$36+AE26*Population!$O$37+AF26*Population!$O$38+AG26*Population!$O$39+AH26*Population!$O$40+AI26*Population!$O$41+AJ26*Population!$O$42+AK26*Population!$O$43+AL26*Population!$O$44+AM26*Population!$O$45+AN26*Population!$O$46+AO26*Population!$O$47+AP26*Population!$O$48+AQ26*Population!$O$49+AR26*Population!$O$50</f>
        <v>0.787422963061856</v>
      </c>
      <c r="L26" s="12">
        <f t="shared" si="17"/>
        <v>5.4835007626506962E-2</v>
      </c>
      <c r="M26" s="12">
        <f>Population!$C$12</f>
        <v>3.0312000000000006</v>
      </c>
      <c r="N26" s="12">
        <f t="shared" si="18"/>
        <v>1.1873651343090654</v>
      </c>
      <c r="O26" s="12">
        <f>I26/B26</f>
        <v>0.19521912350597609</v>
      </c>
      <c r="P26" s="12">
        <f>B26-I26-Q26*2</f>
        <v>103.71471086545955</v>
      </c>
      <c r="Q26" s="12">
        <f t="shared" si="19"/>
        <v>49.142644567270224</v>
      </c>
      <c r="R26" s="12">
        <f t="shared" si="20"/>
        <v>1.9057202891185743</v>
      </c>
      <c r="S26" s="12">
        <f>SUM(AR26:AR26)/B26</f>
        <v>9.3882975464721422E-3</v>
      </c>
      <c r="T26" s="12">
        <f t="shared" si="0"/>
        <v>0.94505085706288894</v>
      </c>
      <c r="U26" s="12">
        <f>Population!$B$17*MIN(Y25:Z25)</f>
        <v>0.85974672013463049</v>
      </c>
      <c r="V26" s="12">
        <f>X25*Population!$B$18</f>
        <v>0.30221991323487024</v>
      </c>
      <c r="W26" s="12">
        <f>AN25*T25*Population!$B$16</f>
        <v>1.7848677787745741</v>
      </c>
      <c r="X26" s="12">
        <f t="shared" si="24"/>
        <v>49.142644567270224</v>
      </c>
      <c r="Y26" s="14">
        <f t="shared" si="22"/>
        <v>3.5805947557535305</v>
      </c>
      <c r="Z26" s="13">
        <f t="shared" si="23"/>
        <v>3.5805947557535305</v>
      </c>
      <c r="AA26" s="18">
        <f>(G26+Population!$B$15*AA25)*Population!M$33</f>
        <v>19.334576330510977</v>
      </c>
      <c r="AB26" s="18">
        <f>AA25*Population!$B$16*Population!$M$33+AB25*Population!$B$15*Population!$M$34</f>
        <v>17.11334950166977</v>
      </c>
      <c r="AC26" s="14">
        <f>(AB25*Population!$B$16*0.5*Population!$M$34)+(AC25*Population!$B$15*Population!M$35)</f>
        <v>6.5182552287555335</v>
      </c>
      <c r="AD26" s="13">
        <f>(AB25*Population!$B$16*0.5*Population!$M$34)+(AD25*Population!$B$15*Population!M$35)</f>
        <v>6.5182552287555335</v>
      </c>
      <c r="AE26" s="14">
        <f>(AC25*Population!$B$16*Population!M$35)+(AE25*Population!$B$15*Population!M$37)</f>
        <v>5.4814134039110698</v>
      </c>
      <c r="AF26" s="13">
        <f>(AD25*Population!$B$16*Population!M$35)+(AF25*Population!$B$15*Population!M$37)</f>
        <v>5.4814134039110698</v>
      </c>
      <c r="AG26" s="14">
        <f>(AE25*Population!$B$16*Population!M$37)+(AG25*Population!$B$15*Population!M$39)</f>
        <v>7.6227042401249143</v>
      </c>
      <c r="AH26" s="13">
        <f>(AF25*Population!$B$16*Population!M$37)+(AH25*Population!$B$15*Population!M$39)</f>
        <v>7.6227042401249143</v>
      </c>
      <c r="AI26" s="14">
        <f>(AG25*Population!$B$16*Population!M$39)+(AI25*Population!$B$15*Population!M$41)</f>
        <v>11.830550176454386</v>
      </c>
      <c r="AJ26" s="13">
        <f>(AH25*Population!$B$16*Population!M$39)+(AJ25*Population!$B$15*Population!M$41)</f>
        <v>11.830550176454386</v>
      </c>
      <c r="AK26" s="14">
        <f>(AI25*Population!$B$16*Population!M$41)+(AK25*Population!$B$15*Population!M$43)</f>
        <v>14.433181477159339</v>
      </c>
      <c r="AL26" s="13">
        <f>(AJ25*Population!$B$16*Population!M$41)+(AL25*Population!$B$15*Population!M$43)</f>
        <v>14.433181477159339</v>
      </c>
      <c r="AM26" s="14">
        <f>(AK25*Population!$B$16*Population!M$43)+(AM25*Population!$B$15*Population!M$45)</f>
        <v>13.355390025374049</v>
      </c>
      <c r="AN26" s="13">
        <f>(AL25*Population!$B$16*Population!M$43)+(AN25*Population!$B$15*Population!M$45)</f>
        <v>13.355390025374049</v>
      </c>
      <c r="AO26" s="15">
        <f>(AM25+AN25)*Population!$B$16*Population!$M$45+AO25*Population!$B$15*Population!$M$47</f>
        <v>18.969650481553689</v>
      </c>
      <c r="AP26" s="5">
        <f>AO25*Population!M$47*Population!$B$16+AP25*Population!$B$15*Population!M$48</f>
        <v>10.875011633787345</v>
      </c>
      <c r="AQ26" s="5">
        <f>AP25*Population!M$48*Population!$B$16+AQ25*Population!$B$15*Population!M$49</f>
        <v>4.6718199990166509</v>
      </c>
      <c r="AR26" s="5">
        <f>(AQ25*Population!$B$16+AR25)*Population!M$50</f>
        <v>2.3564626841645078</v>
      </c>
      <c r="AS26">
        <f>AS25*(1-Population!$B$12)+M26</f>
        <v>60</v>
      </c>
    </row>
    <row r="27" spans="1:45">
      <c r="A27">
        <f>A26+Population!$B$2</f>
        <v>24</v>
      </c>
      <c r="B27" s="117">
        <f t="shared" si="1"/>
        <v>253</v>
      </c>
      <c r="C27" s="59">
        <f t="shared" si="25"/>
        <v>160</v>
      </c>
      <c r="D27" s="12">
        <f>AD26*Population!$P$36*Population!$C$2+AF26*Population!$P$38*Population!$C$2+AH26*Population!$P$40*Population!$C$2+AJ26*Population!$P$42*Population!$C$2+AL26*Population!$P$44*Population!$C$2+AN25*Population!$P$46*Population!$C$2</f>
        <v>3.0722788268608716</v>
      </c>
      <c r="E27" s="12">
        <f>IF(B26&gt;Population!$B$6*Population!$B$19,Population!$B$11,IF(Population!$J$6=1,D27,Population!$B$11*Population!$B$6*0.9/B26))</f>
        <v>2.8514203965783622</v>
      </c>
      <c r="F27" s="12">
        <f>IF(B26&gt;Population!$B$6*0.75,Population!$B$11,E27)</f>
        <v>2.8514203965783622</v>
      </c>
      <c r="G27" s="15">
        <f>IF(Population!$J$6=1,IF(E27&gt;H26,H26,E27),IF(E27&gt;X26,X26,E27))</f>
        <v>2.8514203965783622</v>
      </c>
      <c r="H27" s="15">
        <f t="shared" si="15"/>
        <v>51</v>
      </c>
      <c r="I27" s="15">
        <f t="shared" si="16"/>
        <v>50</v>
      </c>
      <c r="J27" s="12">
        <f t="shared" si="2"/>
        <v>0.98039215686274506</v>
      </c>
      <c r="K27" s="12">
        <f>AA27*Population!$O$33+AB27*Population!$O$34+AC27*Population!$O$35+AD27*Population!$O$36+AE27*Population!$O$37+AF27*Population!$O$38+AG27*Population!$O$39+AH27*Population!$O$40+AI27*Population!$O$41+AJ27*Population!$O$42+AK27*Population!$O$43+AL27*Population!$O$44+AM27*Population!$O$45+AN27*Population!$O$46+AO27*Population!$O$47+AP27*Population!$O$48+AQ27*Population!$O$49+AR27*Population!$O$50</f>
        <v>0.85852691595969044</v>
      </c>
      <c r="L27" s="12">
        <f t="shared" si="17"/>
        <v>5.5910203854477689E-2</v>
      </c>
      <c r="M27" s="12">
        <f>Population!$C$12</f>
        <v>3.0312000000000006</v>
      </c>
      <c r="N27" s="12">
        <f t="shared" si="18"/>
        <v>1.1493120020861443</v>
      </c>
      <c r="O27" s="12">
        <f>I27/B27</f>
        <v>0.19762845849802371</v>
      </c>
      <c r="P27" s="12">
        <f>B27-I27-Q27*2</f>
        <v>107.12027459092971</v>
      </c>
      <c r="Q27" s="12">
        <f t="shared" si="19"/>
        <v>47.939862704535145</v>
      </c>
      <c r="R27" s="12">
        <f t="shared" si="20"/>
        <v>2.3564626841645078</v>
      </c>
      <c r="S27" s="12">
        <f>SUM(AR27:AR27)/B27</f>
        <v>1.1348220766905674E-2</v>
      </c>
      <c r="T27" s="12">
        <f t="shared" si="0"/>
        <v>0.93999730793206171</v>
      </c>
      <c r="U27" s="12">
        <f>Population!$B$17*MIN(Y26:Z26)</f>
        <v>0.89514868893838262</v>
      </c>
      <c r="V27" s="12">
        <f>X26*Population!$B$18</f>
        <v>0.29485586740362135</v>
      </c>
      <c r="W27" s="12">
        <f>AN26*T26*Population!$B$16</f>
        <v>1.8030746842698433</v>
      </c>
      <c r="X27" s="12">
        <f t="shared" si="24"/>
        <v>47.939862704535145</v>
      </c>
      <c r="Y27" s="14">
        <f t="shared" si="22"/>
        <v>3.7134907621781679</v>
      </c>
      <c r="Z27" s="13">
        <f t="shared" si="23"/>
        <v>3.7134907621781679</v>
      </c>
      <c r="AA27" s="18">
        <f>(G27+Population!$B$15*AA26)*Population!M$33</f>
        <v>19.416028284915171</v>
      </c>
      <c r="AB27" s="18">
        <f>AA26*Population!$B$16*Population!$M$33+AB26*Population!$B$15*Population!$M$34</f>
        <v>17.42624578295888</v>
      </c>
      <c r="AC27" s="14">
        <f>(AB26*Population!$B$16*0.5*Population!$M$34)+(AC26*Population!$B$15*Population!M$35)</f>
        <v>6.8038584983073038</v>
      </c>
      <c r="AD27" s="13">
        <f>(AB26*Population!$B$16*0.5*Population!$M$34)+(AD26*Population!$B$15*Population!M$35)</f>
        <v>6.8038584983073038</v>
      </c>
      <c r="AE27" s="14">
        <f>(AC26*Population!$B$16*Population!M$35)+(AE26*Population!$B$15*Population!M$37)</f>
        <v>5.6241687190207701</v>
      </c>
      <c r="AF27" s="13">
        <f>(AD26*Population!$B$16*Population!M$35)+(AF26*Population!$B$15*Population!M$37)</f>
        <v>5.6241687190207701</v>
      </c>
      <c r="AG27" s="14">
        <f>(AE26*Population!$B$16*Population!M$37)+(AG26*Population!$B$15*Population!M$39)</f>
        <v>7.3035145006914846</v>
      </c>
      <c r="AH27" s="13">
        <f>(AF26*Population!$B$16*Population!M$37)+(AH26*Population!$B$15*Population!M$39)</f>
        <v>7.3035145006914846</v>
      </c>
      <c r="AI27" s="14">
        <f>(AG26*Population!$B$16*Population!M$39)+(AI26*Population!$B$15*Population!M$41)</f>
        <v>11.207868824096778</v>
      </c>
      <c r="AJ27" s="13">
        <f>(AH26*Population!$B$16*Population!M$39)+(AJ26*Population!$B$15*Population!M$41)</f>
        <v>11.207868824096778</v>
      </c>
      <c r="AK27" s="14">
        <f>(AI26*Population!$B$16*Population!M$41)+(AK26*Population!$B$15*Population!M$43)</f>
        <v>14.034379161779251</v>
      </c>
      <c r="AL27" s="13">
        <f>(AJ26*Population!$B$16*Population!M$41)+(AL26*Population!$B$15*Population!M$43)</f>
        <v>14.034379161779251</v>
      </c>
      <c r="AM27" s="14">
        <f>(AK26*Population!$B$16*Population!M$43)+(AM26*Population!$B$15*Population!M$45)</f>
        <v>13.483422261125027</v>
      </c>
      <c r="AN27" s="13">
        <f>(AL26*Population!$B$16*Population!M$43)+(AN26*Population!$B$15*Population!M$45)</f>
        <v>13.483422261125027</v>
      </c>
      <c r="AO27" s="15">
        <f>(AM26+AN26)*Population!$B$16*Population!$M$45+AO26*Population!$B$15*Population!$M$47</f>
        <v>19.950316920917889</v>
      </c>
      <c r="AP27" s="5">
        <f>AO26*Population!M$47*Population!$B$16+AP26*Population!$B$15*Population!M$48</f>
        <v>11.944161044602392</v>
      </c>
      <c r="AQ27" s="5">
        <f>AP26*Population!M$48*Population!$B$16+AQ26*Population!$B$15*Population!M$49</f>
        <v>5.3444236736343376</v>
      </c>
      <c r="AR27" s="5">
        <f>(AQ26*Population!$B$16+AR26)*Population!M$50</f>
        <v>2.8710998540271353</v>
      </c>
      <c r="AS27">
        <f>AS26*(1-Population!$B$12)+M27</f>
        <v>60</v>
      </c>
    </row>
    <row r="28" spans="1:45">
      <c r="A28">
        <f>A27+Population!$B$2</f>
        <v>25</v>
      </c>
      <c r="B28" s="117">
        <f t="shared" si="1"/>
        <v>255</v>
      </c>
      <c r="C28" s="59">
        <f t="shared" si="25"/>
        <v>157</v>
      </c>
      <c r="D28" s="12">
        <f>AD27*Population!$P$36*Population!$C$2+AF27*Population!$P$38*Population!$C$2+AH27*Population!$P$40*Population!$C$2+AJ27*Population!$P$42*Population!$C$2+AL27*Population!$P$44*Population!$C$2+AN26*Population!$P$46*Population!$C$2</f>
        <v>2.9998781882623287</v>
      </c>
      <c r="E28" s="12">
        <f>IF(B27&gt;Population!$B$6*Population!$B$19,Population!$B$11,IF(Population!$J$6=1,D28,Population!$B$11*Population!$B$6*0.9/B27))</f>
        <v>2.8514203965783622</v>
      </c>
      <c r="F28" s="12">
        <f>IF(B27&gt;Population!$B$6*0.75,Population!$B$11,E28)</f>
        <v>2.8514203965783622</v>
      </c>
      <c r="G28" s="15">
        <f>IF(Population!$J$6=1,IF(E28&gt;H27,H27,E28),IF(E28&gt;X27,X27,E28))</f>
        <v>2.8514203965783622</v>
      </c>
      <c r="H28" s="15">
        <f t="shared" si="15"/>
        <v>50</v>
      </c>
      <c r="I28" s="15">
        <f t="shared" si="16"/>
        <v>51</v>
      </c>
      <c r="J28" s="12">
        <f t="shared" si="2"/>
        <v>1.02</v>
      </c>
      <c r="K28" s="12">
        <f>AA28*Population!$O$33+AB28*Population!$O$34+AC28*Population!$O$35+AD28*Population!$O$36+AE28*Population!$O$37+AF28*Population!$O$38+AG28*Population!$O$39+AH28*Population!$O$40+AI28*Population!$O$41+AJ28*Population!$O$42+AK28*Population!$O$43+AL28*Population!$O$44+AM28*Population!$O$45+AN28*Population!$O$46+AO28*Population!$O$47+AP28*Population!$O$48+AQ28*Population!$O$49+AR28*Population!$O$50</f>
        <v>0.93332648811684638</v>
      </c>
      <c r="L28" s="12">
        <f t="shared" si="17"/>
        <v>5.7028407931567243E-2</v>
      </c>
      <c r="M28" s="12">
        <f>Population!$C$12</f>
        <v>3.0312000000000006</v>
      </c>
      <c r="N28" s="12">
        <f t="shared" si="18"/>
        <v>1.1175073278262408</v>
      </c>
      <c r="O28" s="12">
        <f>I28/B28</f>
        <v>0.2</v>
      </c>
      <c r="P28" s="12">
        <f>B28-I28-Q28*2</f>
        <v>110.46005917005755</v>
      </c>
      <c r="Q28" s="12">
        <f t="shared" si="19"/>
        <v>46.769970414971226</v>
      </c>
      <c r="R28" s="12">
        <f t="shared" si="20"/>
        <v>2.8710998540271353</v>
      </c>
      <c r="S28" s="12">
        <f>SUM(AR28:AR28)/B28</f>
        <v>1.3533213790170376E-2</v>
      </c>
      <c r="T28" s="12">
        <f t="shared" si="0"/>
        <v>0.93539940829942447</v>
      </c>
      <c r="U28" s="12">
        <f>Population!$B$17*MIN(Y27:Z27)</f>
        <v>0.92837269054454197</v>
      </c>
      <c r="V28" s="12">
        <f>X27*Population!$B$18</f>
        <v>0.28763917622721086</v>
      </c>
      <c r="W28" s="12">
        <f>AN27*T27*Population!$B$16</f>
        <v>1.8106258038812508</v>
      </c>
      <c r="X28" s="12">
        <f t="shared" si="24"/>
        <v>46.769970414971226</v>
      </c>
      <c r="Y28" s="14">
        <f t="shared" si="22"/>
        <v>3.838195802919401</v>
      </c>
      <c r="Z28" s="13">
        <f t="shared" si="23"/>
        <v>3.838195802919401</v>
      </c>
      <c r="AA28" s="18">
        <f>(G28+Population!$B$15*AA27)*Population!M$33</f>
        <v>19.485815900552918</v>
      </c>
      <c r="AB28" s="18">
        <f>AA27*Population!$B$16*Population!$M$33+AB27*Population!$B$15*Population!$M$34</f>
        <v>17.706013520482539</v>
      </c>
      <c r="AC28" s="14">
        <f>(AB27*Population!$B$16*0.5*Population!$M$34)+(AC27*Population!$B$15*Population!M$35)</f>
        <v>7.070772709397052</v>
      </c>
      <c r="AD28" s="13">
        <f>(AB27*Population!$B$16*0.5*Population!$M$34)+(AD27*Population!$B$15*Population!M$35)</f>
        <v>7.070772709397052</v>
      </c>
      <c r="AE28" s="14">
        <f>(AC27*Population!$B$16*Population!M$35)+(AE27*Population!$B$15*Population!M$37)</f>
        <v>5.7871753912210977</v>
      </c>
      <c r="AF28" s="13">
        <f>(AD27*Population!$B$16*Population!M$35)+(AF27*Population!$B$15*Population!M$37)</f>
        <v>5.7871753912210977</v>
      </c>
      <c r="AG28" s="14">
        <f>(AE27*Population!$B$16*Population!M$37)+(AG27*Population!$B$15*Population!M$39)</f>
        <v>7.0508227719046408</v>
      </c>
      <c r="AH28" s="13">
        <f>(AF27*Population!$B$16*Population!M$37)+(AH27*Population!$B$15*Population!M$39)</f>
        <v>7.0508227719046408</v>
      </c>
      <c r="AI28" s="14">
        <f>(AG27*Population!$B$16*Population!M$39)+(AI27*Population!$B$15*Population!M$41)</f>
        <v>10.629655721225319</v>
      </c>
      <c r="AJ28" s="13">
        <f>(AH27*Population!$B$16*Population!M$39)+(AJ27*Population!$B$15*Population!M$41)</f>
        <v>10.629655721225319</v>
      </c>
      <c r="AK28" s="14">
        <f>(AI27*Population!$B$16*Population!M$41)+(AK27*Population!$B$15*Population!M$43)</f>
        <v>13.604421234098044</v>
      </c>
      <c r="AL28" s="13">
        <f>(AJ27*Population!$B$16*Population!M$41)+(AL27*Population!$B$15*Population!M$43)</f>
        <v>13.604421234098044</v>
      </c>
      <c r="AM28" s="14">
        <f>(AK27*Population!$B$16*Population!M$43)+(AM27*Population!$B$15*Population!M$45)</f>
        <v>13.536091099441519</v>
      </c>
      <c r="AN28" s="13">
        <f>(AL27*Population!$B$16*Population!M$43)+(AN27*Population!$B$15*Population!M$45)</f>
        <v>13.536091099441519</v>
      </c>
      <c r="AO28" s="15">
        <f>(AM27+AN27)*Population!$B$16*Population!$M$45+AO27*Population!$B$15*Population!$M$47</f>
        <v>20.821304417173533</v>
      </c>
      <c r="AP28" s="5">
        <f>AO27*Population!M$47*Population!$B$16+AP27*Population!$B$15*Population!M$48</f>
        <v>12.993010340773628</v>
      </c>
      <c r="AQ28" s="5">
        <f>AP27*Population!M$48*Population!$B$16+AQ27*Population!$B$15*Population!M$49</f>
        <v>6.0434437449832874</v>
      </c>
      <c r="AR28" s="5">
        <f>(AQ27*Population!$B$16+AR27)*Population!M$50</f>
        <v>3.450969516493446</v>
      </c>
      <c r="AS28">
        <f>AS27*(1-Population!$B$12)+M28</f>
        <v>60</v>
      </c>
    </row>
    <row r="29" spans="1:45">
      <c r="A29">
        <f>A28+Population!$B$2</f>
        <v>26</v>
      </c>
      <c r="B29" s="117">
        <f t="shared" si="1"/>
        <v>257</v>
      </c>
      <c r="C29" s="59">
        <f t="shared" si="25"/>
        <v>155</v>
      </c>
      <c r="D29" s="12">
        <f>AD28*Population!$P$36*Population!$C$2+AF28*Population!$P$38*Population!$C$2+AH28*Population!$P$40*Population!$C$2+AJ28*Population!$P$42*Population!$C$2+AL28*Population!$P$44*Population!$C$2+AN27*Population!$P$46*Population!$C$2</f>
        <v>2.935550275697127</v>
      </c>
      <c r="E29" s="12">
        <f>IF(B28&gt;Population!$B$6*Population!$B$19,Population!$B$11,IF(Population!$J$6=1,D29,Population!$B$11*Population!$B$6*0.9/B28))</f>
        <v>2.8514203965783622</v>
      </c>
      <c r="F29" s="12">
        <f>IF(B28&gt;Population!$B$6*0.75,Population!$B$11,E29)</f>
        <v>2.8514203965783622</v>
      </c>
      <c r="G29" s="15">
        <f>IF(Population!$J$6=1,IF(E29&gt;H28,H28,E29),IF(E29&gt;X28,X28,E29))</f>
        <v>2.8514203965783622</v>
      </c>
      <c r="H29" s="15">
        <f t="shared" si="15"/>
        <v>49</v>
      </c>
      <c r="I29" s="15">
        <f t="shared" si="16"/>
        <v>52</v>
      </c>
      <c r="J29" s="12">
        <f t="shared" si="2"/>
        <v>1.0612244897959184</v>
      </c>
      <c r="K29" s="12">
        <f>AA29*Population!$O$33+AB29*Population!$O$34+AC29*Population!$O$35+AD29*Population!$O$36+AE29*Population!$O$37+AF29*Population!$O$38+AG29*Population!$O$39+AH29*Population!$O$40+AI29*Population!$O$41+AJ29*Population!$O$42+AK29*Population!$O$43+AL29*Population!$O$44+AM29*Population!$O$45+AN29*Population!$O$46+AO29*Population!$O$47+AP29*Population!$O$48+AQ29*Population!$O$49+AR29*Population!$O$50</f>
        <v>1.0113578922167072</v>
      </c>
      <c r="L29" s="12">
        <f t="shared" si="17"/>
        <v>5.8192252991395146E-2</v>
      </c>
      <c r="M29" s="12">
        <f>Population!$C$12</f>
        <v>3.0312000000000006</v>
      </c>
      <c r="N29" s="12">
        <f t="shared" si="18"/>
        <v>1.0915111074370021</v>
      </c>
      <c r="O29" s="12">
        <f>I29/B29</f>
        <v>0.20233463035019456</v>
      </c>
      <c r="P29" s="12">
        <f>B29-I29-Q29*2</f>
        <v>113.71981565789312</v>
      </c>
      <c r="Q29" s="12">
        <f t="shared" si="19"/>
        <v>45.640092171053439</v>
      </c>
      <c r="R29" s="12">
        <f t="shared" si="20"/>
        <v>3.450969516493446</v>
      </c>
      <c r="S29" s="12">
        <f>SUM(AR29:AR29)/B29</f>
        <v>1.5939141035368601E-2</v>
      </c>
      <c r="T29" s="12">
        <f t="shared" si="0"/>
        <v>0.9314304524704784</v>
      </c>
      <c r="U29" s="12">
        <f>Population!$B$17*MIN(Y28:Z28)</f>
        <v>0.95954895072985025</v>
      </c>
      <c r="V29" s="12">
        <f>X28*Population!$B$18</f>
        <v>0.28061982248982736</v>
      </c>
      <c r="W29" s="12">
        <f>AN28*T28*Population!$B$16</f>
        <v>1.8088073721578146</v>
      </c>
      <c r="X29" s="12">
        <f t="shared" si="24"/>
        <v>45.640092171053439</v>
      </c>
      <c r="Y29" s="14">
        <f t="shared" si="22"/>
        <v>3.955635774655633</v>
      </c>
      <c r="Z29" s="13">
        <f t="shared" si="23"/>
        <v>3.955635774655633</v>
      </c>
      <c r="AA29" s="18">
        <f>(G29+Population!$B$15*AA28)*Population!M$33</f>
        <v>19.545609570723606</v>
      </c>
      <c r="AB29" s="18">
        <f>AA28*Population!$B$16*Population!$M$33+AB28*Population!$B$15*Population!$M$34</f>
        <v>17.955726094848554</v>
      </c>
      <c r="AC29" s="14">
        <f>(AB28*Population!$B$16*0.5*Population!$M$34)+(AC28*Population!$B$15*Population!M$35)</f>
        <v>7.3193172016786008</v>
      </c>
      <c r="AD29" s="13">
        <f>(AB28*Population!$B$16*0.5*Population!$M$34)+(AD28*Population!$B$15*Population!M$35)</f>
        <v>7.3193172016786008</v>
      </c>
      <c r="AE29" s="14">
        <f>(AC28*Population!$B$16*Population!M$35)+(AE28*Population!$B$15*Population!M$37)</f>
        <v>5.9648565059206549</v>
      </c>
      <c r="AF29" s="13">
        <f>(AD28*Population!$B$16*Population!M$35)+(AF28*Population!$B$15*Population!M$37)</f>
        <v>5.9648565059206549</v>
      </c>
      <c r="AG29" s="14">
        <f>(AE28*Population!$B$16*Population!M$37)+(AG28*Population!$B$15*Population!M$39)</f>
        <v>6.8579101951669665</v>
      </c>
      <c r="AH29" s="13">
        <f>(AF28*Population!$B$16*Population!M$37)+(AH28*Population!$B$15*Population!M$39)</f>
        <v>6.8579101951669665</v>
      </c>
      <c r="AI29" s="14">
        <f>(AG28*Population!$B$16*Population!M$39)+(AI28*Population!$B$15*Population!M$41)</f>
        <v>10.098966555089426</v>
      </c>
      <c r="AJ29" s="13">
        <f>(AH28*Population!$B$16*Population!M$39)+(AJ28*Population!$B$15*Population!M$41)</f>
        <v>10.098966555089426</v>
      </c>
      <c r="AK29" s="14">
        <f>(AI28*Population!$B$16*Population!M$41)+(AK28*Population!$B$15*Population!M$43)</f>
        <v>13.154150179173145</v>
      </c>
      <c r="AL29" s="13">
        <f>(AJ28*Population!$B$16*Population!M$41)+(AL28*Population!$B$15*Population!M$43)</f>
        <v>13.154150179173145</v>
      </c>
      <c r="AM29" s="14">
        <f>(AK28*Population!$B$16*Population!M$43)+(AM28*Population!$B$15*Population!M$45)</f>
        <v>13.519844510358876</v>
      </c>
      <c r="AN29" s="13">
        <f>(AL28*Population!$B$16*Population!M$43)+(AN28*Population!$B$15*Population!M$45)</f>
        <v>13.519844510358876</v>
      </c>
      <c r="AO29" s="15">
        <f>(AM28+AN28)*Population!$B$16*Population!$M$45+AO28*Population!$B$15*Population!$M$47</f>
        <v>21.577471909993623</v>
      </c>
      <c r="AP29" s="5">
        <f>AO28*Population!M$47*Population!$B$16+AP28*Population!$B$15*Population!M$48</f>
        <v>14.009030864995307</v>
      </c>
      <c r="AQ29" s="5">
        <f>AP28*Population!M$48*Population!$B$16+AQ28*Population!$B$15*Population!M$49</f>
        <v>6.7610835453890594</v>
      </c>
      <c r="AR29" s="5">
        <f>(AQ28*Population!$B$16+AR28)*Population!M$50</f>
        <v>4.0963592460897305</v>
      </c>
      <c r="AS29">
        <f>AS28*(1-Population!$B$12)+M29</f>
        <v>60</v>
      </c>
    </row>
    <row r="30" spans="1:45">
      <c r="A30">
        <f>A29+Population!$B$2</f>
        <v>27</v>
      </c>
      <c r="B30" s="117">
        <f t="shared" si="1"/>
        <v>259</v>
      </c>
      <c r="C30" s="59">
        <f t="shared" si="25"/>
        <v>154</v>
      </c>
      <c r="D30" s="12">
        <f>AD29*Population!$P$36*Population!$C$2+AF29*Population!$P$38*Population!$C$2+AH29*Population!$P$40*Population!$C$2+AJ29*Population!$P$42*Population!$C$2+AL29*Population!$P$44*Population!$C$2+AN28*Population!$P$46*Population!$C$2</f>
        <v>2.8789613300435488</v>
      </c>
      <c r="E30" s="12">
        <f>IF(B29&gt;Population!$B$6*Population!$B$19,Population!$B$11,IF(Population!$J$6=1,D30,Population!$B$11*Population!$B$6*0.9/B29))</f>
        <v>2.8514203965783622</v>
      </c>
      <c r="F30" s="12">
        <f>IF(B29&gt;Population!$B$6*0.75,Population!$B$11,E30)</f>
        <v>2.8514203965783622</v>
      </c>
      <c r="G30" s="15">
        <f>IF(Population!$J$6=1,IF(E30&gt;H29,H29,E30),IF(E30&gt;X29,X29,E30))</f>
        <v>2.8514203965783622</v>
      </c>
      <c r="H30" s="15">
        <f t="shared" si="15"/>
        <v>48</v>
      </c>
      <c r="I30" s="15">
        <f t="shared" si="16"/>
        <v>52</v>
      </c>
      <c r="J30" s="12">
        <f t="shared" si="2"/>
        <v>1.0833333333333333</v>
      </c>
      <c r="K30" s="12">
        <f>AA30*Population!$O$33+AB30*Population!$O$34+AC30*Population!$O$35+AD30*Population!$O$36+AE30*Population!$O$37+AF30*Population!$O$38+AG30*Population!$O$39+AH30*Population!$O$40+AI30*Population!$O$41+AJ30*Population!$O$42+AK30*Population!$O$43+AL30*Population!$O$44+AM30*Population!$O$45+AN30*Population!$O$46+AO30*Population!$O$47+AP30*Population!$O$48+AQ30*Population!$O$49+AR30*Population!$O$50</f>
        <v>1.0921089975834408</v>
      </c>
      <c r="L30" s="12">
        <f t="shared" si="17"/>
        <v>5.9404591595382548E-2</v>
      </c>
      <c r="M30" s="12">
        <f>Population!$C$12</f>
        <v>3.0312000000000006</v>
      </c>
      <c r="N30" s="12">
        <f t="shared" si="18"/>
        <v>1.0708653480615415</v>
      </c>
      <c r="O30" s="12">
        <f>I30/B30</f>
        <v>0.20077220077220076</v>
      </c>
      <c r="P30" s="12">
        <f>B30-I30-Q30*2</f>
        <v>117.88762027365054</v>
      </c>
      <c r="Q30" s="12">
        <f t="shared" si="19"/>
        <v>44.55618986317473</v>
      </c>
      <c r="R30" s="12">
        <f t="shared" si="20"/>
        <v>4.0963592460897305</v>
      </c>
      <c r="S30" s="12">
        <f>SUM(AR30:AR30)/B30</f>
        <v>1.8557855401829536E-2</v>
      </c>
      <c r="T30" s="12">
        <f t="shared" si="0"/>
        <v>0.92825395548280687</v>
      </c>
      <c r="U30" s="12">
        <f>Population!$B$17*MIN(Y29:Z29)</f>
        <v>0.98890894366390825</v>
      </c>
      <c r="V30" s="12">
        <f>X29*Population!$B$18</f>
        <v>0.27384055302632065</v>
      </c>
      <c r="W30" s="12">
        <f>AN29*T29*Population!$B$16</f>
        <v>1.7989706985162972</v>
      </c>
      <c r="X30" s="12">
        <f t="shared" si="24"/>
        <v>44.55618986317473</v>
      </c>
      <c r="Y30" s="14">
        <f t="shared" si="22"/>
        <v>4.0670045130464345</v>
      </c>
      <c r="Z30" s="13">
        <f t="shared" si="23"/>
        <v>4.0670045130464345</v>
      </c>
      <c r="AA30" s="18">
        <f>(G30+Population!$B$15*AA29)*Population!M$33</f>
        <v>19.596840479815544</v>
      </c>
      <c r="AB30" s="18">
        <f>AA29*Population!$B$16*Population!$M$33+AB29*Population!$B$15*Population!$M$34</f>
        <v>18.178255770300169</v>
      </c>
      <c r="AC30" s="14">
        <f>(AB29*Population!$B$16*0.5*Population!$M$34)+(AC29*Population!$B$15*Population!M$35)</f>
        <v>7.5499849117930031</v>
      </c>
      <c r="AD30" s="13">
        <f>(AB29*Population!$B$16*0.5*Population!$M$34)+(AD29*Population!$B$15*Population!M$35)</f>
        <v>7.5499849117930031</v>
      </c>
      <c r="AE30" s="14">
        <f>(AC29*Population!$B$16*Population!M$35)+(AE29*Population!$B$15*Population!M$37)</f>
        <v>6.1524819826297819</v>
      </c>
      <c r="AF30" s="13">
        <f>(AD29*Population!$B$16*Population!M$35)+(AF29*Population!$B$15*Population!M$37)</f>
        <v>6.1524819826297819</v>
      </c>
      <c r="AG30" s="14">
        <f>(AE29*Population!$B$16*Population!M$37)+(AG29*Population!$B$15*Population!M$39)</f>
        <v>6.7182328633177129</v>
      </c>
      <c r="AH30" s="13">
        <f>(AF29*Population!$B$16*Population!M$37)+(AH29*Population!$B$15*Population!M$39)</f>
        <v>6.7182328633177129</v>
      </c>
      <c r="AI30" s="14">
        <f>(AG29*Population!$B$16*Population!M$39)+(AI29*Population!$B$15*Population!M$41)</f>
        <v>9.6174574633448806</v>
      </c>
      <c r="AJ30" s="13">
        <f>(AH29*Population!$B$16*Population!M$39)+(AJ29*Population!$B$15*Population!M$41)</f>
        <v>9.6174574633448806</v>
      </c>
      <c r="AK30" s="14">
        <f>(AI29*Population!$B$16*Population!M$41)+(AK29*Population!$B$15*Population!M$43)</f>
        <v>12.693277400611207</v>
      </c>
      <c r="AL30" s="13">
        <f>(AJ29*Population!$B$16*Population!M$41)+(AL29*Population!$B$15*Population!M$43)</f>
        <v>12.693277400611207</v>
      </c>
      <c r="AM30" s="14">
        <f>(AK29*Population!$B$16*Population!M$43)+(AM29*Population!$B$15*Population!M$45)</f>
        <v>13.441744666317581</v>
      </c>
      <c r="AN30" s="13">
        <f>(AL29*Population!$B$16*Population!M$43)+(AN29*Population!$B$15*Population!M$45)</f>
        <v>13.441744666317581</v>
      </c>
      <c r="AO30" s="15">
        <f>(AM29+AN29)*Population!$B$16*Population!$M$45+AO29*Population!$B$15*Population!$M$47</f>
        <v>22.216283464239286</v>
      </c>
      <c r="AP30" s="5">
        <f>AO29*Population!M$47*Population!$B$16+AP29*Population!$B$15*Population!M$48</f>
        <v>14.980832512284389</v>
      </c>
      <c r="AQ30" s="5">
        <f>AP29*Population!M$48*Population!$B$16+AQ29*Population!$B$15*Population!M$49</f>
        <v>7.4892210027543031</v>
      </c>
      <c r="AR30" s="5">
        <f>(AQ29*Population!$B$16+AR29)*Population!M$50</f>
        <v>4.8064845490738497</v>
      </c>
      <c r="AS30">
        <f>AS29*(1-Population!$B$12)+M30</f>
        <v>60</v>
      </c>
    </row>
    <row r="31" spans="1:45">
      <c r="A31">
        <f>A30+Population!$B$2</f>
        <v>28</v>
      </c>
      <c r="B31" s="117">
        <f t="shared" si="1"/>
        <v>261</v>
      </c>
      <c r="C31" s="59">
        <f t="shared" si="25"/>
        <v>152</v>
      </c>
      <c r="D31" s="12">
        <f>AD30*Population!$P$36*Population!$C$2+AF30*Population!$P$38*Population!$C$2+AH30*Population!$P$40*Population!$C$2+AJ30*Population!$P$42*Population!$C$2+AL30*Population!$P$44*Population!$C$2+AN29*Population!$P$46*Population!$C$2</f>
        <v>2.8297395175773778</v>
      </c>
      <c r="E31" s="12">
        <f>IF(B30&gt;Population!$B$6*Population!$B$19,Population!$B$11,IF(Population!$J$6=1,D31,Population!$B$11*Population!$B$6*0.9/B30))</f>
        <v>2.8514203965783622</v>
      </c>
      <c r="F31" s="12">
        <f>IF(B30&gt;Population!$B$6*0.75,Population!$B$11,E31)</f>
        <v>2.8514203965783622</v>
      </c>
      <c r="G31" s="15">
        <f>IF(Population!$J$6=1,IF(E31&gt;H30,H30,E31),IF(E31&gt;X30,X30,E31))</f>
        <v>2.8514203965783622</v>
      </c>
      <c r="H31" s="15">
        <f t="shared" si="15"/>
        <v>47</v>
      </c>
      <c r="I31" s="15">
        <f t="shared" si="16"/>
        <v>53</v>
      </c>
      <c r="J31" s="12">
        <f t="shared" si="2"/>
        <v>1.1276595744680851</v>
      </c>
      <c r="K31" s="12">
        <f>AA31*Population!$O$33+AB31*Population!$O$34+AC31*Population!$O$35+AD31*Population!$O$36+AE31*Population!$O$37+AF31*Population!$O$38+AG31*Population!$O$39+AH31*Population!$O$40+AI31*Population!$O$41+AJ31*Population!$O$42+AK31*Population!$O$43+AL31*Population!$O$44+AM31*Population!$O$45+AN31*Population!$O$46+AO31*Population!$O$47+AP31*Population!$O$48+AQ31*Population!$O$49+AR31*Population!$O$50</f>
        <v>1.1750308505872171</v>
      </c>
      <c r="L31" s="12">
        <f t="shared" si="17"/>
        <v>6.0668519076135366E-2</v>
      </c>
      <c r="M31" s="12">
        <f>Population!$C$12</f>
        <v>3.0312000000000006</v>
      </c>
      <c r="N31" s="12">
        <f t="shared" si="18"/>
        <v>1.0551048238837208</v>
      </c>
      <c r="O31" s="12">
        <f>I31/B31</f>
        <v>0.20306513409961685</v>
      </c>
      <c r="P31" s="12">
        <f>B31-I31-Q31*2</f>
        <v>120.95375019694234</v>
      </c>
      <c r="Q31" s="12">
        <f t="shared" si="19"/>
        <v>43.523124901528831</v>
      </c>
      <c r="R31" s="12">
        <f t="shared" si="20"/>
        <v>4.8064845490738497</v>
      </c>
      <c r="S31" s="12">
        <f>SUM(AR31:AR31)/B31</f>
        <v>2.1377390369610085E-2</v>
      </c>
      <c r="T31" s="12">
        <f t="shared" si="0"/>
        <v>0.92602393407508155</v>
      </c>
      <c r="U31" s="12">
        <f>Population!$B$17*MIN(Y30:Z30)</f>
        <v>1.0167511282616086</v>
      </c>
      <c r="V31" s="12">
        <f>X30*Population!$B$18</f>
        <v>0.26733713917904839</v>
      </c>
      <c r="W31" s="12">
        <f>AN30*T30*Population!$B$16</f>
        <v>1.7824789507284593</v>
      </c>
      <c r="X31" s="12">
        <f t="shared" si="24"/>
        <v>43.523124901528831</v>
      </c>
      <c r="Y31" s="14">
        <f t="shared" si="22"/>
        <v>4.1736414286548822</v>
      </c>
      <c r="Z31" s="13">
        <f t="shared" si="23"/>
        <v>4.1736414286548822</v>
      </c>
      <c r="AA31" s="18">
        <f>(G31+Population!$B$15*AA30)*Population!M$33</f>
        <v>19.640734859252273</v>
      </c>
      <c r="AB31" s="18">
        <f>AA30*Population!$B$16*Population!$M$33+AB30*Population!$B$15*Population!$M$34</f>
        <v>18.376268305584549</v>
      </c>
      <c r="AC31" s="14">
        <f>(AB30*Population!$B$16*0.5*Population!$M$34)+(AC30*Population!$B$15*Population!M$35)</f>
        <v>7.7634030697726164</v>
      </c>
      <c r="AD31" s="13">
        <f>(AB30*Population!$B$16*0.5*Population!$M$34)+(AD30*Population!$B$15*Population!M$35)</f>
        <v>7.7634030697726164</v>
      </c>
      <c r="AE31" s="14">
        <f>(AC30*Population!$B$16*Population!M$35)+(AE30*Population!$B$15*Population!M$37)</f>
        <v>6.3460716828534407</v>
      </c>
      <c r="AF31" s="13">
        <f>(AD30*Population!$B$16*Population!M$35)+(AF30*Population!$B$15*Population!M$37)</f>
        <v>6.3460716828534407</v>
      </c>
      <c r="AG31" s="14">
        <f>(AE30*Population!$B$16*Population!M$37)+(AG30*Population!$B$15*Population!M$39)</f>
        <v>6.6255174006601703</v>
      </c>
      <c r="AH31" s="13">
        <f>(AF30*Population!$B$16*Population!M$37)+(AH30*Population!$B$15*Population!M$39)</f>
        <v>6.6255174006601703</v>
      </c>
      <c r="AI31" s="14">
        <f>(AG30*Population!$B$16*Population!M$39)+(AI30*Population!$B$15*Population!M$41)</f>
        <v>9.1856122180445272</v>
      </c>
      <c r="AJ31" s="13">
        <f>(AH30*Population!$B$16*Population!M$39)+(AJ30*Population!$B$15*Population!M$41)</f>
        <v>9.1856122180445272</v>
      </c>
      <c r="AK31" s="14">
        <f>(AI30*Population!$B$16*Population!M$41)+(AK30*Population!$B$15*Population!M$43)</f>
        <v>12.230347113289637</v>
      </c>
      <c r="AL31" s="13">
        <f>(AJ30*Population!$B$16*Population!M$41)+(AL30*Population!$B$15*Population!M$43)</f>
        <v>12.230347113289637</v>
      </c>
      <c r="AM31" s="14">
        <f>(AK30*Population!$B$16*Population!M$43)+(AM30*Population!$B$15*Population!M$45)</f>
        <v>13.309217915335935</v>
      </c>
      <c r="AN31" s="13">
        <f>(AL30*Population!$B$16*Population!M$43)+(AN30*Population!$B$15*Population!M$45)</f>
        <v>13.309217915335935</v>
      </c>
      <c r="AO31" s="15">
        <f>(AM30+AN30)*Population!$B$16*Population!$M$45+AO30*Population!$B$15*Population!$M$47</f>
        <v>22.737595069693974</v>
      </c>
      <c r="AP31" s="5">
        <f>AO30*Population!M$47*Population!$B$16+AP30*Population!$B$15*Population!M$48</f>
        <v>15.898363466935074</v>
      </c>
      <c r="AQ31" s="5">
        <f>AP30*Population!M$48*Population!$B$16+AQ30*Population!$B$15*Population!M$49</f>
        <v>8.2196306889630364</v>
      </c>
      <c r="AR31" s="5">
        <f>(AQ30*Population!$B$16+AR30)*Population!M$50</f>
        <v>5.5794988864682322</v>
      </c>
      <c r="AS31">
        <f>AS30*(1-Population!$B$12)+M31</f>
        <v>60</v>
      </c>
    </row>
    <row r="32" spans="1:45">
      <c r="A32">
        <f>A31+Population!$B$2</f>
        <v>29</v>
      </c>
      <c r="B32" s="117">
        <f t="shared" si="1"/>
        <v>263</v>
      </c>
      <c r="C32" s="59">
        <f t="shared" si="25"/>
        <v>150</v>
      </c>
      <c r="D32" s="12">
        <f>AD31*Population!$P$36*Population!$C$2+AF31*Population!$P$38*Population!$C$2+AH31*Population!$P$40*Population!$C$2+AJ31*Population!$P$42*Population!$C$2+AL31*Population!$P$44*Population!$C$2+AN30*Population!$P$46*Population!$C$2</f>
        <v>2.7874852129829968</v>
      </c>
      <c r="E32" s="12">
        <f>IF(B31&gt;Population!$B$6*Population!$B$19,Population!$B$11,IF(Population!$J$6=1,D32,Population!$B$11*Population!$B$6*0.9/B31))</f>
        <v>2.8514203965783622</v>
      </c>
      <c r="F32" s="12">
        <f>IF(B31&gt;Population!$B$6*0.75,Population!$B$11,E32)</f>
        <v>2.8514203965783622</v>
      </c>
      <c r="G32" s="15">
        <f>IF(Population!$J$6=1,IF(E32&gt;H31,H31,E32),IF(E32&gt;X31,X31,E32))</f>
        <v>2.8514203965783622</v>
      </c>
      <c r="H32" s="15">
        <f t="shared" si="15"/>
        <v>46</v>
      </c>
      <c r="I32" s="15">
        <f t="shared" si="16"/>
        <v>54</v>
      </c>
      <c r="J32" s="12">
        <f t="shared" si="2"/>
        <v>1.173913043478261</v>
      </c>
      <c r="K32" s="12">
        <f>AA32*Population!$O$33+AB32*Population!$O$34+AC32*Population!$O$35+AD32*Population!$O$36+AE32*Population!$O$37+AF32*Population!$O$38+AG32*Population!$O$39+AH32*Population!$O$40+AI32*Population!$O$41+AJ32*Population!$O$42+AK32*Population!$O$43+AL32*Population!$O$44+AM32*Population!$O$45+AN32*Population!$O$46+AO32*Population!$O$47+AP32*Population!$O$48+AQ32*Population!$O$49+AR32*Population!$O$50</f>
        <v>1.2595494209141866</v>
      </c>
      <c r="L32" s="12">
        <f t="shared" si="17"/>
        <v>6.1987399925616568E-2</v>
      </c>
      <c r="M32" s="12">
        <f>Population!$C$12</f>
        <v>3.0312000000000006</v>
      </c>
      <c r="N32" s="12">
        <f t="shared" si="18"/>
        <v>1.0437659972020172</v>
      </c>
      <c r="O32" s="12">
        <f>I32/B32</f>
        <v>0.20532319391634982</v>
      </c>
      <c r="P32" s="12">
        <f>B32-I32-Q32*2</f>
        <v>123.91053679098236</v>
      </c>
      <c r="Q32" s="12">
        <f t="shared" si="19"/>
        <v>42.544731604508819</v>
      </c>
      <c r="R32" s="12">
        <f t="shared" si="20"/>
        <v>5.5794988864682322</v>
      </c>
      <c r="S32" s="12">
        <f>SUM(AR32:AR32)/B32</f>
        <v>2.4382255929181761E-2</v>
      </c>
      <c r="T32" s="12">
        <f t="shared" si="0"/>
        <v>0.92488546966323515</v>
      </c>
      <c r="U32" s="12">
        <f>Population!$B$17*MIN(Y31:Z31)</f>
        <v>1.0434103571637205</v>
      </c>
      <c r="V32" s="12">
        <f>X31*Population!$B$18</f>
        <v>0.26113874940917298</v>
      </c>
      <c r="W32" s="12">
        <f>AN31*T31*Population!$B$16</f>
        <v>1.7606649047745624</v>
      </c>
      <c r="X32" s="12">
        <f t="shared" si="24"/>
        <v>42.544731604508819</v>
      </c>
      <c r="Y32" s="14">
        <f t="shared" si="22"/>
        <v>4.2769279184537794</v>
      </c>
      <c r="Z32" s="13">
        <f t="shared" si="23"/>
        <v>4.2769279184537794</v>
      </c>
      <c r="AA32" s="18">
        <f>(G32+Population!$B$15*AA31)*Population!M$33</f>
        <v>19.678343337811135</v>
      </c>
      <c r="AB32" s="18">
        <f>AA31*Population!$B$16*Population!$M$33+AB31*Population!$B$15*Population!$M$34</f>
        <v>18.552223227456313</v>
      </c>
      <c r="AC32" s="14">
        <f>(AB31*Population!$B$16*0.5*Population!$M$34)+(AC31*Population!$B$15*Population!M$35)</f>
        <v>7.9602991574986621</v>
      </c>
      <c r="AD32" s="13">
        <f>(AB31*Population!$B$16*0.5*Population!$M$34)+(AD31*Population!$B$15*Population!M$35)</f>
        <v>7.9602991574986621</v>
      </c>
      <c r="AE32" s="14">
        <f>(AC31*Population!$B$16*Population!M$35)+(AE31*Population!$B$15*Population!M$37)</f>
        <v>6.5423068294121745</v>
      </c>
      <c r="AF32" s="13">
        <f>(AD31*Population!$B$16*Population!M$35)+(AF31*Population!$B$15*Population!M$37)</f>
        <v>6.5423068294121745</v>
      </c>
      <c r="AG32" s="14">
        <f>(AE31*Population!$B$16*Population!M$37)+(AG31*Population!$B$15*Population!M$39)</f>
        <v>6.5738289028635846</v>
      </c>
      <c r="AH32" s="13">
        <f>(AF31*Population!$B$16*Population!M$37)+(AH31*Population!$B$15*Population!M$39)</f>
        <v>6.5738289028635846</v>
      </c>
      <c r="AI32" s="14">
        <f>(AG31*Population!$B$16*Population!M$39)+(AI31*Population!$B$15*Population!M$41)</f>
        <v>8.8029502089665996</v>
      </c>
      <c r="AJ32" s="13">
        <f>(AH31*Population!$B$16*Population!M$39)+(AJ31*Population!$B$15*Population!M$41)</f>
        <v>8.8029502089665996</v>
      </c>
      <c r="AK32" s="14">
        <f>(AI31*Population!$B$16*Population!M$41)+(AK31*Population!$B$15*Population!M$43)</f>
        <v>11.772737846225516</v>
      </c>
      <c r="AL32" s="13">
        <f>(AJ31*Population!$B$16*Population!M$41)+(AL31*Population!$B$15*Population!M$43)</f>
        <v>11.772737846225516</v>
      </c>
      <c r="AM32" s="14">
        <f>(AK31*Population!$B$16*Population!M$43)+(AM31*Population!$B$15*Population!M$45)</f>
        <v>13.129835735494723</v>
      </c>
      <c r="AN32" s="13">
        <f>(AL31*Population!$B$16*Population!M$43)+(AN31*Population!$B$15*Population!M$45)</f>
        <v>13.129835735494723</v>
      </c>
      <c r="AO32" s="15">
        <f>(AM31+AN31)*Population!$B$16*Population!$M$45+AO31*Population!$B$15*Population!$M$47</f>
        <v>23.143401923787021</v>
      </c>
      <c r="AP32" s="5">
        <f>AO31*Population!M$47*Population!$B$16+AP31*Population!$B$15*Population!M$48</f>
        <v>16.753049928033924</v>
      </c>
      <c r="AQ32" s="5">
        <f>AP31*Population!M$48*Population!$B$16+AQ31*Population!$B$15*Population!M$49</f>
        <v>8.944192858734219</v>
      </c>
      <c r="AR32" s="5">
        <f>(AQ31*Population!$B$16+AR31)*Population!M$50</f>
        <v>6.4125333093748029</v>
      </c>
      <c r="AS32">
        <f>AS31*(1-Population!$B$12)+M32</f>
        <v>60</v>
      </c>
    </row>
    <row r="33" spans="1:45">
      <c r="A33">
        <f>A32+Population!$B$2</f>
        <v>30</v>
      </c>
      <c r="B33" s="117">
        <f t="shared" si="1"/>
        <v>264</v>
      </c>
      <c r="C33" s="59">
        <f t="shared" si="25"/>
        <v>149</v>
      </c>
      <c r="D33" s="12">
        <f>AD32*Population!$P$36*Population!$C$2+AF32*Population!$P$38*Population!$C$2+AH32*Population!$P$40*Population!$C$2+AJ32*Population!$P$42*Population!$C$2+AL32*Population!$P$44*Population!$C$2+AN31*Population!$P$46*Population!$C$2</f>
        <v>2.7517798698045937</v>
      </c>
      <c r="E33" s="12">
        <f>IF(B32&gt;Population!$B$6*Population!$B$19,Population!$B$11,IF(Population!$J$6=1,D33,Population!$B$11*Population!$B$6*0.9/B32))</f>
        <v>2.8514203965783622</v>
      </c>
      <c r="F33" s="12">
        <f>IF(B32&gt;Population!$B$6*0.75,Population!$B$11,E33)</f>
        <v>2.8514203965783622</v>
      </c>
      <c r="G33" s="15">
        <f>IF(Population!$J$6=1,IF(E33&gt;H32,H32,E33),IF(E33&gt;X32,X32,E33))</f>
        <v>2.8514203965783622</v>
      </c>
      <c r="H33" s="15">
        <f t="shared" si="15"/>
        <v>46</v>
      </c>
      <c r="I33" s="15">
        <f t="shared" si="16"/>
        <v>54</v>
      </c>
      <c r="J33" s="12">
        <f t="shared" si="2"/>
        <v>1.173913043478261</v>
      </c>
      <c r="K33" s="12">
        <f>AA33*Population!$O$33+AB33*Population!$O$34+AC33*Population!$O$35+AD33*Population!$O$36+AE33*Population!$O$37+AF33*Population!$O$38+AG33*Population!$O$39+AH33*Population!$O$40+AI33*Population!$O$41+AJ33*Population!$O$42+AK33*Population!$O$43+AL33*Population!$O$44+AM33*Population!$O$45+AN33*Population!$O$46+AO33*Population!$O$47+AP33*Population!$O$48+AQ33*Population!$O$49+AR33*Population!$O$50</f>
        <v>1.3450772182057777</v>
      </c>
      <c r="L33" s="12">
        <f t="shared" si="17"/>
        <v>6.1987399925616568E-2</v>
      </c>
      <c r="M33" s="12">
        <f>Population!$C$12</f>
        <v>3.0312000000000006</v>
      </c>
      <c r="N33" s="12">
        <f t="shared" si="18"/>
        <v>1.0363942748055148</v>
      </c>
      <c r="O33" s="12">
        <f>I33/B33</f>
        <v>0.20454545454545456</v>
      </c>
      <c r="P33" s="12">
        <f>B33-I33-Q33*2</f>
        <v>126.75220797981649</v>
      </c>
      <c r="Q33" s="12">
        <f t="shared" si="19"/>
        <v>41.623896010091755</v>
      </c>
      <c r="R33" s="12">
        <f t="shared" si="20"/>
        <v>6.4125333093748029</v>
      </c>
      <c r="S33" s="12">
        <f>SUM(AR33:AR33)/B33</f>
        <v>2.7658191083120821E-2</v>
      </c>
      <c r="T33" s="12">
        <f t="shared" si="0"/>
        <v>0.90486730456721209</v>
      </c>
      <c r="U33" s="12">
        <f>Population!$B$17*MIN(Y32:Z32)</f>
        <v>1.0692319796134448</v>
      </c>
      <c r="V33" s="12">
        <f>X32*Population!$B$18</f>
        <v>0.25526838962705289</v>
      </c>
      <c r="W33" s="12">
        <f>AN32*T32*Population!$B$16</f>
        <v>1.734799184403452</v>
      </c>
      <c r="X33" s="12">
        <f t="shared" si="24"/>
        <v>41.623896010091755</v>
      </c>
      <c r="Y33" s="14">
        <f t="shared" si="22"/>
        <v>4.3782047003649325</v>
      </c>
      <c r="Z33" s="13">
        <f t="shared" si="23"/>
        <v>4.3782047003649325</v>
      </c>
      <c r="AA33" s="18">
        <f>(G33+Population!$B$15*AA32)*Population!M$33</f>
        <v>19.710566088825338</v>
      </c>
      <c r="AB33" s="18">
        <f>AA32*Population!$B$16*Population!$M$33+AB32*Population!$B$15*Population!$M$34</f>
        <v>18.708378256256687</v>
      </c>
      <c r="AC33" s="14">
        <f>(AB32*Population!$B$16*0.5*Population!$M$34)+(AC32*Population!$B$15*Population!M$35)</f>
        <v>8.1414717775749246</v>
      </c>
      <c r="AD33" s="13">
        <f>(AB32*Population!$B$16*0.5*Population!$M$34)+(AD32*Population!$B$15*Population!M$35)</f>
        <v>8.1414717775749246</v>
      </c>
      <c r="AE33" s="14">
        <f>(AC32*Population!$B$16*Population!M$35)+(AE32*Population!$B$15*Population!M$37)</f>
        <v>6.7384492940605769</v>
      </c>
      <c r="AF33" s="13">
        <f>(AD32*Population!$B$16*Population!M$35)+(AF32*Population!$B$15*Population!M$37)</f>
        <v>6.7384492940605769</v>
      </c>
      <c r="AG33" s="14">
        <f>(AE32*Population!$B$16*Population!M$37)+(AG32*Population!$B$15*Population!M$39)</f>
        <v>6.5576164170320377</v>
      </c>
      <c r="AH33" s="13">
        <f>(AF32*Population!$B$16*Population!M$37)+(AH32*Population!$B$15*Population!M$39)</f>
        <v>6.5576164170320377</v>
      </c>
      <c r="AI33" s="14">
        <f>(AG32*Population!$B$16*Population!M$39)+(AI32*Population!$B$15*Population!M$41)</f>
        <v>8.4682140598231985</v>
      </c>
      <c r="AJ33" s="13">
        <f>(AH32*Population!$B$16*Population!M$39)+(AJ32*Population!$B$15*Population!M$41)</f>
        <v>8.4682140598231985</v>
      </c>
      <c r="AK33" s="14">
        <f>(AI32*Population!$B$16*Population!M$41)+(AK32*Population!$B$15*Population!M$43)</f>
        <v>11.32669338313285</v>
      </c>
      <c r="AL33" s="13">
        <f>(AJ32*Population!$B$16*Population!M$41)+(AL32*Population!$B$15*Population!M$43)</f>
        <v>11.32669338313285</v>
      </c>
      <c r="AM33" s="14">
        <f>(AK32*Population!$B$16*Population!M$43)+(AM32*Population!$B$15*Population!M$45)</f>
        <v>12.911127556408029</v>
      </c>
      <c r="AN33" s="13">
        <f>(AL32*Population!$B$16*Population!M$43)+(AN32*Population!$B$15*Population!M$45)</f>
        <v>12.911127556408029</v>
      </c>
      <c r="AO33" s="15">
        <f>(AM32+AN32)*Population!$B$16*Population!$M$45+AO32*Population!$B$15*Population!$M$47</f>
        <v>23.437560922971794</v>
      </c>
      <c r="AP33" s="5">
        <f>AO32*Population!M$47*Population!$B$16+AP32*Population!$B$15*Population!M$48</f>
        <v>17.537879165167666</v>
      </c>
      <c r="AQ33" s="5">
        <f>AP32*Population!M$48*Population!$B$16+AQ32*Population!$B$15*Population!M$49</f>
        <v>9.6550833898744965</v>
      </c>
      <c r="AR33" s="5">
        <f>(AQ32*Population!$B$16+AR32)*Population!M$50</f>
        <v>7.301762445943897</v>
      </c>
      <c r="AS33">
        <f>AS32*(1-Population!$B$12)+M33</f>
        <v>60</v>
      </c>
    </row>
    <row r="34" spans="1:45">
      <c r="A34">
        <f>A33+Population!$B$2</f>
        <v>31</v>
      </c>
      <c r="B34" s="117">
        <f t="shared" si="1"/>
        <v>266</v>
      </c>
      <c r="C34" s="59">
        <f t="shared" si="25"/>
        <v>147</v>
      </c>
      <c r="D34" s="12">
        <f>AD33*Population!$P$36*Population!$C$2+AF33*Population!$P$38*Population!$C$2+AH33*Population!$P$40*Population!$C$2+AJ33*Population!$P$42*Population!$C$2+AL33*Population!$P$44*Population!$C$2+AN32*Population!$P$46*Population!$C$2</f>
        <v>2.7221936256116903</v>
      </c>
      <c r="E34" s="12">
        <f>IF(B33&gt;Population!$B$6*Population!$B$19,Population!$B$11,IF(Population!$J$6=1,D34,Population!$B$11*Population!$B$6*0.9/B33))</f>
        <v>2.8514203965783622</v>
      </c>
      <c r="F34" s="12">
        <f>IF(B33&gt;Population!$B$6*0.75,Population!$B$11,E34)</f>
        <v>2.8514203965783622</v>
      </c>
      <c r="G34" s="15">
        <f>IF(Population!$J$6=1,IF(E34&gt;H33,H33,E34),IF(E34&gt;X33,X33,E34))</f>
        <v>2.8514203965783622</v>
      </c>
      <c r="H34" s="15">
        <f t="shared" si="15"/>
        <v>45</v>
      </c>
      <c r="I34" s="15">
        <f t="shared" si="16"/>
        <v>55</v>
      </c>
      <c r="J34" s="12">
        <f t="shared" ref="J34:J65" si="26">I34/H34</f>
        <v>1.2222222222222223</v>
      </c>
      <c r="K34" s="12">
        <f>AA34*Population!$O$33+AB34*Population!$O$34+AC34*Population!$O$35+AD34*Population!$O$36+AE34*Population!$O$37+AF34*Population!$O$38+AG34*Population!$O$39+AH34*Population!$O$40+AI34*Population!$O$41+AJ34*Population!$O$42+AK34*Population!$O$43+AL34*Population!$O$44+AM34*Population!$O$45+AN34*Population!$O$46+AO34*Population!$O$47+AP34*Population!$O$48+AQ34*Population!$O$49+AR34*Population!$O$50</f>
        <v>1.4310244680655875</v>
      </c>
      <c r="L34" s="12">
        <f t="shared" si="17"/>
        <v>6.3364897701741377E-2</v>
      </c>
      <c r="M34" s="12">
        <f>Population!$C$12</f>
        <v>3.0312000000000006</v>
      </c>
      <c r="N34" s="12">
        <f t="shared" si="18"/>
        <v>1.0325497748687322</v>
      </c>
      <c r="O34" s="12">
        <f>I34/B34</f>
        <v>0.20676691729323307</v>
      </c>
      <c r="P34" s="12">
        <f>B34-I34-Q34*2</f>
        <v>129.40055157915236</v>
      </c>
      <c r="Q34" s="12">
        <f t="shared" si="19"/>
        <v>40.799724210423811</v>
      </c>
      <c r="R34" s="12">
        <f t="shared" si="20"/>
        <v>7.301762445943897</v>
      </c>
      <c r="S34" s="12">
        <f>SUM(AR34:AR34)/B34</f>
        <v>3.0986815481869875E-2</v>
      </c>
      <c r="T34" s="12">
        <f t="shared" ref="T34:T65" si="27">X34/H34</f>
        <v>0.90666053800941804</v>
      </c>
      <c r="U34" s="12">
        <f>Population!$B$17*MIN(Y33:Z33)</f>
        <v>1.0945511750912331</v>
      </c>
      <c r="V34" s="12">
        <f>X33*Population!$B$18</f>
        <v>0.24974337606055053</v>
      </c>
      <c r="W34" s="12">
        <f>AN33*T33*Population!$B$16</f>
        <v>1.6689795986986271</v>
      </c>
      <c r="X34" s="12">
        <f t="shared" si="24"/>
        <v>40.799724210423811</v>
      </c>
      <c r="Y34" s="14">
        <f t="shared" si="22"/>
        <v>4.4416220847749059</v>
      </c>
      <c r="Z34" s="13">
        <f t="shared" si="23"/>
        <v>4.4416220847749059</v>
      </c>
      <c r="AA34" s="18">
        <f>(G34+Population!$B$15*AA33)*Population!M$33</f>
        <v>19.738174376177302</v>
      </c>
      <c r="AB34" s="18">
        <f>AA33*Population!$B$16*Population!$M$33+AB33*Population!$B$15*Population!$M$34</f>
        <v>18.846796689412493</v>
      </c>
      <c r="AC34" s="14">
        <f>(AB33*Population!$B$16*0.5*Population!$M$34)+(AC33*Population!$B$15*Population!M$35)</f>
        <v>8.307766023628556</v>
      </c>
      <c r="AD34" s="13">
        <f>(AB33*Population!$B$16*0.5*Population!$M$34)+(AD33*Population!$B$15*Population!M$35)</f>
        <v>8.307766023628556</v>
      </c>
      <c r="AE34" s="14">
        <f>(AC33*Population!$B$16*Population!M$35)+(AE33*Population!$B$15*Population!M$37)</f>
        <v>6.9322683237529885</v>
      </c>
      <c r="AF34" s="13">
        <f>(AD33*Population!$B$16*Population!M$35)+(AF33*Population!$B$15*Population!M$37)</f>
        <v>6.9322683237529885</v>
      </c>
      <c r="AG34" s="14">
        <f>(AE33*Population!$B$16*Population!M$37)+(AG33*Population!$B$15*Population!M$39)</f>
        <v>6.5717403304216226</v>
      </c>
      <c r="AH34" s="13">
        <f>(AF33*Population!$B$16*Population!M$37)+(AH33*Population!$B$15*Population!M$39)</f>
        <v>6.5717403304216226</v>
      </c>
      <c r="AI34" s="14">
        <f>(AG33*Population!$B$16*Population!M$39)+(AI33*Population!$B$15*Population!M$41)</f>
        <v>8.1795366180687665</v>
      </c>
      <c r="AJ34" s="13">
        <f>(AH33*Population!$B$16*Population!M$39)+(AJ33*Population!$B$15*Population!M$41)</f>
        <v>8.1795366180687665</v>
      </c>
      <c r="AK34" s="14">
        <f>(AI33*Population!$B$16*Population!M$41)+(AK33*Population!$B$15*Population!M$43)</f>
        <v>10.897375982835964</v>
      </c>
      <c r="AL34" s="13">
        <f>(AJ33*Population!$B$16*Population!M$41)+(AL33*Population!$B$15*Population!M$43)</f>
        <v>10.897375982835964</v>
      </c>
      <c r="AM34" s="14">
        <f>(AK33*Population!$B$16*Population!M$43)+(AM33*Population!$B$15*Population!M$45)</f>
        <v>12.660425040119371</v>
      </c>
      <c r="AN34" s="13">
        <f>(AL33*Population!$B$16*Population!M$43)+(AN33*Population!$B$15*Population!M$45)</f>
        <v>12.660425040119371</v>
      </c>
      <c r="AO34" s="15">
        <f>(AM33+AN33)*Population!$B$16*Population!$M$45+AO33*Population!$B$15*Population!$M$47</f>
        <v>23.625501145811565</v>
      </c>
      <c r="AP34" s="5">
        <f>AO33*Population!M$47*Population!$B$16+AP33*Population!$B$15*Population!M$48</f>
        <v>18.24743083622878</v>
      </c>
      <c r="AQ34" s="5">
        <f>AP33*Population!M$48*Population!$B$16+AQ33*Population!$B$15*Population!M$49</f>
        <v>10.344940143332632</v>
      </c>
      <c r="AR34" s="5">
        <f>(AQ33*Population!$B$16+AR33)*Population!M$50</f>
        <v>8.2424929181773869</v>
      </c>
      <c r="AS34">
        <f>AS33*(1-Population!$B$12)+M34</f>
        <v>60</v>
      </c>
    </row>
    <row r="35" spans="1:45">
      <c r="A35">
        <f>A34+Population!$B$2</f>
        <v>32</v>
      </c>
      <c r="B35" s="117">
        <f t="shared" si="1"/>
        <v>267</v>
      </c>
      <c r="C35" s="59">
        <f t="shared" si="25"/>
        <v>146</v>
      </c>
      <c r="D35" s="12">
        <f>AD34*Population!$P$36*Population!$C$2+AF34*Population!$P$38*Population!$C$2+AH34*Population!$P$40*Population!$C$2+AJ34*Population!$P$42*Population!$C$2+AL34*Population!$P$44*Population!$C$2+AN33*Population!$P$46*Population!$C$2</f>
        <v>2.6982917788790362</v>
      </c>
      <c r="E35" s="12">
        <f>IF(B34&gt;Population!$B$6*Population!$B$19,Population!$B$11,IF(Population!$J$6=1,D35,Population!$B$11*Population!$B$6*0.9/B34))</f>
        <v>2.8514203965783622</v>
      </c>
      <c r="F35" s="12">
        <f>IF(B34&gt;Population!$B$6*0.75,Population!$B$11,E35)</f>
        <v>2.8514203965783622</v>
      </c>
      <c r="G35" s="15">
        <f>IF(Population!$J$6=1,IF(E35&gt;H34,H34,E35),IF(E35&gt;X34,X34,E35))</f>
        <v>2.8514203965783622</v>
      </c>
      <c r="H35" s="15">
        <f t="shared" si="15"/>
        <v>44</v>
      </c>
      <c r="I35" s="15">
        <f t="shared" si="16"/>
        <v>55</v>
      </c>
      <c r="J35" s="12">
        <f t="shared" si="26"/>
        <v>1.25</v>
      </c>
      <c r="K35" s="12">
        <f>AA35*Population!$O$33+AB35*Population!$O$34+AC35*Population!$O$35+AD35*Population!$O$36+AE35*Population!$O$37+AF35*Population!$O$38+AG35*Population!$O$39+AH35*Population!$O$40+AI35*Population!$O$41+AJ35*Population!$O$42+AK35*Population!$O$43+AL35*Population!$O$44+AM35*Population!$O$45+AN35*Population!$O$46+AO35*Population!$O$47+AP35*Population!$O$48+AQ35*Population!$O$49+AR35*Population!$O$50</f>
        <v>1.5168095863631681</v>
      </c>
      <c r="L35" s="12">
        <f t="shared" si="17"/>
        <v>6.4805009013144593E-2</v>
      </c>
      <c r="M35" s="12">
        <f>Population!$C$12</f>
        <v>3.0312000000000006</v>
      </c>
      <c r="N35" s="12">
        <f t="shared" si="18"/>
        <v>1.031811778206627</v>
      </c>
      <c r="O35" s="12">
        <f>I35/B35</f>
        <v>0.20599250936329588</v>
      </c>
      <c r="P35" s="12">
        <f>B35-I35-Q35*2</f>
        <v>131.94896802109074</v>
      </c>
      <c r="Q35" s="12">
        <f t="shared" si="19"/>
        <v>40.025515989454632</v>
      </c>
      <c r="R35" s="12">
        <f t="shared" si="20"/>
        <v>8.2424929181773869</v>
      </c>
      <c r="S35" s="12">
        <f>SUM(AR35:AR35)/B35</f>
        <v>3.4566553771508253E-2</v>
      </c>
      <c r="T35" s="12">
        <f t="shared" si="27"/>
        <v>0.90967081794215077</v>
      </c>
      <c r="U35" s="12">
        <f>Population!$B$17*MIN(Y34:Z34)</f>
        <v>1.1104055211937265</v>
      </c>
      <c r="V35" s="12">
        <f>X34*Population!$B$18</f>
        <v>0.24479834526254288</v>
      </c>
      <c r="W35" s="12">
        <f>AN34*T34*Population!$B$16</f>
        <v>1.6398153969003624</v>
      </c>
      <c r="X35" s="12">
        <f t="shared" si="24"/>
        <v>40.025515989454632</v>
      </c>
      <c r="Y35" s="14">
        <f t="shared" si="22"/>
        <v>4.5162035241214653</v>
      </c>
      <c r="Z35" s="13">
        <f t="shared" si="23"/>
        <v>4.5162035241214653</v>
      </c>
      <c r="AA35" s="18">
        <f>(G35+Population!$B$15*AA34)*Population!M$33</f>
        <v>19.761829014794987</v>
      </c>
      <c r="AB35" s="18">
        <f>AA34*Population!$B$16*Population!$M$33+AB34*Population!$B$15*Population!$M$34</f>
        <v>18.969356805474973</v>
      </c>
      <c r="AC35" s="14">
        <f>(AB34*Population!$B$16*0.5*Population!$M$34)+(AC34*Population!$B$15*Population!M$35)</f>
        <v>8.4600529165324172</v>
      </c>
      <c r="AD35" s="13">
        <f>(AB34*Population!$B$16*0.5*Population!$M$34)+(AD34*Population!$B$15*Population!M$35)</f>
        <v>8.4600529165324172</v>
      </c>
      <c r="AE35" s="14">
        <f>(AC34*Population!$B$16*Population!M$35)+(AE34*Population!$B$15*Population!M$37)</f>
        <v>7.1219742792643927</v>
      </c>
      <c r="AF35" s="13">
        <f>(AD34*Population!$B$16*Population!M$35)+(AF34*Population!$B$15*Population!M$37)</f>
        <v>7.1219742792643927</v>
      </c>
      <c r="AG35" s="14">
        <f>(AE34*Population!$B$16*Population!M$37)+(AG34*Population!$B$15*Population!M$39)</f>
        <v>6.6114853437091048</v>
      </c>
      <c r="AH35" s="13">
        <f>(AF34*Population!$B$16*Population!M$37)+(AH34*Population!$B$15*Population!M$39)</f>
        <v>6.6114853437091048</v>
      </c>
      <c r="AI35" s="14">
        <f>(AG34*Population!$B$16*Population!M$39)+(AI34*Population!$B$15*Population!M$41)</f>
        <v>7.9345877193656662</v>
      </c>
      <c r="AJ35" s="13">
        <f>(AH34*Population!$B$16*Population!M$39)+(AJ34*Population!$B$15*Population!M$41)</f>
        <v>7.9345877193656662</v>
      </c>
      <c r="AK35" s="14">
        <f>(AI34*Population!$B$16*Population!M$41)+(AK34*Population!$B$15*Population!M$43)</f>
        <v>10.488935719065084</v>
      </c>
      <c r="AL35" s="13">
        <f>(AJ34*Population!$B$16*Population!M$41)+(AL34*Population!$B$15*Population!M$43)</f>
        <v>10.488935719065084</v>
      </c>
      <c r="AM35" s="14">
        <f>(AK34*Population!$B$16*Population!M$43)+(AM34*Population!$B$15*Population!M$45)</f>
        <v>12.384736452171854</v>
      </c>
      <c r="AN35" s="13">
        <f>(AL34*Population!$B$16*Population!M$43)+(AN34*Population!$B$15*Population!M$45)</f>
        <v>12.384736452171854</v>
      </c>
      <c r="AO35" s="15">
        <f>(AM34+AN34)*Population!$B$16*Population!$M$45+AO34*Population!$B$15*Population!$M$47</f>
        <v>23.713933089015896</v>
      </c>
      <c r="AP35" s="5">
        <f>AO34*Population!M$47*Population!$B$16+AP34*Population!$B$15*Population!M$48</f>
        <v>18.877862576928738</v>
      </c>
      <c r="AQ35" s="5">
        <f>AP34*Population!M$48*Population!$B$16+AQ34*Population!$B$15*Population!M$49</f>
        <v>11.007002795202133</v>
      </c>
      <c r="AR35" s="5">
        <f>(AQ34*Population!$B$16+AR34)*Population!M$50</f>
        <v>9.229269856992703</v>
      </c>
      <c r="AS35">
        <f>AS34*(1-Population!$B$12)+M35</f>
        <v>60</v>
      </c>
    </row>
    <row r="36" spans="1:45">
      <c r="A36">
        <f>A35+Population!$B$2</f>
        <v>33</v>
      </c>
      <c r="B36" s="117">
        <f t="shared" si="1"/>
        <v>268</v>
      </c>
      <c r="C36" s="59">
        <f t="shared" si="25"/>
        <v>144</v>
      </c>
      <c r="D36" s="12">
        <f>AD35*Population!$P$36*Population!$C$2+AF35*Population!$P$38*Population!$C$2+AH35*Population!$P$40*Population!$C$2+AJ35*Population!$P$42*Population!$C$2+AL35*Population!$P$44*Population!$C$2+AN34*Population!$P$46*Population!$C$2</f>
        <v>2.6796402631405849</v>
      </c>
      <c r="E36" s="12">
        <f>IF(B35&gt;Population!$B$6*Population!$B$19,Population!$B$11,IF(Population!$J$6=1,D36,Population!$B$11*Population!$B$6*0.9/B35))</f>
        <v>2.8514203965783622</v>
      </c>
      <c r="F36" s="12">
        <f>IF(B35&gt;Population!$B$6*0.75,Population!$B$11,E36)</f>
        <v>2.8514203965783622</v>
      </c>
      <c r="G36" s="15">
        <f>IF(Population!$J$6=1,IF(E36&gt;H35,H35,E36),IF(E36&gt;X35,X35,E36))</f>
        <v>2.8514203965783622</v>
      </c>
      <c r="H36" s="15">
        <f t="shared" ref="H36:H67" si="28">FLOOR(AF36+AH36+AJ36+AL36+AN36,1)</f>
        <v>43</v>
      </c>
      <c r="I36" s="15">
        <f t="shared" ref="I36:I67" si="29">FLOOR(SUM(AA36:AD36),1)</f>
        <v>56</v>
      </c>
      <c r="J36" s="12">
        <f t="shared" si="26"/>
        <v>1.3023255813953489</v>
      </c>
      <c r="K36" s="12">
        <f>AA36*Population!$O$33+AB36*Population!$O$34+AC36*Population!$O$35+AD36*Population!$O$36+AE36*Population!$O$37+AF36*Population!$O$38+AG36*Population!$O$39+AH36*Population!$O$40+AI36*Population!$O$41+AJ36*Population!$O$42+AK36*Population!$O$43+AL36*Population!$O$44+AM36*Population!$O$45+AN36*Population!$O$46+AO36*Population!$O$47+AP36*Population!$O$48+AQ36*Population!$O$49+AR36*Population!$O$50</f>
        <v>1.6018687430575662</v>
      </c>
      <c r="L36" s="12">
        <f t="shared" si="17"/>
        <v>6.631210224600842E-2</v>
      </c>
      <c r="M36" s="12">
        <f>Population!$C$12</f>
        <v>3.0312000000000006</v>
      </c>
      <c r="N36" s="12">
        <f t="shared" ref="N36:N67" si="30">(AE36+AF36+AG36+AH36+AI36+AJ36)/21*0.5</f>
        <v>1.0337820316948838</v>
      </c>
      <c r="O36" s="12">
        <f>I36/B36</f>
        <v>0.20895522388059701</v>
      </c>
      <c r="P36" s="12">
        <f>B36-I36-Q36*2</f>
        <v>133.39003911903063</v>
      </c>
      <c r="Q36" s="12">
        <f t="shared" si="19"/>
        <v>39.304980440484684</v>
      </c>
      <c r="R36" s="12">
        <f t="shared" si="20"/>
        <v>9.229269856992703</v>
      </c>
      <c r="S36" s="12">
        <f>SUM(AR36:AR36)/B36</f>
        <v>3.8268645533427792E-2</v>
      </c>
      <c r="T36" s="12">
        <f t="shared" si="27"/>
        <v>0.91406931256941126</v>
      </c>
      <c r="U36" s="12">
        <f>Population!$B$17*MIN(Y35:Z35)</f>
        <v>1.1290508810303663</v>
      </c>
      <c r="V36" s="12">
        <f>X35*Population!$B$18</f>
        <v>0.24015309593672779</v>
      </c>
      <c r="W36" s="12">
        <f>AN35*T35*Population!$B$16</f>
        <v>1.6094333340635913</v>
      </c>
      <c r="X36" s="12">
        <f t="shared" si="24"/>
        <v>39.304980440484684</v>
      </c>
      <c r="Y36" s="14">
        <f t="shared" ref="Y36:Y67" si="31">(AE36+AG36+AI36+AK36+AM36)-X36</f>
        <v>4.5996820247418668</v>
      </c>
      <c r="Z36" s="13">
        <f t="shared" ref="Z36:Z67" si="32">(AF36+AH36+AJ36+AL36+AN36)-X36</f>
        <v>4.5996820247418668</v>
      </c>
      <c r="AA36" s="18">
        <f>(G36+Population!$B$15*AA35)*Population!M$33</f>
        <v>19.782096187510195</v>
      </c>
      <c r="AB36" s="18">
        <f>AA35*Population!$B$16*Population!$M$33+AB35*Population!$B$15*Population!$M$34</f>
        <v>19.077762559053919</v>
      </c>
      <c r="AC36" s="14">
        <f>(AB35*Population!$B$16*0.5*Population!$M$34)+(AC35*Population!$B$15*Population!M$35)</f>
        <v>8.5992124666735208</v>
      </c>
      <c r="AD36" s="13">
        <f>(AB35*Population!$B$16*0.5*Population!$M$34)+(AD35*Population!$B$15*Population!M$35)</f>
        <v>8.5992124666735208</v>
      </c>
      <c r="AE36" s="14">
        <f>(AC35*Population!$B$16*Population!M$35)+(AE35*Population!$B$15*Population!M$37)</f>
        <v>7.3061589589657849</v>
      </c>
      <c r="AF36" s="13">
        <f>(AD35*Population!$B$16*Population!M$35)+(AF35*Population!$B$15*Population!M$37)</f>
        <v>7.3061589589657849</v>
      </c>
      <c r="AG36" s="14">
        <f>(AE35*Population!$B$16*Population!M$37)+(AG35*Population!$B$15*Population!M$39)</f>
        <v>6.6725621126959078</v>
      </c>
      <c r="AH36" s="13">
        <f>(AF35*Population!$B$16*Population!M$37)+(AH35*Population!$B$15*Population!M$39)</f>
        <v>6.6725621126959078</v>
      </c>
      <c r="AI36" s="14">
        <f>(AG35*Population!$B$16*Population!M$39)+(AI35*Population!$B$15*Population!M$41)</f>
        <v>7.7307015939308696</v>
      </c>
      <c r="AJ36" s="13">
        <f>(AH35*Population!$B$16*Population!M$39)+(AJ35*Population!$B$15*Population!M$41)</f>
        <v>7.7307015939308696</v>
      </c>
      <c r="AK36" s="14">
        <f>(AI35*Population!$B$16*Population!M$41)+(AK35*Population!$B$15*Population!M$43)</f>
        <v>10.104590726550194</v>
      </c>
      <c r="AL36" s="13">
        <f>(AJ35*Population!$B$16*Population!M$41)+(AL35*Population!$B$15*Population!M$43)</f>
        <v>10.104590726550194</v>
      </c>
      <c r="AM36" s="14">
        <f>(AK35*Population!$B$16*Population!M$43)+(AM35*Population!$B$15*Population!M$45)</f>
        <v>12.090649073083799</v>
      </c>
      <c r="AN36" s="13">
        <f>(AL35*Population!$B$16*Population!M$43)+(AN35*Population!$B$15*Population!M$45)</f>
        <v>12.090649073083799</v>
      </c>
      <c r="AO36" s="15">
        <f>(AM35+AN35)*Population!$B$16*Population!$M$45+AO35*Population!$B$15*Population!$M$47</f>
        <v>23.710565423012937</v>
      </c>
      <c r="AP36" s="5">
        <f>AO35*Population!M$47*Population!$B$16+AP35*Population!$B$15*Population!M$48</f>
        <v>19.426856501942368</v>
      </c>
      <c r="AQ36" s="5">
        <f>AP35*Population!M$48*Population!$B$16+AQ35*Population!$B$15*Population!M$49</f>
        <v>11.635224593882448</v>
      </c>
      <c r="AR36" s="5">
        <f>(AQ35*Population!$B$16+AR35)*Population!M$50</f>
        <v>10.255997002958649</v>
      </c>
      <c r="AS36">
        <f>AS35*(1-Population!$B$12)+M36</f>
        <v>60</v>
      </c>
    </row>
    <row r="37" spans="1:45">
      <c r="A37">
        <f>A36+Population!$B$2</f>
        <v>34</v>
      </c>
      <c r="B37" s="117">
        <f t="shared" si="1"/>
        <v>270</v>
      </c>
      <c r="C37" s="59">
        <f t="shared" si="25"/>
        <v>144</v>
      </c>
      <c r="D37" s="12">
        <f>AD36*Population!$P$36*Population!$C$2+AF36*Population!$P$38*Population!$C$2+AH36*Population!$P$40*Population!$C$2+AJ36*Population!$P$42*Population!$C$2+AL36*Population!$P$44*Population!$C$2+AN35*Population!$P$46*Population!$C$2</f>
        <v>2.6658102323551671</v>
      </c>
      <c r="E37" s="12">
        <f>IF(B36&gt;Population!$B$6*Population!$B$19,Population!$B$11,IF(Population!$J$6=1,D37,Population!$B$11*Population!$B$6*0.9/B36))</f>
        <v>2.8514203965783622</v>
      </c>
      <c r="F37" s="12">
        <f>IF(B36&gt;Population!$B$6*0.75,Population!$B$11,E37)</f>
        <v>2.8514203965783622</v>
      </c>
      <c r="G37" s="15">
        <f>IF(Population!$J$6=1,IF(E37&gt;H36,H36,E37),IF(E37&gt;X36,X36,E37))</f>
        <v>2.8514203965783622</v>
      </c>
      <c r="H37" s="15">
        <f t="shared" si="28"/>
        <v>43</v>
      </c>
      <c r="I37" s="15">
        <f t="shared" si="29"/>
        <v>56</v>
      </c>
      <c r="J37" s="12">
        <f t="shared" si="26"/>
        <v>1.3023255813953489</v>
      </c>
      <c r="K37" s="12">
        <f>AA37*Population!$O$33+AB37*Population!$O$34+AC37*Population!$O$35+AD37*Population!$O$36+AE37*Population!$O$37+AF37*Population!$O$38+AG37*Population!$O$39+AH37*Population!$O$40+AI37*Population!$O$41+AJ37*Population!$O$42+AK37*Population!$O$43+AL37*Population!$O$44+AM37*Population!$O$45+AN37*Population!$O$46+AO37*Population!$O$47+AP37*Population!$O$48+AQ37*Population!$O$49+AR37*Population!$O$50</f>
        <v>1.6856643588707203</v>
      </c>
      <c r="L37" s="12">
        <f t="shared" si="17"/>
        <v>6.631210224600842E-2</v>
      </c>
      <c r="M37" s="12">
        <f>Population!$C$12</f>
        <v>3.0312000000000006</v>
      </c>
      <c r="N37" s="12">
        <f t="shared" si="30"/>
        <v>1.0380870624410738</v>
      </c>
      <c r="O37" s="12">
        <f>I37/B37</f>
        <v>0.2074074074074074</v>
      </c>
      <c r="P37" s="12">
        <f>B37-I37-Q37*2</f>
        <v>136.71948395387457</v>
      </c>
      <c r="Q37" s="12">
        <f t="shared" si="19"/>
        <v>38.640258023062714</v>
      </c>
      <c r="R37" s="12">
        <f t="shared" si="20"/>
        <v>10.255997002958649</v>
      </c>
      <c r="S37" s="12">
        <f>SUM(AR37:AR37)/B37</f>
        <v>4.1911355178827381E-2</v>
      </c>
      <c r="T37" s="12">
        <f t="shared" si="27"/>
        <v>0.8986106516991329</v>
      </c>
      <c r="U37" s="12">
        <f>Population!$B$17*MIN(Y36:Z36)</f>
        <v>1.1499205061854667</v>
      </c>
      <c r="V37" s="12">
        <f>X36*Population!$B$18</f>
        <v>0.23582988264290811</v>
      </c>
      <c r="W37" s="12">
        <f>AN36*T36*Population!$B$16</f>
        <v>1.5788130409645282</v>
      </c>
      <c r="X37" s="12">
        <f t="shared" si="24"/>
        <v>38.640258023062714</v>
      </c>
      <c r="Y37" s="14">
        <f t="shared" si="31"/>
        <v>4.6905414588481094</v>
      </c>
      <c r="Z37" s="13">
        <f t="shared" si="32"/>
        <v>4.6905414588481094</v>
      </c>
      <c r="AA37" s="18">
        <f>(G37+Population!$B$15*AA36)*Population!M$33</f>
        <v>19.799460996861409</v>
      </c>
      <c r="AB37" s="18">
        <f>AA36*Population!$B$16*Population!$M$33+AB36*Population!$B$15*Population!$M$34</f>
        <v>19.173555004475265</v>
      </c>
      <c r="AC37" s="14">
        <f>(AB36*Population!$B$16*0.5*Population!$M$34)+(AC36*Population!$B$15*Population!M$35)</f>
        <v>8.7261199334851085</v>
      </c>
      <c r="AD37" s="13">
        <f>(AB36*Population!$B$16*0.5*Population!$M$34)+(AD36*Population!$B$15*Population!M$35)</f>
        <v>8.7261199334851085</v>
      </c>
      <c r="AE37" s="14">
        <f>(AC36*Population!$B$16*Population!M$35)+(AE36*Population!$B$15*Population!M$37)</f>
        <v>7.4837420791514466</v>
      </c>
      <c r="AF37" s="13">
        <f>(AD36*Population!$B$16*Population!M$35)+(AF36*Population!$B$15*Population!M$37)</f>
        <v>7.4837420791514466</v>
      </c>
      <c r="AG37" s="14">
        <f>(AE36*Population!$B$16*Population!M$37)+(AG36*Population!$B$15*Population!M$39)</f>
        <v>6.7511001357307263</v>
      </c>
      <c r="AH37" s="13">
        <f>(AF36*Population!$B$16*Population!M$37)+(AH36*Population!$B$15*Population!M$39)</f>
        <v>6.7511001357307263</v>
      </c>
      <c r="AI37" s="14">
        <f>(AG36*Population!$B$16*Population!M$39)+(AI36*Population!$B$15*Population!M$41)</f>
        <v>7.5649860963803803</v>
      </c>
      <c r="AJ37" s="13">
        <f>(AH36*Population!$B$16*Population!M$39)+(AJ36*Population!$B$15*Population!M$41)</f>
        <v>7.5649860963803803</v>
      </c>
      <c r="AK37" s="14">
        <f>(AI36*Population!$B$16*Population!M$41)+(AK36*Population!$B$15*Population!M$43)</f>
        <v>9.7467140172859743</v>
      </c>
      <c r="AL37" s="13">
        <f>(AJ36*Population!$B$16*Population!M$41)+(AL36*Population!$B$15*Population!M$43)</f>
        <v>9.7467140172859743</v>
      </c>
      <c r="AM37" s="14">
        <f>(AK36*Population!$B$16*Population!M$43)+(AM36*Population!$B$15*Population!M$45)</f>
        <v>11.784257153362299</v>
      </c>
      <c r="AN37" s="13">
        <f>(AL36*Population!$B$16*Population!M$43)+(AN36*Population!$B$15*Population!M$45)</f>
        <v>11.784257153362299</v>
      </c>
      <c r="AO37" s="15">
        <f>(AM36+AN36)*Population!$B$16*Population!$M$45+AO36*Population!$B$15*Population!$M$47</f>
        <v>23.623836142271934</v>
      </c>
      <c r="AP37" s="5">
        <f>AO36*Population!M$47*Population!$B$16+AP36*Population!$B$15*Population!M$48</f>
        <v>19.893533511073688</v>
      </c>
      <c r="AQ37" s="5">
        <f>AP36*Population!M$48*Population!$B$16+AQ36*Population!$B$15*Population!M$49</f>
        <v>12.224355725242905</v>
      </c>
      <c r="AR37" s="5">
        <f>(AQ36*Population!$B$16+AR36)*Population!M$50</f>
        <v>11.316065898283393</v>
      </c>
      <c r="AS37">
        <f>AS36*(1-Population!$B$12)+M37</f>
        <v>60</v>
      </c>
    </row>
    <row r="38" spans="1:45">
      <c r="A38">
        <f>A37+Population!$B$2</f>
        <v>35</v>
      </c>
      <c r="B38" s="117">
        <f t="shared" si="1"/>
        <v>271</v>
      </c>
      <c r="C38" s="59">
        <f t="shared" si="25"/>
        <v>143</v>
      </c>
      <c r="D38" s="12">
        <f>AD37*Population!$P$36*Population!$C$2+AF37*Population!$P$38*Population!$C$2+AH37*Population!$P$40*Population!$C$2+AJ37*Population!$P$42*Population!$C$2+AL37*Population!$P$44*Population!$C$2+AN36*Population!$P$46*Population!$C$2</f>
        <v>2.6563818602136497</v>
      </c>
      <c r="E38" s="12">
        <f>IF(B37&gt;Population!$B$6*Population!$B$19,Population!$B$11,IF(Population!$J$6=1,D38,Population!$B$11*Population!$B$6*0.9/B37))</f>
        <v>2.8514203965783622</v>
      </c>
      <c r="F38" s="12">
        <f>IF(B37&gt;Population!$B$6*0.75,Population!$B$11,E38)</f>
        <v>2.8514203965783622</v>
      </c>
      <c r="G38" s="15">
        <f>IF(Population!$J$6=1,IF(E38&gt;H37,H37,E38),IF(E38&gt;X37,X37,E38))</f>
        <v>2.8514203965783622</v>
      </c>
      <c r="H38" s="15">
        <f t="shared" si="28"/>
        <v>42</v>
      </c>
      <c r="I38" s="15">
        <f t="shared" si="29"/>
        <v>56</v>
      </c>
      <c r="J38" s="12">
        <f t="shared" si="26"/>
        <v>1.3333333333333333</v>
      </c>
      <c r="K38" s="12">
        <f>AA38*Population!$O$33+AB38*Population!$O$34+AC38*Population!$O$35+AD38*Population!$O$36+AE38*Population!$O$37+AF38*Population!$O$38+AG38*Population!$O$39+AH38*Population!$O$40+AI38*Population!$O$41+AJ38*Population!$O$42+AK38*Population!$O$43+AL38*Population!$O$44+AM38*Population!$O$45+AN38*Population!$O$46+AO38*Population!$O$47+AP38*Population!$O$48+AQ38*Population!$O$49+AR38*Population!$O$50</f>
        <v>1.7676924280421971</v>
      </c>
      <c r="L38" s="12">
        <f t="shared" si="17"/>
        <v>6.7890961823294335E-2</v>
      </c>
      <c r="M38" s="12">
        <f>Population!$C$12</f>
        <v>3.0312000000000006</v>
      </c>
      <c r="N38" s="12">
        <f t="shared" si="30"/>
        <v>1.0443796500311664</v>
      </c>
      <c r="O38" s="12">
        <f>I38/B38</f>
        <v>0.20664206642066421</v>
      </c>
      <c r="P38" s="12">
        <f>B38-I38-Q38*2</f>
        <v>138.86345603511955</v>
      </c>
      <c r="Q38" s="12">
        <f t="shared" si="19"/>
        <v>38.068271982440216</v>
      </c>
      <c r="R38" s="12">
        <f t="shared" si="20"/>
        <v>11.316065898283393</v>
      </c>
      <c r="S38" s="12">
        <f>SUM(AR38:AR38)/B38</f>
        <v>4.5765645238649684E-2</v>
      </c>
      <c r="T38" s="12">
        <f t="shared" si="27"/>
        <v>0.9063874281533385</v>
      </c>
      <c r="U38" s="12">
        <f>Population!$B$17*MIN(Y37:Z37)</f>
        <v>1.1726353647120273</v>
      </c>
      <c r="V38" s="12">
        <f>X37*Population!$B$18</f>
        <v>0.23184154813837629</v>
      </c>
      <c r="W38" s="12">
        <f>AN37*T37*Population!$B$16</f>
        <v>1.5127798571961519</v>
      </c>
      <c r="X38" s="12">
        <f t="shared" si="24"/>
        <v>38.068271982440216</v>
      </c>
      <c r="Y38" s="14">
        <f t="shared" si="31"/>
        <v>4.7517366518502584</v>
      </c>
      <c r="Z38" s="13">
        <f t="shared" si="32"/>
        <v>4.7517366518502584</v>
      </c>
      <c r="AA38" s="18">
        <f>(G38+Population!$B$15*AA37)*Population!M$33</f>
        <v>19.814339076208796</v>
      </c>
      <c r="AB38" s="18">
        <f>AA37*Population!$B$16*Population!$M$33+AB37*Population!$B$15*Population!$M$34</f>
        <v>19.258124020470319</v>
      </c>
      <c r="AC38" s="14">
        <f>(AB37*Population!$B$16*0.5*Population!$M$34)+(AC37*Population!$B$15*Population!M$35)</f>
        <v>8.8416348749186611</v>
      </c>
      <c r="AD38" s="13">
        <f>(AB37*Population!$B$16*0.5*Population!$M$34)+(AD37*Population!$B$15*Population!M$35)</f>
        <v>8.8416348749186611</v>
      </c>
      <c r="AE38" s="14">
        <f>(AC37*Population!$B$16*Population!M$35)+(AE37*Population!$B$15*Population!M$37)</f>
        <v>7.65392348269837</v>
      </c>
      <c r="AF38" s="13">
        <f>(AD37*Population!$B$16*Population!M$35)+(AF37*Population!$B$15*Population!M$37)</f>
        <v>7.65392348269837</v>
      </c>
      <c r="AG38" s="14">
        <f>(AE37*Population!$B$16*Population!M$37)+(AG37*Population!$B$15*Population!M$39)</f>
        <v>6.8436340305386789</v>
      </c>
      <c r="AH38" s="13">
        <f>(AF37*Population!$B$16*Population!M$37)+(AH37*Population!$B$15*Population!M$39)</f>
        <v>6.8436340305386789</v>
      </c>
      <c r="AI38" s="14">
        <f>(AG37*Population!$B$16*Population!M$39)+(AI37*Population!$B$15*Population!M$41)</f>
        <v>7.4344151374174441</v>
      </c>
      <c r="AJ38" s="13">
        <f>(AH37*Population!$B$16*Population!M$39)+(AJ37*Population!$B$15*Population!M$41)</f>
        <v>7.4344151374174441</v>
      </c>
      <c r="AK38" s="14">
        <f>(AI37*Population!$B$16*Population!M$41)+(AK37*Population!$B$15*Population!M$43)</f>
        <v>9.4169233259017204</v>
      </c>
      <c r="AL38" s="13">
        <f>(AJ37*Population!$B$16*Population!M$41)+(AL37*Population!$B$15*Population!M$43)</f>
        <v>9.4169233259017204</v>
      </c>
      <c r="AM38" s="14">
        <f>(AK37*Population!$B$16*Population!M$43)+(AM37*Population!$B$15*Population!M$45)</f>
        <v>11.471112657734263</v>
      </c>
      <c r="AN38" s="13">
        <f>(AL37*Population!$B$16*Population!M$43)+(AN37*Population!$B$15*Population!M$45)</f>
        <v>11.471112657734263</v>
      </c>
      <c r="AO38" s="15">
        <f>(AM37+AN37)*Population!$B$16*Population!$M$45+AO37*Population!$B$15*Population!$M$47</f>
        <v>23.462663248671209</v>
      </c>
      <c r="AP38" s="5">
        <f>AO37*Population!M$47*Population!$B$16+AP37*Population!$B$15*Population!M$48</f>
        <v>20.278342241278697</v>
      </c>
      <c r="AQ38" s="5">
        <f>AP37*Population!M$48*Population!$B$16+AQ37*Population!$B$15*Population!M$49</f>
        <v>12.769999005305745</v>
      </c>
      <c r="AR38" s="5">
        <f>(AQ37*Population!$B$16+AR37)*Population!M$50</f>
        <v>12.402489859674064</v>
      </c>
      <c r="AS38">
        <f>AS37*(1-Population!$B$12)+M38</f>
        <v>60</v>
      </c>
    </row>
    <row r="39" spans="1:45">
      <c r="A39">
        <f>A38+Population!$B$2</f>
        <v>36</v>
      </c>
      <c r="B39" s="117">
        <f t="shared" si="1"/>
        <v>272</v>
      </c>
      <c r="C39" s="59">
        <f t="shared" si="25"/>
        <v>141</v>
      </c>
      <c r="D39" s="12">
        <f>AD38*Population!$P$36*Population!$C$2+AF38*Population!$P$38*Population!$C$2+AH38*Population!$P$40*Population!$C$2+AJ38*Population!$P$42*Population!$C$2+AL38*Population!$P$44*Population!$C$2+AN37*Population!$P$46*Population!$C$2</f>
        <v>2.6509474456552762</v>
      </c>
      <c r="E39" s="12">
        <f>IF(B38&gt;Population!$B$6*Population!$B$19,Population!$B$11,IF(Population!$J$6=1,D39,Population!$B$11*Population!$B$6*0.9/B38))</f>
        <v>2.8514203965783622</v>
      </c>
      <c r="F39" s="12">
        <f>IF(B38&gt;Population!$B$6*0.75,Population!$B$11,E39)</f>
        <v>2.8514203965783622</v>
      </c>
      <c r="G39" s="15">
        <f>IF(Population!$J$6=1,IF(E39&gt;H38,H38,E39),IF(E39&gt;X38,X38,E39))</f>
        <v>2.8514203965783622</v>
      </c>
      <c r="H39" s="15">
        <f t="shared" si="28"/>
        <v>42</v>
      </c>
      <c r="I39" s="15">
        <f t="shared" si="29"/>
        <v>57</v>
      </c>
      <c r="J39" s="12">
        <f t="shared" si="26"/>
        <v>1.3571428571428572</v>
      </c>
      <c r="K39" s="12">
        <f>AA39*Population!$O$33+AB39*Population!$O$34+AC39*Population!$O$35+AD39*Population!$O$36+AE39*Population!$O$37+AF39*Population!$O$38+AG39*Population!$O$39+AH39*Population!$O$40+AI39*Population!$O$41+AJ39*Population!$O$42+AK39*Population!$O$43+AL39*Population!$O$44+AM39*Population!$O$45+AN39*Population!$O$46+AO39*Population!$O$47+AP39*Population!$O$48+AQ39*Population!$O$49+AR39*Population!$O$50</f>
        <v>1.8474886065760137</v>
      </c>
      <c r="L39" s="12">
        <f t="shared" si="17"/>
        <v>6.7890961823294335E-2</v>
      </c>
      <c r="M39" s="12">
        <f>Population!$C$12</f>
        <v>3.0312000000000006</v>
      </c>
      <c r="N39" s="12">
        <f t="shared" si="30"/>
        <v>1.0523395917465328</v>
      </c>
      <c r="O39" s="12">
        <f>I39/B39</f>
        <v>0.20955882352941177</v>
      </c>
      <c r="P39" s="12">
        <f>B39-I39-Q39*2</f>
        <v>139.91505620152685</v>
      </c>
      <c r="Q39" s="12">
        <f t="shared" si="19"/>
        <v>37.542471899236567</v>
      </c>
      <c r="R39" s="12">
        <f t="shared" si="20"/>
        <v>12.402489859674064</v>
      </c>
      <c r="S39" s="12">
        <f>SUM(AR39:AR39)/B39</f>
        <v>4.9661907121481622E-2</v>
      </c>
      <c r="T39" s="12">
        <f t="shared" si="27"/>
        <v>0.89386837855325163</v>
      </c>
      <c r="U39" s="12">
        <f>Population!$B$17*MIN(Y38:Z38)</f>
        <v>1.1879341629625646</v>
      </c>
      <c r="V39" s="12">
        <f>X38*Population!$B$18</f>
        <v>0.22840963189464131</v>
      </c>
      <c r="W39" s="12">
        <f>AN38*T38*Population!$B$16</f>
        <v>1.4853246142715666</v>
      </c>
      <c r="X39" s="12">
        <f t="shared" si="24"/>
        <v>37.542471899236567</v>
      </c>
      <c r="Y39" s="14">
        <f t="shared" si="31"/>
        <v>4.8290266161197692</v>
      </c>
      <c r="Z39" s="13">
        <f t="shared" si="32"/>
        <v>4.8290266161197692</v>
      </c>
      <c r="AA39" s="18">
        <f>(G39+Population!$B$15*AA38)*Population!M$33</f>
        <v>19.827086538077797</v>
      </c>
      <c r="AB39" s="18">
        <f>AA38*Population!$B$16*Population!$M$33+AB38*Population!$B$15*Population!$M$34</f>
        <v>19.332720015705448</v>
      </c>
      <c r="AC39" s="14">
        <f>(AB38*Population!$B$16*0.5*Population!$M$34)+(AC38*Population!$B$15*Population!M$35)</f>
        <v>8.9465926075114357</v>
      </c>
      <c r="AD39" s="13">
        <f>(AB38*Population!$B$16*0.5*Population!$M$34)+(AD38*Population!$B$15*Population!M$35)</f>
        <v>8.9465926075114357</v>
      </c>
      <c r="AE39" s="14">
        <f>(AC38*Population!$B$16*Population!M$35)+(AE38*Population!$B$15*Population!M$37)</f>
        <v>7.8161406512284302</v>
      </c>
      <c r="AF39" s="13">
        <f>(AD38*Population!$B$16*Population!M$35)+(AF38*Population!$B$15*Population!M$37)</f>
        <v>7.8161406512284302</v>
      </c>
      <c r="AG39" s="14">
        <f>(AE38*Population!$B$16*Population!M$37)+(AG38*Population!$B$15*Population!M$39)</f>
        <v>6.9470849732599467</v>
      </c>
      <c r="AH39" s="13">
        <f>(AF38*Population!$B$16*Population!M$37)+(AH38*Population!$B$15*Population!M$39)</f>
        <v>6.9470849732599467</v>
      </c>
      <c r="AI39" s="14">
        <f>(AG38*Population!$B$16*Population!M$39)+(AI38*Population!$B$15*Population!M$41)</f>
        <v>7.3359058021888091</v>
      </c>
      <c r="AJ39" s="13">
        <f>(AH38*Population!$B$16*Population!M$39)+(AJ38*Population!$B$15*Population!M$41)</f>
        <v>7.3359058021888091</v>
      </c>
      <c r="AK39" s="14">
        <f>(AI38*Population!$B$16*Population!M$41)+(AK38*Population!$B$15*Population!M$43)</f>
        <v>9.116171151292793</v>
      </c>
      <c r="AL39" s="13">
        <f>(AJ38*Population!$B$16*Population!M$41)+(AL38*Population!$B$15*Population!M$43)</f>
        <v>9.116171151292793</v>
      </c>
      <c r="AM39" s="14">
        <f>(AK38*Population!$B$16*Population!M$43)+(AM38*Population!$B$15*Population!M$45)</f>
        <v>11.156195937386354</v>
      </c>
      <c r="AN39" s="13">
        <f>(AL38*Population!$B$16*Population!M$43)+(AN38*Population!$B$15*Population!M$45)</f>
        <v>11.156195937386354</v>
      </c>
      <c r="AO39" s="15">
        <f>(AM38+AN38)*Population!$B$16*Population!$M$45+AO38*Population!$B$15*Population!$M$47</f>
        <v>23.236218554796128</v>
      </c>
      <c r="AP39" s="5">
        <f>AO38*Population!M$47*Population!$B$16+AP38*Population!$B$15*Population!M$48</f>
        <v>20.582929214327844</v>
      </c>
      <c r="AQ39" s="5">
        <f>AP38*Population!M$48*Population!$B$16+AQ38*Population!$B$15*Population!M$49</f>
        <v>13.268639456196517</v>
      </c>
      <c r="AR39" s="5">
        <f>(AQ38*Population!$B$16+AR38)*Population!M$50</f>
        <v>13.508038737043002</v>
      </c>
      <c r="AS39">
        <f>AS38*(1-Population!$B$12)+M39</f>
        <v>60</v>
      </c>
    </row>
    <row r="40" spans="1:45">
      <c r="A40">
        <f>A39+Population!$B$2</f>
        <v>37</v>
      </c>
      <c r="B40" s="117">
        <f t="shared" si="1"/>
        <v>273</v>
      </c>
      <c r="C40" s="59">
        <f t="shared" si="25"/>
        <v>141</v>
      </c>
      <c r="D40" s="12">
        <f>AD39*Population!$P$36*Population!$C$2+AF39*Population!$P$38*Population!$C$2+AH39*Population!$P$40*Population!$C$2+AJ39*Population!$P$42*Population!$C$2+AL39*Population!$P$44*Population!$C$2+AN38*Population!$P$46*Population!$C$2</f>
        <v>2.649113907299514</v>
      </c>
      <c r="E40" s="12">
        <f>IF(B39&gt;Population!$B$6*Population!$B$19,Population!$B$11,IF(Population!$J$6=1,D40,Population!$B$11*Population!$B$6*0.9/B39))</f>
        <v>2.8514203965783622</v>
      </c>
      <c r="F40" s="12">
        <f>IF(B39&gt;Population!$B$6*0.75,Population!$B$11,E40)</f>
        <v>2.8514203965783622</v>
      </c>
      <c r="G40" s="15">
        <f>IF(Population!$J$6=1,IF(E40&gt;H39,H39,E40),IF(E40&gt;X39,X39,E40))</f>
        <v>2.8514203965783622</v>
      </c>
      <c r="H40" s="15">
        <f t="shared" si="28"/>
        <v>41</v>
      </c>
      <c r="I40" s="15">
        <f t="shared" si="29"/>
        <v>57</v>
      </c>
      <c r="J40" s="12">
        <f t="shared" si="26"/>
        <v>1.3902439024390243</v>
      </c>
      <c r="K40" s="12">
        <f>AA40*Population!$O$33+AB40*Population!$O$34+AC40*Population!$O$35+AD40*Population!$O$36+AE40*Population!$O$37+AF40*Population!$O$38+AG40*Population!$O$39+AH40*Population!$O$40+AI40*Population!$O$41+AJ40*Population!$O$42+AK40*Population!$O$43+AL40*Population!$O$44+AM40*Population!$O$45+AN40*Population!$O$46+AO40*Population!$O$47+AP40*Population!$O$48+AQ40*Population!$O$49+AR40*Population!$O$50</f>
        <v>1.9246330467894648</v>
      </c>
      <c r="L40" s="12">
        <f t="shared" si="17"/>
        <v>6.9546838940935662E-2</v>
      </c>
      <c r="M40" s="12">
        <f>Population!$C$12</f>
        <v>3.0312000000000006</v>
      </c>
      <c r="N40" s="12">
        <f t="shared" si="30"/>
        <v>1.0616738827084475</v>
      </c>
      <c r="O40" s="12">
        <f>I40/B40</f>
        <v>0.2087912087912088</v>
      </c>
      <c r="P40" s="12">
        <f>B40-I40-Q40*2</f>
        <v>141.80024420579321</v>
      </c>
      <c r="Q40" s="12">
        <f t="shared" si="19"/>
        <v>37.09987789710339</v>
      </c>
      <c r="R40" s="12">
        <f t="shared" si="20"/>
        <v>13.508038737043002</v>
      </c>
      <c r="S40" s="12">
        <f>SUM(AR40:AR40)/B40</f>
        <v>5.3572787091157814E-2</v>
      </c>
      <c r="T40" s="12">
        <f t="shared" si="27"/>
        <v>0.90487507066105832</v>
      </c>
      <c r="U40" s="12">
        <f>Population!$B$17*MIN(Y39:Z39)</f>
        <v>1.2072566540299423</v>
      </c>
      <c r="V40" s="12">
        <f>X39*Population!$B$18</f>
        <v>0.22525483139541941</v>
      </c>
      <c r="W40" s="12">
        <f>AN39*T39*Population!$B$16</f>
        <v>1.4245958247677017</v>
      </c>
      <c r="X40" s="12">
        <f t="shared" si="24"/>
        <v>37.09987789710339</v>
      </c>
      <c r="Y40" s="14">
        <f t="shared" si="31"/>
        <v>4.8840099010517477</v>
      </c>
      <c r="Z40" s="13">
        <f t="shared" si="32"/>
        <v>4.8840099010517477</v>
      </c>
      <c r="AA40" s="18">
        <f>(G40+Population!$B$15*AA39)*Population!M$33</f>
        <v>19.838008497848783</v>
      </c>
      <c r="AB40" s="18">
        <f>AA39*Population!$B$16*Population!$M$33+AB39*Population!$B$15*Population!$M$34</f>
        <v>19.398465380450688</v>
      </c>
      <c r="AC40" s="14">
        <f>(AB39*Population!$B$16*0.5*Population!$M$34)+(AC39*Population!$B$15*Population!M$35)</f>
        <v>9.041797729341404</v>
      </c>
      <c r="AD40" s="13">
        <f>(AB39*Population!$B$16*0.5*Population!$M$34)+(AD39*Population!$B$15*Population!M$35)</f>
        <v>9.041797729341404</v>
      </c>
      <c r="AE40" s="14">
        <f>(AC39*Population!$B$16*Population!M$35)+(AE39*Population!$B$15*Population!M$37)</f>
        <v>7.9700311028404762</v>
      </c>
      <c r="AF40" s="13">
        <f>(AD39*Population!$B$16*Population!M$35)+(AF39*Population!$B$15*Population!M$37)</f>
        <v>7.9700311028404762</v>
      </c>
      <c r="AG40" s="14">
        <f>(AE39*Population!$B$16*Population!M$37)+(AG39*Population!$B$15*Population!M$39)</f>
        <v>7.0587387556936481</v>
      </c>
      <c r="AH40" s="13">
        <f>(AF39*Population!$B$16*Population!M$37)+(AH39*Population!$B$15*Population!M$39)</f>
        <v>7.0587387556936481</v>
      </c>
      <c r="AI40" s="14">
        <f>(AG39*Population!$B$16*Population!M$39)+(AI39*Population!$B$15*Population!M$41)</f>
        <v>7.2663816783432758</v>
      </c>
      <c r="AJ40" s="13">
        <f>(AH39*Population!$B$16*Population!M$39)+(AJ39*Population!$B$15*Population!M$41)</f>
        <v>7.2663816783432758</v>
      </c>
      <c r="AK40" s="14">
        <f>(AI39*Population!$B$16*Population!M$41)+(AK39*Population!$B$15*Population!M$43)</f>
        <v>8.8448327827346382</v>
      </c>
      <c r="AL40" s="13">
        <f>(AJ39*Population!$B$16*Population!M$41)+(AL39*Population!$B$15*Population!M$43)</f>
        <v>8.8448327827346382</v>
      </c>
      <c r="AM40" s="14">
        <f>(AK39*Population!$B$16*Population!M$43)+(AM39*Population!$B$15*Population!M$45)</f>
        <v>10.843903478543105</v>
      </c>
      <c r="AN40" s="13">
        <f>(AL39*Population!$B$16*Population!M$43)+(AN39*Population!$B$15*Population!M$45)</f>
        <v>10.843903478543105</v>
      </c>
      <c r="AO40" s="15">
        <f>(AM39+AN39)*Population!$B$16*Population!$M$45+AO39*Population!$B$15*Population!$M$47</f>
        <v>22.953726843430896</v>
      </c>
      <c r="AP40" s="5">
        <f>AO39*Population!M$47*Population!$B$16+AP39*Population!$B$15*Population!M$48</f>
        <v>20.809996262202525</v>
      </c>
      <c r="AQ40" s="5">
        <f>AP39*Population!M$48*Population!$B$16+AQ39*Population!$B$15*Population!M$49</f>
        <v>13.71764996039154</v>
      </c>
      <c r="AR40" s="5">
        <f>(AQ39*Population!$B$16+AR39)*Population!M$50</f>
        <v>14.625370875886084</v>
      </c>
      <c r="AS40">
        <f>AS39*(1-Population!$B$12)+M40</f>
        <v>60</v>
      </c>
    </row>
    <row r="41" spans="1:45">
      <c r="A41">
        <f>A40+Population!$B$2</f>
        <v>38</v>
      </c>
      <c r="B41" s="117">
        <f t="shared" si="1"/>
        <v>274</v>
      </c>
      <c r="C41" s="59">
        <f t="shared" si="25"/>
        <v>140</v>
      </c>
      <c r="D41" s="12">
        <f>AD40*Population!$P$36*Population!$C$2+AF40*Population!$P$38*Population!$C$2+AH40*Population!$P$40*Population!$C$2+AJ40*Population!$P$42*Population!$C$2+AL40*Population!$P$44*Population!$C$2+AN39*Population!$P$46*Population!$C$2</f>
        <v>2.6505047408808169</v>
      </c>
      <c r="E41" s="12">
        <f>IF(B40&gt;Population!$B$6*Population!$B$19,Population!$B$11,IF(Population!$J$6=1,D41,Population!$B$11*Population!$B$6*0.9/B40))</f>
        <v>2.8514203965783622</v>
      </c>
      <c r="F41" s="12">
        <f>IF(B40&gt;Population!$B$6*0.75,Population!$B$11,E41)</f>
        <v>2.8514203965783622</v>
      </c>
      <c r="G41" s="15">
        <f>IF(Population!$J$6=1,IF(E41&gt;H40,H40,E41),IF(E41&gt;X40,X40,E41))</f>
        <v>2.8514203965783622</v>
      </c>
      <c r="H41" s="15">
        <f t="shared" si="28"/>
        <v>41</v>
      </c>
      <c r="I41" s="15">
        <f t="shared" si="29"/>
        <v>57</v>
      </c>
      <c r="J41" s="12">
        <f t="shared" si="26"/>
        <v>1.3902439024390243</v>
      </c>
      <c r="K41" s="12">
        <f>AA41*Population!$O$33+AB41*Population!$O$34+AC41*Population!$O$35+AD41*Population!$O$36+AE41*Population!$O$37+AF41*Population!$O$38+AG41*Population!$O$39+AH41*Population!$O$40+AI41*Population!$O$41+AJ41*Population!$O$42+AK41*Population!$O$43+AL41*Population!$O$44+AM41*Population!$O$45+AN41*Population!$O$46+AO41*Population!$O$47+AP41*Population!$O$48+AQ41*Population!$O$49+AR41*Population!$O$50</f>
        <v>1.9987539949369375</v>
      </c>
      <c r="L41" s="12">
        <f t="shared" si="17"/>
        <v>6.9546838940935662E-2</v>
      </c>
      <c r="M41" s="12">
        <f>Population!$C$12</f>
        <v>3.0312000000000006</v>
      </c>
      <c r="N41" s="12">
        <f t="shared" si="30"/>
        <v>1.0721164199496993</v>
      </c>
      <c r="O41" s="12">
        <f>I41/B41</f>
        <v>0.20802919708029197</v>
      </c>
      <c r="P41" s="12">
        <f>B41-I41-Q41*2</f>
        <v>143.60697434042928</v>
      </c>
      <c r="Q41" s="12">
        <f t="shared" si="19"/>
        <v>36.696512829785362</v>
      </c>
      <c r="R41" s="12">
        <f t="shared" si="20"/>
        <v>14.625370875886084</v>
      </c>
      <c r="S41" s="12">
        <f>SUM(AR41:AR41)/B41</f>
        <v>5.7471383868116163E-2</v>
      </c>
      <c r="T41" s="12">
        <f t="shared" si="27"/>
        <v>0.89503689828744781</v>
      </c>
      <c r="U41" s="12">
        <f>Population!$B$17*MIN(Y40:Z40)</f>
        <v>1.2210024752629369</v>
      </c>
      <c r="V41" s="12">
        <f>X40*Population!$B$18</f>
        <v>0.22259926738262034</v>
      </c>
      <c r="W41" s="12">
        <f>AN40*T40*Population!$B$16</f>
        <v>1.4017682751983411</v>
      </c>
      <c r="X41" s="12">
        <f t="shared" si="24"/>
        <v>36.696512829785362</v>
      </c>
      <c r="Y41" s="14">
        <f t="shared" si="31"/>
        <v>4.9587725970510661</v>
      </c>
      <c r="Z41" s="13">
        <f t="shared" si="32"/>
        <v>4.9587725970510661</v>
      </c>
      <c r="AA41" s="18">
        <f>(G41+Population!$B$15*AA40)*Population!M$33</f>
        <v>19.847366376810488</v>
      </c>
      <c r="AB41" s="18">
        <f>AA40*Population!$B$16*Population!$M$33+AB40*Population!$B$15*Population!$M$34</f>
        <v>19.456365517262739</v>
      </c>
      <c r="AC41" s="14">
        <f>(AB40*Population!$B$16*0.5*Population!$M$34)+(AC40*Population!$B$15*Population!M$35)</f>
        <v>9.1280193913574426</v>
      </c>
      <c r="AD41" s="13">
        <f>(AB40*Population!$B$16*0.5*Population!$M$34)+(AD40*Population!$B$15*Population!M$35)</f>
        <v>9.1280193913574426</v>
      </c>
      <c r="AE41" s="14">
        <f>(AC40*Population!$B$16*Population!M$35)+(AE40*Population!$B$15*Population!M$37)</f>
        <v>8.1153992679003082</v>
      </c>
      <c r="AF41" s="13">
        <f>(AD40*Population!$B$16*Population!M$35)+(AF40*Population!$B$15*Population!M$37)</f>
        <v>8.1153992679003082</v>
      </c>
      <c r="AG41" s="14">
        <f>(AE40*Population!$B$16*Population!M$37)+(AG40*Population!$B$15*Population!M$39)</f>
        <v>7.1762216466993953</v>
      </c>
      <c r="AH41" s="13">
        <f>(AF40*Population!$B$16*Population!M$37)+(AH40*Population!$B$15*Population!M$39)</f>
        <v>7.1762216466993953</v>
      </c>
      <c r="AI41" s="14">
        <f>(AG40*Population!$B$16*Population!M$39)+(AI40*Population!$B$15*Population!M$41)</f>
        <v>7.2228239043439793</v>
      </c>
      <c r="AJ41" s="13">
        <f>(AH40*Population!$B$16*Population!M$39)+(AJ40*Population!$B$15*Population!M$41)</f>
        <v>7.2228239043439793</v>
      </c>
      <c r="AK41" s="14">
        <f>(AI40*Population!$B$16*Population!M$41)+(AK40*Population!$B$15*Population!M$43)</f>
        <v>8.60279063546737</v>
      </c>
      <c r="AL41" s="13">
        <f>(AJ40*Population!$B$16*Population!M$41)+(AL40*Population!$B$15*Population!M$43)</f>
        <v>8.60279063546737</v>
      </c>
      <c r="AM41" s="14">
        <f>(AK40*Population!$B$16*Population!M$43)+(AM40*Population!$B$15*Population!M$45)</f>
        <v>10.538049972425373</v>
      </c>
      <c r="AN41" s="13">
        <f>(AL40*Population!$B$16*Population!M$43)+(AN40*Population!$B$15*Population!M$45)</f>
        <v>10.538049972425373</v>
      </c>
      <c r="AO41" s="15">
        <f>(AM40+AN40)*Population!$B$16*Population!$M$45+AO40*Population!$B$15*Population!$M$47</f>
        <v>22.624291472946389</v>
      </c>
      <c r="AP41" s="5">
        <f>AO40*Population!M$47*Population!$B$16+AP40*Population!$B$15*Population!M$48</f>
        <v>20.963150722803626</v>
      </c>
      <c r="AQ41" s="5">
        <f>AP40*Population!M$48*Population!$B$16+AQ40*Population!$B$15*Population!M$49</f>
        <v>14.115275642236703</v>
      </c>
      <c r="AR41" s="5">
        <f>(AQ40*Population!$B$16+AR40)*Population!M$50</f>
        <v>15.747159179863829</v>
      </c>
      <c r="AS41">
        <f>AS40*(1-Population!$B$12)+M41</f>
        <v>60</v>
      </c>
    </row>
    <row r="42" spans="1:45">
      <c r="A42">
        <f>A41+Population!$B$2</f>
        <v>39</v>
      </c>
      <c r="B42" s="117">
        <f t="shared" si="1"/>
        <v>275</v>
      </c>
      <c r="C42" s="59">
        <f t="shared" si="25"/>
        <v>140</v>
      </c>
      <c r="D42" s="12">
        <f>AD41*Population!$P$36*Population!$C$2+AF41*Population!$P$38*Population!$C$2+AH41*Population!$P$40*Population!$C$2+AJ41*Population!$P$42*Population!$C$2+AL41*Population!$P$44*Population!$C$2+AN40*Population!$P$46*Population!$C$2</f>
        <v>2.654761506069637</v>
      </c>
      <c r="E42" s="12">
        <f>IF(B41&gt;Population!$B$6*Population!$B$19,Population!$B$11,IF(Population!$J$6=1,D42,Population!$B$11*Population!$B$6*0.9/B41))</f>
        <v>2.8514203965783622</v>
      </c>
      <c r="F42" s="12">
        <f>IF(B41&gt;Population!$B$6*0.75,Population!$B$11,E42)</f>
        <v>2.8514203965783622</v>
      </c>
      <c r="G42" s="15">
        <f>IF(Population!$J$6=1,IF(E42&gt;H41,H41,E42),IF(E42&gt;X41,X41,E42))</f>
        <v>2.8514203965783622</v>
      </c>
      <c r="H42" s="15">
        <f t="shared" si="28"/>
        <v>41</v>
      </c>
      <c r="I42" s="15">
        <f t="shared" si="29"/>
        <v>57</v>
      </c>
      <c r="J42" s="12">
        <f t="shared" si="26"/>
        <v>1.3902439024390243</v>
      </c>
      <c r="K42" s="12">
        <f>AA42*Population!$O$33+AB42*Population!$O$34+AC42*Population!$O$35+AD42*Population!$O$36+AE42*Population!$O$37+AF42*Population!$O$38+AG42*Population!$O$39+AH42*Population!$O$40+AI42*Population!$O$41+AJ42*Population!$O$42+AK42*Population!$O$43+AL42*Population!$O$44+AM42*Population!$O$45+AN42*Population!$O$46+AO42*Population!$O$47+AP42*Population!$O$48+AQ42*Population!$O$49+AR42*Population!$O$50</f>
        <v>2.0695301988931236</v>
      </c>
      <c r="L42" s="12">
        <f t="shared" si="17"/>
        <v>6.9546838940935662E-2</v>
      </c>
      <c r="M42" s="12">
        <f>Population!$C$12</f>
        <v>3.0312000000000006</v>
      </c>
      <c r="N42" s="12">
        <f t="shared" si="30"/>
        <v>1.0834273267912482</v>
      </c>
      <c r="O42" s="12">
        <f>I42/B42</f>
        <v>0.20727272727272728</v>
      </c>
      <c r="P42" s="12">
        <f>B42-I42-Q42*2</f>
        <v>145.26278721338053</v>
      </c>
      <c r="Q42" s="12">
        <f t="shared" si="19"/>
        <v>36.36860639330974</v>
      </c>
      <c r="R42" s="12">
        <f t="shared" si="20"/>
        <v>15.747159179863829</v>
      </c>
      <c r="S42" s="12">
        <f>SUM(AR42:AR42)/B42</f>
        <v>6.1331667949854889E-2</v>
      </c>
      <c r="T42" s="12">
        <f t="shared" si="27"/>
        <v>0.88703918032462781</v>
      </c>
      <c r="U42" s="12">
        <f>Population!$B$17*MIN(Y41:Z41)</f>
        <v>1.2396931492627665</v>
      </c>
      <c r="V42" s="12">
        <f>X41*Population!$B$18</f>
        <v>0.22017907697871217</v>
      </c>
      <c r="W42" s="12">
        <f>AN41*T41*Population!$B$16</f>
        <v>1.3474205087596758</v>
      </c>
      <c r="X42" s="12">
        <f t="shared" si="24"/>
        <v>36.36860639330974</v>
      </c>
      <c r="Y42" s="14">
        <f t="shared" si="31"/>
        <v>5.0147632583705288</v>
      </c>
      <c r="Z42" s="13">
        <f t="shared" si="32"/>
        <v>5.0147632583705288</v>
      </c>
      <c r="AA42" s="18">
        <f>(G42+Population!$B$15*AA41)*Population!M$33</f>
        <v>19.855384159378641</v>
      </c>
      <c r="AB42" s="18">
        <f>AA41*Population!$B$16*Population!$M$33+AB41*Population!$B$15*Population!$M$34</f>
        <v>19.50731933659852</v>
      </c>
      <c r="AC42" s="14">
        <f>(AB41*Population!$B$16*0.5*Population!$M$34)+(AC41*Population!$B$15*Population!M$35)</f>
        <v>9.2059880358250794</v>
      </c>
      <c r="AD42" s="13">
        <f>(AB41*Population!$B$16*0.5*Population!$M$34)+(AD41*Population!$B$15*Population!M$35)</f>
        <v>9.2059880358250794</v>
      </c>
      <c r="AE42" s="14">
        <f>(AC41*Population!$B$16*Population!M$35)+(AE41*Population!$B$15*Population!M$37)</f>
        <v>8.2521874490379261</v>
      </c>
      <c r="AF42" s="13">
        <f>(AD41*Population!$B$16*Population!M$35)+(AF41*Population!$B$15*Population!M$37)</f>
        <v>8.2521874490379261</v>
      </c>
      <c r="AG42" s="14">
        <f>(AE41*Population!$B$16*Population!M$37)+(AG41*Population!$B$15*Population!M$39)</f>
        <v>7.2974750141749141</v>
      </c>
      <c r="AH42" s="13">
        <f>(AF41*Population!$B$16*Population!M$37)+(AH41*Population!$B$15*Population!M$39)</f>
        <v>7.2974750141749141</v>
      </c>
      <c r="AI42" s="14">
        <f>(AG41*Population!$B$16*Population!M$39)+(AI41*Population!$B$15*Population!M$41)</f>
        <v>7.2023113994033672</v>
      </c>
      <c r="AJ42" s="13">
        <f>(AH41*Population!$B$16*Population!M$39)+(AJ41*Population!$B$15*Population!M$41)</f>
        <v>7.2023113994033672</v>
      </c>
      <c r="AK42" s="14">
        <f>(AI41*Population!$B$16*Population!M$41)+(AK41*Population!$B$15*Population!M$43)</f>
        <v>8.3895136781616113</v>
      </c>
      <c r="AL42" s="13">
        <f>(AJ41*Population!$B$16*Population!M$41)+(AL41*Population!$B$15*Population!M$43)</f>
        <v>8.3895136781616113</v>
      </c>
      <c r="AM42" s="14">
        <f>(AK41*Population!$B$16*Population!M$43)+(AM41*Population!$B$15*Population!M$45)</f>
        <v>10.241882110902454</v>
      </c>
      <c r="AN42" s="13">
        <f>(AL41*Population!$B$16*Population!M$43)+(AN41*Population!$B$15*Population!M$45)</f>
        <v>10.241882110902454</v>
      </c>
      <c r="AO42" s="15">
        <f>(AM41+AN41)*Population!$B$16*Population!$M$45+AO41*Population!$B$15*Population!$M$47</f>
        <v>22.256746570223115</v>
      </c>
      <c r="AP42" s="5">
        <f>AO41*Population!M$47*Population!$B$16+AP41*Population!$B$15*Population!M$48</f>
        <v>21.046753234306763</v>
      </c>
      <c r="AQ42" s="5">
        <f>AP41*Population!M$48*Population!$B$16+AQ41*Population!$B$15*Population!M$49</f>
        <v>14.460599911544104</v>
      </c>
      <c r="AR42" s="5">
        <f>(AQ41*Population!$B$16+AR41)*Population!M$50</f>
        <v>16.866208686210094</v>
      </c>
      <c r="AS42">
        <f>AS41*(1-Population!$B$12)+M42</f>
        <v>60</v>
      </c>
    </row>
    <row r="43" spans="1:45">
      <c r="A43">
        <f>A42+Population!$B$2</f>
        <v>40</v>
      </c>
      <c r="B43" s="117">
        <f t="shared" si="1"/>
        <v>275</v>
      </c>
      <c r="C43" s="59">
        <f t="shared" si="25"/>
        <v>139</v>
      </c>
      <c r="D43" s="12">
        <f>AD42*Population!$P$36*Population!$C$2+AF42*Population!$P$38*Population!$C$2+AH42*Population!$P$40*Population!$C$2+AJ42*Population!$P$42*Population!$C$2+AL42*Population!$P$44*Population!$C$2+AN41*Population!$P$46*Population!$C$2</f>
        <v>2.6615449022071496</v>
      </c>
      <c r="E43" s="12">
        <f>IF(B42&gt;Population!$B$6*Population!$B$19,Population!$B$11,IF(Population!$J$6=1,D43,Population!$B$11*Population!$B$6*0.9/B42))</f>
        <v>2.8514203965783622</v>
      </c>
      <c r="F43" s="12">
        <f>IF(B42&gt;Population!$B$6*0.75,Population!$B$11,E43)</f>
        <v>2.8514203965783622</v>
      </c>
      <c r="G43" s="15">
        <f>IF(Population!$J$6=1,IF(E43&gt;H42,H42,E43),IF(E43&gt;X42,X42,E43))</f>
        <v>2.8514203965783622</v>
      </c>
      <c r="H43" s="15">
        <f t="shared" si="28"/>
        <v>41</v>
      </c>
      <c r="I43" s="15">
        <f t="shared" si="29"/>
        <v>57</v>
      </c>
      <c r="J43" s="12">
        <f t="shared" si="26"/>
        <v>1.3902439024390243</v>
      </c>
      <c r="K43" s="12">
        <f>AA43*Population!$O$33+AB43*Population!$O$34+AC43*Population!$O$35+AD43*Population!$O$36+AE43*Population!$O$37+AF43*Population!$O$38+AG43*Population!$O$39+AH43*Population!$O$40+AI43*Population!$O$41+AJ43*Population!$O$42+AK43*Population!$O$43+AL43*Population!$O$44+AM43*Population!$O$45+AN43*Population!$O$46+AO43*Population!$O$47+AP43*Population!$O$48+AQ43*Population!$O$49+AR43*Population!$O$50</f>
        <v>2.1366921973028092</v>
      </c>
      <c r="L43" s="12">
        <f t="shared" si="17"/>
        <v>6.9546838940935662E-2</v>
      </c>
      <c r="M43" s="12">
        <f>Population!$C$12</f>
        <v>3.0312000000000006</v>
      </c>
      <c r="N43" s="12">
        <f t="shared" si="30"/>
        <v>1.0953919818649855</v>
      </c>
      <c r="O43" s="12">
        <f>I43/B43</f>
        <v>0.20727272727272728</v>
      </c>
      <c r="P43" s="12">
        <f>B43-I43-Q43*2</f>
        <v>145.78752906452536</v>
      </c>
      <c r="Q43" s="12">
        <f t="shared" si="19"/>
        <v>36.106235467737314</v>
      </c>
      <c r="R43" s="12">
        <f t="shared" si="20"/>
        <v>16.866208686210094</v>
      </c>
      <c r="S43" s="12">
        <f>SUM(AR43:AR43)/B43</f>
        <v>6.5365685801398551E-2</v>
      </c>
      <c r="T43" s="12">
        <f t="shared" si="27"/>
        <v>0.88063988945700766</v>
      </c>
      <c r="U43" s="12">
        <f>Population!$B$17*MIN(Y42:Z42)</f>
        <v>1.2536908145926322</v>
      </c>
      <c r="V43" s="12">
        <f>X42*Population!$B$18</f>
        <v>0.21821163835985843</v>
      </c>
      <c r="W43" s="12">
        <f>AN42*T42*Population!$B$16</f>
        <v>1.2978501018051973</v>
      </c>
      <c r="X43" s="12">
        <f t="shared" si="24"/>
        <v>36.106235467737314</v>
      </c>
      <c r="Y43" s="14">
        <f t="shared" si="31"/>
        <v>5.059228984043159</v>
      </c>
      <c r="Z43" s="13">
        <f t="shared" si="32"/>
        <v>5.059228984043159</v>
      </c>
      <c r="AA43" s="18">
        <f>(G43+Population!$B$15*AA42)*Population!M$33</f>
        <v>19.862253754248723</v>
      </c>
      <c r="AB43" s="18">
        <f>AA42*Population!$B$16*Population!$M$33+AB42*Population!$B$15*Population!$M$34</f>
        <v>19.552129144556666</v>
      </c>
      <c r="AC43" s="14">
        <f>(AB42*Population!$B$16*0.5*Population!$M$34)+(AC42*Population!$B$15*Population!M$35)</f>
        <v>9.2763933528907891</v>
      </c>
      <c r="AD43" s="13">
        <f>(AB42*Population!$B$16*0.5*Population!$M$34)+(AD42*Population!$B$15*Population!M$35)</f>
        <v>9.2763933528907891</v>
      </c>
      <c r="AE43" s="14">
        <f>(AC42*Population!$B$16*Population!M$35)+(AE42*Population!$B$15*Population!M$37)</f>
        <v>8.3804504879458435</v>
      </c>
      <c r="AF43" s="13">
        <f>(AD42*Population!$B$16*Population!M$35)+(AF42*Population!$B$15*Population!M$37)</f>
        <v>8.3804504879458435</v>
      </c>
      <c r="AG43" s="14">
        <f>(AE42*Population!$B$16*Population!M$37)+(AG42*Population!$B$15*Population!M$39)</f>
        <v>7.4207294696121693</v>
      </c>
      <c r="AH43" s="13">
        <f>(AF42*Population!$B$16*Population!M$37)+(AH42*Population!$B$15*Population!M$39)</f>
        <v>7.4207294696121693</v>
      </c>
      <c r="AI43" s="14">
        <f>(AG42*Population!$B$16*Population!M$39)+(AI42*Population!$B$15*Population!M$41)</f>
        <v>7.2020516616066823</v>
      </c>
      <c r="AJ43" s="13">
        <f>(AH42*Population!$B$16*Population!M$39)+(AJ42*Population!$B$15*Population!M$41)</f>
        <v>7.2020516616066823</v>
      </c>
      <c r="AK43" s="14">
        <f>(AI42*Population!$B$16*Population!M$41)+(AK42*Population!$B$15*Population!M$43)</f>
        <v>8.2041311189876804</v>
      </c>
      <c r="AL43" s="13">
        <f>(AJ42*Population!$B$16*Population!M$41)+(AL42*Population!$B$15*Population!M$43)</f>
        <v>8.2041311189876804</v>
      </c>
      <c r="AM43" s="14">
        <f>(AK42*Population!$B$16*Population!M$43)+(AM42*Population!$B$15*Population!M$45)</f>
        <v>9.9581017136280963</v>
      </c>
      <c r="AN43" s="13">
        <f>(AL42*Population!$B$16*Population!M$43)+(AN42*Population!$B$15*Population!M$45)</f>
        <v>9.9581017136280963</v>
      </c>
      <c r="AO43" s="15">
        <f>(AM42+AN42)*Population!$B$16*Population!$M$45+AO42*Population!$B$15*Population!$M$47</f>
        <v>21.859535191433292</v>
      </c>
      <c r="AP43" s="5">
        <f>AO42*Population!M$47*Population!$B$16+AP42*Population!$B$15*Population!M$48</f>
        <v>21.065767256819605</v>
      </c>
      <c r="AQ43" s="5">
        <f>AP42*Population!M$48*Population!$B$16+AQ42*Population!$B$15*Population!M$49</f>
        <v>14.753495242490775</v>
      </c>
      <c r="AR43" s="5">
        <f>(AQ42*Population!$B$16+AR42)*Population!M$50</f>
        <v>17.975563595384603</v>
      </c>
      <c r="AS43">
        <f>AS42*(1-Population!$B$12)+M43</f>
        <v>60</v>
      </c>
    </row>
    <row r="44" spans="1:45">
      <c r="A44">
        <f>A43+Population!$B$2</f>
        <v>41</v>
      </c>
      <c r="B44" s="117">
        <f t="shared" si="1"/>
        <v>276</v>
      </c>
      <c r="C44" s="59">
        <f t="shared" si="25"/>
        <v>138</v>
      </c>
      <c r="D44" s="12">
        <f>AD43*Population!$P$36*Population!$C$2+AF43*Population!$P$38*Population!$C$2+AH43*Population!$P$40*Population!$C$2+AJ43*Population!$P$42*Population!$C$2+AL43*Population!$P$44*Population!$C$2+AN42*Population!$P$46*Population!$C$2</f>
        <v>2.6705354863879962</v>
      </c>
      <c r="E44" s="12">
        <f>IF(B43&gt;Population!$B$6*Population!$B$19,Population!$B$11,IF(Population!$J$6=1,D44,Population!$B$11*Population!$B$6*0.9/B43))</f>
        <v>2.8514203965783622</v>
      </c>
      <c r="F44" s="12">
        <f>IF(B43&gt;Population!$B$6*0.75,Population!$B$11,E44)</f>
        <v>2.8514203965783622</v>
      </c>
      <c r="G44" s="15">
        <f>IF(Population!$J$6=1,IF(E44&gt;H43,H43,E44),IF(E44&gt;X43,X43,E44))</f>
        <v>2.8514203965783622</v>
      </c>
      <c r="H44" s="15">
        <f t="shared" si="28"/>
        <v>40</v>
      </c>
      <c r="I44" s="15">
        <f t="shared" si="29"/>
        <v>58</v>
      </c>
      <c r="J44" s="12">
        <f t="shared" si="26"/>
        <v>1.45</v>
      </c>
      <c r="K44" s="12">
        <f>AA44*Population!$O$33+AB44*Population!$O$34+AC44*Population!$O$35+AD44*Population!$O$36+AE44*Population!$O$37+AF44*Population!$O$38+AG44*Population!$O$39+AH44*Population!$O$40+AI44*Population!$O$41+AJ44*Population!$O$42+AK44*Population!$O$43+AL44*Population!$O$44+AM44*Population!$O$45+AN44*Population!$O$46+AO44*Population!$O$47+AP44*Population!$O$48+AQ44*Population!$O$49+AR44*Population!$O$50</f>
        <v>2.2000225804207325</v>
      </c>
      <c r="L44" s="12">
        <f t="shared" si="17"/>
        <v>7.1285509914459061E-2</v>
      </c>
      <c r="M44" s="12">
        <f>Population!$C$12</f>
        <v>3.0312000000000006</v>
      </c>
      <c r="N44" s="12">
        <f t="shared" si="30"/>
        <v>1.1078198258377774</v>
      </c>
      <c r="O44" s="12">
        <f>I44/B44</f>
        <v>0.21014492753623187</v>
      </c>
      <c r="P44" s="12">
        <f>B44-I44-Q44*2</f>
        <v>146.19676128162837</v>
      </c>
      <c r="Q44" s="12">
        <f t="shared" si="19"/>
        <v>35.901619359185815</v>
      </c>
      <c r="R44" s="12">
        <f t="shared" si="20"/>
        <v>17.975563595384603</v>
      </c>
      <c r="S44" s="12">
        <f>SUM(AR44:AR44)/B44</f>
        <v>6.9089138468250794E-2</v>
      </c>
      <c r="T44" s="12">
        <f t="shared" si="27"/>
        <v>0.89754048397964536</v>
      </c>
      <c r="U44" s="12">
        <f>Population!$B$17*MIN(Y43:Z43)</f>
        <v>1.2648072460107898</v>
      </c>
      <c r="V44" s="12">
        <f>X43*Population!$B$18</f>
        <v>0.21663741280642387</v>
      </c>
      <c r="W44" s="12">
        <f>AN43*T43*Population!$B$16</f>
        <v>1.2527859417558693</v>
      </c>
      <c r="X44" s="12">
        <f t="shared" si="24"/>
        <v>35.901619359185815</v>
      </c>
      <c r="Y44" s="14">
        <f t="shared" si="31"/>
        <v>5.0969928381387319</v>
      </c>
      <c r="Z44" s="13">
        <f t="shared" si="32"/>
        <v>5.0969928381387319</v>
      </c>
      <c r="AA44" s="18">
        <f>(G44+Population!$B$15*AA43)*Population!M$33</f>
        <v>19.868139587804063</v>
      </c>
      <c r="AB44" s="18">
        <f>AA43*Population!$B$16*Population!$M$33+AB43*Population!$B$15*Population!$M$34</f>
        <v>19.591509881745619</v>
      </c>
      <c r="AC44" s="14">
        <f>(AB43*Population!$B$16*0.5*Population!$M$34)+(AC43*Population!$B$15*Population!M$35)</f>
        <v>9.3398832368432121</v>
      </c>
      <c r="AD44" s="13">
        <f>(AB43*Population!$B$16*0.5*Population!$M$34)+(AD43*Population!$B$15*Population!M$35)</f>
        <v>9.3398832368432121</v>
      </c>
      <c r="AE44" s="14">
        <f>(AC43*Population!$B$16*Population!M$35)+(AE43*Population!$B$15*Population!M$37)</f>
        <v>8.5003337802586394</v>
      </c>
      <c r="AF44" s="13">
        <f>(AD43*Population!$B$16*Population!M$35)+(AF43*Population!$B$15*Population!M$37)</f>
        <v>8.5003337802586394</v>
      </c>
      <c r="AG44" s="14">
        <f>(AE43*Population!$B$16*Population!M$37)+(AG43*Population!$B$15*Population!M$39)</f>
        <v>7.5444791332591308</v>
      </c>
      <c r="AH44" s="13">
        <f>(AF43*Population!$B$16*Population!M$37)+(AH43*Population!$B$15*Population!M$39)</f>
        <v>7.5444791332591308</v>
      </c>
      <c r="AI44" s="14">
        <f>(AG43*Population!$B$16*Population!M$39)+(AI43*Population!$B$15*Population!M$41)</f>
        <v>7.2194034290755571</v>
      </c>
      <c r="AJ44" s="13">
        <f>(AH43*Population!$B$16*Population!M$39)+(AJ43*Population!$B$15*Population!M$41)</f>
        <v>7.2194034290755571</v>
      </c>
      <c r="AK44" s="14">
        <f>(AI43*Population!$B$16*Population!M$41)+(AK43*Population!$B$15*Population!M$43)</f>
        <v>8.045499835121678</v>
      </c>
      <c r="AL44" s="13">
        <f>(AJ43*Population!$B$16*Population!M$41)+(AL43*Population!$B$15*Population!M$43)</f>
        <v>8.045499835121678</v>
      </c>
      <c r="AM44" s="14">
        <f>(AK43*Population!$B$16*Population!M$43)+(AM43*Population!$B$15*Population!M$45)</f>
        <v>9.6888960196095439</v>
      </c>
      <c r="AN44" s="13">
        <f>(AL43*Population!$B$16*Population!M$43)+(AN43*Population!$B$15*Population!M$45)</f>
        <v>9.6888960196095439</v>
      </c>
      <c r="AO44" s="15">
        <f>(AM43+AN43)*Population!$B$16*Population!$M$45+AO43*Population!$B$15*Population!$M$47</f>
        <v>21.440612240635467</v>
      </c>
      <c r="AP44" s="5">
        <f>AO43*Population!M$47*Population!$B$16+AP43*Population!$B$15*Population!M$48</f>
        <v>21.025613746648769</v>
      </c>
      <c r="AQ44" s="5">
        <f>AP43*Population!M$48*Population!$B$16+AQ43*Population!$B$15*Population!M$49</f>
        <v>14.994561774464074</v>
      </c>
      <c r="AR44" s="5">
        <f>(AQ43*Population!$B$16+AR43)*Population!M$50</f>
        <v>19.06860221723722</v>
      </c>
      <c r="AS44">
        <f>AS43*(1-Population!$B$12)+M44</f>
        <v>60</v>
      </c>
    </row>
    <row r="45" spans="1:45">
      <c r="A45">
        <f>A44+Population!$B$2</f>
        <v>42</v>
      </c>
      <c r="B45" s="117">
        <f t="shared" si="1"/>
        <v>277</v>
      </c>
      <c r="C45" s="59">
        <f t="shared" si="25"/>
        <v>138</v>
      </c>
      <c r="D45" s="12">
        <f>AD44*Population!$P$36*Population!$C$2+AF44*Population!$P$38*Population!$C$2+AH44*Population!$P$40*Population!$C$2+AJ44*Population!$P$42*Population!$C$2+AL44*Population!$P$44*Population!$C$2+AN43*Population!$P$46*Population!$C$2</f>
        <v>2.6814340819040745</v>
      </c>
      <c r="E45" s="12">
        <f>IF(B44&gt;Population!$B$6*Population!$B$19,Population!$B$11,IF(Population!$J$6=1,D45,Population!$B$11*Population!$B$6*0.9/B44))</f>
        <v>2.8514203965783622</v>
      </c>
      <c r="F45" s="12">
        <f>IF(B44&gt;Population!$B$6*0.75,Population!$B$11,E45)</f>
        <v>2.8514203965783622</v>
      </c>
      <c r="G45" s="15">
        <f>IF(Population!$J$6=1,IF(E45&gt;H44,H44,E45),IF(E45&gt;X44,X44,E45))</f>
        <v>2.8514203965783622</v>
      </c>
      <c r="H45" s="15">
        <f t="shared" si="28"/>
        <v>40</v>
      </c>
      <c r="I45" s="15">
        <f t="shared" si="29"/>
        <v>58</v>
      </c>
      <c r="J45" s="12">
        <f t="shared" si="26"/>
        <v>1.45</v>
      </c>
      <c r="K45" s="12">
        <f>AA45*Population!$O$33+AB45*Population!$O$34+AC45*Population!$O$35+AD45*Population!$O$36+AE45*Population!$O$37+AF45*Population!$O$38+AG45*Population!$O$39+AH45*Population!$O$40+AI45*Population!$O$41+AJ45*Population!$O$42+AK45*Population!$O$43+AL45*Population!$O$44+AM45*Population!$O$45+AN45*Population!$O$46+AO45*Population!$O$47+AP45*Population!$O$48+AQ45*Population!$O$49+AR45*Population!$O$50</f>
        <v>2.259355326421578</v>
      </c>
      <c r="L45" s="12">
        <f t="shared" si="17"/>
        <v>7.1285509914459061E-2</v>
      </c>
      <c r="M45" s="12">
        <f>Population!$C$12</f>
        <v>3.0312000000000006</v>
      </c>
      <c r="N45" s="12">
        <f t="shared" si="30"/>
        <v>1.1205430084591441</v>
      </c>
      <c r="O45" s="12">
        <f>I45/B45</f>
        <v>0.20938628158844766</v>
      </c>
      <c r="P45" s="12">
        <f>B45-I45-Q45*2</f>
        <v>147.56370612991748</v>
      </c>
      <c r="Q45" s="12">
        <f t="shared" si="19"/>
        <v>35.718146935041268</v>
      </c>
      <c r="R45" s="12">
        <f t="shared" si="20"/>
        <v>19.06860221723722</v>
      </c>
      <c r="S45" s="12">
        <f>SUM(AR45:AR45)/B45</f>
        <v>7.2704399972240805E-2</v>
      </c>
      <c r="T45" s="12">
        <f t="shared" si="27"/>
        <v>0.89295367337603171</v>
      </c>
      <c r="U45" s="12">
        <f>Population!$B$17*MIN(Y44:Z44)</f>
        <v>1.274248209534683</v>
      </c>
      <c r="V45" s="12">
        <f>X44*Population!$B$18</f>
        <v>0.21540971615511489</v>
      </c>
      <c r="W45" s="12">
        <f>AN44*T44*Population!$B$16</f>
        <v>1.2423109175241156</v>
      </c>
      <c r="X45" s="12">
        <f t="shared" si="24"/>
        <v>35.718146935041268</v>
      </c>
      <c r="Y45" s="14">
        <f t="shared" si="31"/>
        <v>5.1614947480394449</v>
      </c>
      <c r="Z45" s="13">
        <f t="shared" si="32"/>
        <v>5.1614947480394449</v>
      </c>
      <c r="AA45" s="18">
        <f>(G45+Population!$B$15*AA44)*Population!M$33</f>
        <v>19.873182539724279</v>
      </c>
      <c r="AB45" s="18">
        <f>AA44*Population!$B$16*Population!$M$33+AB44*Population!$B$15*Population!$M$34</f>
        <v>19.626097696466395</v>
      </c>
      <c r="AC45" s="14">
        <f>(AB44*Population!$B$16*0.5*Population!$M$34)+(AC44*Population!$B$15*Population!M$35)</f>
        <v>9.3970635521031607</v>
      </c>
      <c r="AD45" s="13">
        <f>(AB44*Population!$B$16*0.5*Population!$M$34)+(AD44*Population!$B$15*Population!M$35)</f>
        <v>9.3970635521031607</v>
      </c>
      <c r="AE45" s="14">
        <f>(AC44*Population!$B$16*Population!M$35)+(AE44*Population!$B$15*Population!M$37)</f>
        <v>8.6120543001592598</v>
      </c>
      <c r="AF45" s="13">
        <f>(AD44*Population!$B$16*Population!M$35)+(AF44*Population!$B$15*Population!M$37)</f>
        <v>8.6120543001592598</v>
      </c>
      <c r="AG45" s="14">
        <f>(AE44*Population!$B$16*Population!M$37)+(AG44*Population!$B$15*Population!M$39)</f>
        <v>7.6674564803008138</v>
      </c>
      <c r="AH45" s="13">
        <f>(AF44*Population!$B$16*Population!M$37)+(AH44*Population!$B$15*Population!M$39)</f>
        <v>7.6674564803008138</v>
      </c>
      <c r="AI45" s="14">
        <f>(AG44*Population!$B$16*Population!M$39)+(AI44*Population!$B$15*Population!M$41)</f>
        <v>7.2518923971819529</v>
      </c>
      <c r="AJ45" s="13">
        <f>(AH44*Population!$B$16*Population!M$39)+(AJ44*Population!$B$15*Population!M$41)</f>
        <v>7.2518923971819529</v>
      </c>
      <c r="AK45" s="14">
        <f>(AI44*Population!$B$16*Population!M$41)+(AK44*Population!$B$15*Population!M$43)</f>
        <v>7.9122652895887429</v>
      </c>
      <c r="AL45" s="13">
        <f>(AJ44*Population!$B$16*Population!M$41)+(AL44*Population!$B$15*Population!M$43)</f>
        <v>7.9122652895887429</v>
      </c>
      <c r="AM45" s="14">
        <f>(AK44*Population!$B$16*Population!M$43)+(AM44*Population!$B$15*Population!M$45)</f>
        <v>9.435973215849943</v>
      </c>
      <c r="AN45" s="13">
        <f>(AL44*Population!$B$16*Population!M$43)+(AN44*Population!$B$15*Population!M$45)</f>
        <v>9.435973215849943</v>
      </c>
      <c r="AO45" s="15">
        <f>(AM44+AN44)*Population!$B$16*Population!$M$45+AO44*Population!$B$15*Population!$M$47</f>
        <v>21.00737049854985</v>
      </c>
      <c r="AP45" s="5">
        <f>AO44*Population!M$47*Population!$B$16+AP44*Population!$B$15*Population!M$48</f>
        <v>20.93203372625775</v>
      </c>
      <c r="AQ45" s="5">
        <f>AP44*Population!M$48*Population!$B$16+AQ44*Population!$B$15*Population!M$49</f>
        <v>15.185056732670638</v>
      </c>
      <c r="AR45" s="5">
        <f>(AQ44*Population!$B$16+AR44)*Population!M$50</f>
        <v>20.139118792310704</v>
      </c>
      <c r="AS45">
        <f>AS44*(1-Population!$B$12)+M45</f>
        <v>60</v>
      </c>
    </row>
    <row r="46" spans="1:45">
      <c r="A46">
        <f>A45+Population!$B$2</f>
        <v>43</v>
      </c>
      <c r="B46" s="117">
        <f t="shared" si="1"/>
        <v>277</v>
      </c>
      <c r="C46" s="59">
        <f t="shared" si="25"/>
        <v>138</v>
      </c>
      <c r="D46" s="12">
        <f>AD45*Population!$P$36*Population!$C$2+AF45*Population!$P$38*Population!$C$2+AH45*Population!$P$40*Population!$C$2+AJ45*Population!$P$42*Population!$C$2+AL45*Population!$P$44*Population!$C$2+AN44*Population!$P$46*Population!$C$2</f>
        <v>2.6939619202244862</v>
      </c>
      <c r="E46" s="12">
        <f>IF(B45&gt;Population!$B$6*Population!$B$19,Population!$B$11,IF(Population!$J$6=1,D46,Population!$B$11*Population!$B$6*0.9/B45))</f>
        <v>2.8514203965783622</v>
      </c>
      <c r="F46" s="12">
        <f>IF(B45&gt;Population!$B$6*0.75,Population!$B$11,E46)</f>
        <v>2.8514203965783622</v>
      </c>
      <c r="G46" s="15">
        <f>IF(Population!$J$6=1,IF(E46&gt;H45,H45,E46),IF(E46&gt;X45,X45,E46))</f>
        <v>2.8514203965783622</v>
      </c>
      <c r="H46" s="15">
        <f t="shared" si="28"/>
        <v>40</v>
      </c>
      <c r="I46" s="15">
        <f t="shared" si="29"/>
        <v>58</v>
      </c>
      <c r="J46" s="12">
        <f t="shared" si="26"/>
        <v>1.45</v>
      </c>
      <c r="K46" s="12">
        <f>AA46*Population!$O$33+AB46*Population!$O$34+AC46*Population!$O$35+AD46*Population!$O$36+AE46*Population!$O$37+AF46*Population!$O$38+AG46*Population!$O$39+AH46*Population!$O$40+AI46*Population!$O$41+AJ46*Population!$O$42+AK46*Population!$O$43+AL46*Population!$O$44+AM46*Population!$O$45+AN46*Population!$O$46+AO46*Population!$O$47+AP46*Population!$O$48+AQ46*Population!$O$49+AR46*Population!$O$50</f>
        <v>2.3145743257198719</v>
      </c>
      <c r="L46" s="12">
        <f t="shared" si="17"/>
        <v>7.1285509914459061E-2</v>
      </c>
      <c r="M46" s="12">
        <f>Population!$C$12</f>
        <v>3.0312000000000006</v>
      </c>
      <c r="N46" s="12">
        <f t="shared" si="30"/>
        <v>1.1334149290279123</v>
      </c>
      <c r="O46" s="12">
        <f>I46/B46</f>
        <v>0.20938628158844766</v>
      </c>
      <c r="P46" s="12">
        <f>B46-I46-Q46*2</f>
        <v>147.81897278910998</v>
      </c>
      <c r="Q46" s="12">
        <f t="shared" si="19"/>
        <v>35.590513605445011</v>
      </c>
      <c r="R46" s="12">
        <f t="shared" si="20"/>
        <v>20.139118792310704</v>
      </c>
      <c r="S46" s="12">
        <f>SUM(AR46:AR46)/B46</f>
        <v>7.6467117711706181E-2</v>
      </c>
      <c r="T46" s="12">
        <f t="shared" si="27"/>
        <v>0.88976284013612528</v>
      </c>
      <c r="U46" s="12">
        <f>Population!$B$17*MIN(Y45:Z45)</f>
        <v>1.2903736870098612</v>
      </c>
      <c r="V46" s="12">
        <f>X45*Population!$B$18</f>
        <v>0.21430888161024761</v>
      </c>
      <c r="W46" s="12">
        <f>AN45*T45*Population!$B$16</f>
        <v>1.2036981349958646</v>
      </c>
      <c r="X46" s="12">
        <f t="shared" si="24"/>
        <v>35.590513605445011</v>
      </c>
      <c r="Y46" s="14">
        <f t="shared" si="31"/>
        <v>5.2147173082927978</v>
      </c>
      <c r="Z46" s="13">
        <f t="shared" si="32"/>
        <v>5.2147173082927978</v>
      </c>
      <c r="AA46" s="18">
        <f>(G46+Population!$B$15*AA45)*Population!M$33</f>
        <v>19.877503314994339</v>
      </c>
      <c r="AB46" s="18">
        <f>AA45*Population!$B$16*Population!$M$33+AB45*Population!$B$15*Population!$M$34</f>
        <v>19.656457853503042</v>
      </c>
      <c r="AC46" s="14">
        <f>(AB45*Population!$B$16*0.5*Population!$M$34)+(AC45*Population!$B$15*Population!M$35)</f>
        <v>9.4484985450671992</v>
      </c>
      <c r="AD46" s="13">
        <f>(AB45*Population!$B$16*0.5*Population!$M$34)+(AD45*Population!$B$15*Population!M$35)</f>
        <v>9.4484985450671992</v>
      </c>
      <c r="AE46" s="14">
        <f>(AC45*Population!$B$16*Population!M$35)+(AE45*Population!$B$15*Population!M$37)</f>
        <v>8.7158843178578937</v>
      </c>
      <c r="AF46" s="13">
        <f>(AD45*Population!$B$16*Population!M$35)+(AF45*Population!$B$15*Population!M$37)</f>
        <v>8.7158843178578937</v>
      </c>
      <c r="AG46" s="14">
        <f>(AE45*Population!$B$16*Population!M$37)+(AG45*Population!$B$15*Population!M$39)</f>
        <v>7.7886081136518612</v>
      </c>
      <c r="AH46" s="13">
        <f>(AF45*Population!$B$16*Population!M$37)+(AH45*Population!$B$15*Population!M$39)</f>
        <v>7.7886081136518612</v>
      </c>
      <c r="AI46" s="14">
        <f>(AG45*Population!$B$16*Population!M$39)+(AI45*Population!$B$15*Population!M$41)</f>
        <v>7.2972210780764026</v>
      </c>
      <c r="AJ46" s="13">
        <f>(AH45*Population!$B$16*Population!M$39)+(AJ45*Population!$B$15*Population!M$41)</f>
        <v>7.2972210780764026</v>
      </c>
      <c r="AK46" s="14">
        <f>(AI45*Population!$B$16*Population!M$41)+(AK45*Population!$B$15*Population!M$43)</f>
        <v>7.8029158864536798</v>
      </c>
      <c r="AL46" s="13">
        <f>(AJ45*Population!$B$16*Population!M$41)+(AL45*Population!$B$15*Population!M$43)</f>
        <v>7.8029158864536798</v>
      </c>
      <c r="AM46" s="14">
        <f>(AK45*Population!$B$16*Population!M$43)+(AM45*Population!$B$15*Population!M$45)</f>
        <v>9.2006015176979705</v>
      </c>
      <c r="AN46" s="13">
        <f>(AL45*Population!$B$16*Population!M$43)+(AN45*Population!$B$15*Population!M$45)</f>
        <v>9.2006015176979705</v>
      </c>
      <c r="AO46" s="15">
        <f>(AM45+AN45)*Population!$B$16*Population!$M$45+AO45*Population!$B$15*Population!$M$47</f>
        <v>20.56658780988046</v>
      </c>
      <c r="AP46" s="5">
        <f>AO45*Population!M$47*Population!$B$16+AP45*Population!$B$15*Population!M$48</f>
        <v>20.790960850412809</v>
      </c>
      <c r="AQ46" s="5">
        <f>AP45*Population!M$48*Population!$B$16+AQ45*Population!$B$15*Population!M$49</f>
        <v>15.326817497279869</v>
      </c>
      <c r="AR46" s="5">
        <f>(AQ45*Population!$B$16+AR45)*Population!M$50</f>
        <v>21.181391606142611</v>
      </c>
      <c r="AS46">
        <f>AS45*(1-Population!$B$12)+M46</f>
        <v>60</v>
      </c>
    </row>
    <row r="47" spans="1:45">
      <c r="A47">
        <f>A46+Population!$B$2</f>
        <v>44</v>
      </c>
      <c r="B47" s="117">
        <f t="shared" si="1"/>
        <v>278</v>
      </c>
      <c r="C47" s="59">
        <f t="shared" si="25"/>
        <v>138</v>
      </c>
      <c r="D47" s="12">
        <f>AD46*Population!$P$36*Population!$C$2+AF46*Population!$P$38*Population!$C$2+AH46*Population!$P$40*Population!$C$2+AJ46*Population!$P$42*Population!$C$2+AL46*Population!$P$44*Population!$C$2+AN45*Population!$P$46*Population!$C$2</f>
        <v>2.7078605553511936</v>
      </c>
      <c r="E47" s="12">
        <f>IF(B46&gt;Population!$B$6*Population!$B$19,Population!$B$11,IF(Population!$J$6=1,D47,Population!$B$11*Population!$B$6*0.9/B46))</f>
        <v>2.8514203965783622</v>
      </c>
      <c r="F47" s="12">
        <f>IF(B46&gt;Population!$B$6*0.75,Population!$B$11,E47)</f>
        <v>2.8514203965783622</v>
      </c>
      <c r="G47" s="15">
        <f>IF(Population!$J$6=1,IF(E47&gt;H46,H46,E47),IF(E47&gt;X46,X46,E47))</f>
        <v>2.8514203965783622</v>
      </c>
      <c r="H47" s="15">
        <f t="shared" si="28"/>
        <v>40</v>
      </c>
      <c r="I47" s="15">
        <f t="shared" si="29"/>
        <v>58</v>
      </c>
      <c r="J47" s="12">
        <f t="shared" si="26"/>
        <v>1.45</v>
      </c>
      <c r="K47" s="12">
        <f>AA47*Population!$O$33+AB47*Population!$O$34+AC47*Population!$O$35+AD47*Population!$O$36+AE47*Population!$O$37+AF47*Population!$O$38+AG47*Population!$O$39+AH47*Population!$O$40+AI47*Population!$O$41+AJ47*Population!$O$42+AK47*Population!$O$43+AL47*Population!$O$44+AM47*Population!$O$45+AN47*Population!$O$46+AO47*Population!$O$47+AP47*Population!$O$48+AQ47*Population!$O$49+AR47*Population!$O$50</f>
        <v>2.3656112103393188</v>
      </c>
      <c r="L47" s="12">
        <f t="shared" si="17"/>
        <v>7.1285509914459061E-2</v>
      </c>
      <c r="M47" s="12">
        <f>Population!$C$12</f>
        <v>3.0312000000000006</v>
      </c>
      <c r="N47" s="12">
        <f t="shared" si="30"/>
        <v>1.146308714767545</v>
      </c>
      <c r="O47" s="12">
        <f>I47/B47</f>
        <v>0.20863309352517986</v>
      </c>
      <c r="P47" s="12">
        <f>B47-I47-Q47*2</f>
        <v>148.97765839461397</v>
      </c>
      <c r="Q47" s="12">
        <f t="shared" si="19"/>
        <v>35.511170802693009</v>
      </c>
      <c r="R47" s="12">
        <f t="shared" si="20"/>
        <v>21.181391606142611</v>
      </c>
      <c r="S47" s="12">
        <f>SUM(AR47:AR47)/B47</f>
        <v>7.9820997221335704E-2</v>
      </c>
      <c r="T47" s="12">
        <f t="shared" si="27"/>
        <v>0.88777927006732527</v>
      </c>
      <c r="U47" s="12">
        <f>Population!$B$17*MIN(Y46:Z46)</f>
        <v>1.3036793270731994</v>
      </c>
      <c r="V47" s="12">
        <f>X46*Population!$B$18</f>
        <v>0.21354308163267008</v>
      </c>
      <c r="W47" s="12">
        <f>AN46*T46*Population!$B$16</f>
        <v>1.1694790481925272</v>
      </c>
      <c r="X47" s="12">
        <f t="shared" si="24"/>
        <v>35.511170802693009</v>
      </c>
      <c r="Y47" s="14">
        <f t="shared" si="31"/>
        <v>5.2607934368500437</v>
      </c>
      <c r="Z47" s="13">
        <f t="shared" si="32"/>
        <v>5.2607934368500437</v>
      </c>
      <c r="AA47" s="18">
        <f>(G47+Population!$B$15*AA46)*Population!M$33</f>
        <v>19.881205333024596</v>
      </c>
      <c r="AB47" s="18">
        <f>AA46*Population!$B$16*Population!$M$33+AB46*Population!$B$15*Population!$M$34</f>
        <v>19.683091993080637</v>
      </c>
      <c r="AC47" s="14">
        <f>(AB46*Population!$B$16*0.5*Population!$M$34)+(AC46*Population!$B$15*Population!M$35)</f>
        <v>9.4947117615665011</v>
      </c>
      <c r="AD47" s="13">
        <f>(AB46*Population!$B$16*0.5*Population!$M$34)+(AD46*Population!$B$15*Population!M$35)</f>
        <v>9.4947117615665011</v>
      </c>
      <c r="AE47" s="14">
        <f>(AC46*Population!$B$16*Population!M$35)+(AE46*Population!$B$15*Population!M$37)</f>
        <v>8.8121375152245154</v>
      </c>
      <c r="AF47" s="13">
        <f>(AD46*Population!$B$16*Population!M$35)+(AF46*Population!$B$15*Population!M$37)</f>
        <v>8.8121375152245154</v>
      </c>
      <c r="AG47" s="14">
        <f>(AE46*Population!$B$16*Population!M$37)+(AG46*Population!$B$15*Population!M$39)</f>
        <v>7.9070717137921251</v>
      </c>
      <c r="AH47" s="13">
        <f>(AF46*Population!$B$16*Population!M$37)+(AH46*Population!$B$15*Population!M$39)</f>
        <v>7.9070717137921251</v>
      </c>
      <c r="AI47" s="14">
        <f>(AG46*Population!$B$16*Population!M$39)+(AI46*Population!$B$15*Population!M$41)</f>
        <v>7.3532737811018034</v>
      </c>
      <c r="AJ47" s="13">
        <f>(AH46*Population!$B$16*Population!M$39)+(AJ46*Population!$B$15*Population!M$41)</f>
        <v>7.3532737811018034</v>
      </c>
      <c r="AK47" s="14">
        <f>(AI46*Population!$B$16*Population!M$41)+(AK46*Population!$B$15*Population!M$43)</f>
        <v>7.715830877330947</v>
      </c>
      <c r="AL47" s="13">
        <f>(AJ46*Population!$B$16*Population!M$41)+(AL46*Population!$B$15*Population!M$43)</f>
        <v>7.715830877330947</v>
      </c>
      <c r="AM47" s="14">
        <f>(AK46*Population!$B$16*Population!M$43)+(AM46*Population!$B$15*Population!M$45)</f>
        <v>8.9836503520936617</v>
      </c>
      <c r="AN47" s="13">
        <f>(AL46*Population!$B$16*Population!M$43)+(AN46*Population!$B$15*Population!M$45)</f>
        <v>8.9836503520936617</v>
      </c>
      <c r="AO47" s="15">
        <f>(AM46+AN46)*Population!$B$16*Population!$M$45+AO46*Population!$B$15*Population!$M$47</f>
        <v>20.124393287874422</v>
      </c>
      <c r="AP47" s="5">
        <f>AO46*Population!M$47*Population!$B$16+AP46*Population!$B$15*Population!M$48</f>
        <v>20.608405479106104</v>
      </c>
      <c r="AQ47" s="5">
        <f>AP46*Population!M$48*Population!$B$16+AQ46*Population!$B$15*Population!M$49</f>
        <v>15.422180921164438</v>
      </c>
      <c r="AR47" s="5">
        <f>(AQ46*Population!$B$16+AR46)*Population!M$50</f>
        <v>22.190237227531327</v>
      </c>
      <c r="AS47">
        <f>AS46*(1-Population!$B$12)+M47</f>
        <v>60</v>
      </c>
    </row>
    <row r="48" spans="1:45">
      <c r="A48">
        <f>A47+Population!$B$2</f>
        <v>45</v>
      </c>
      <c r="B48" s="117">
        <f t="shared" si="1"/>
        <v>278</v>
      </c>
      <c r="C48" s="59">
        <f t="shared" si="25"/>
        <v>138</v>
      </c>
      <c r="D48" s="12">
        <f>AD47*Population!$P$36*Population!$C$2+AF47*Population!$P$38*Population!$C$2+AH47*Population!$P$40*Population!$C$2+AJ47*Population!$P$42*Population!$C$2+AL47*Population!$P$44*Population!$C$2+AN46*Population!$P$46*Population!$C$2</f>
        <v>2.7228915854850602</v>
      </c>
      <c r="E48" s="12">
        <f>IF(B47&gt;Population!$B$6*Population!$B$19,Population!$B$11,IF(Population!$J$6=1,D48,Population!$B$11*Population!$B$6*0.9/B47))</f>
        <v>2.8514203965783622</v>
      </c>
      <c r="F48" s="12">
        <f>IF(B47&gt;Population!$B$6*0.75,Population!$B$11,E48)</f>
        <v>2.8514203965783622</v>
      </c>
      <c r="G48" s="15">
        <f>IF(Population!$J$6=1,IF(E48&gt;H47,H47,E48),IF(E48&gt;X47,X47,E48))</f>
        <v>2.8514203965783622</v>
      </c>
      <c r="H48" s="15">
        <f t="shared" si="28"/>
        <v>40</v>
      </c>
      <c r="I48" s="15">
        <f t="shared" si="29"/>
        <v>58</v>
      </c>
      <c r="J48" s="12">
        <f t="shared" si="26"/>
        <v>1.45</v>
      </c>
      <c r="K48" s="12">
        <f>AA48*Population!$O$33+AB48*Population!$O$34+AC48*Population!$O$35+AD48*Population!$O$36+AE48*Population!$O$37+AF48*Population!$O$38+AG48*Population!$O$39+AH48*Population!$O$40+AI48*Population!$O$41+AJ48*Population!$O$42+AK48*Population!$O$41+AL48*Population!$O$42+AM48*Population!$O$43+AN48*Population!$O$44+AO48*Population!$O$45+AP48*Population!$O$46+AQ48*Population!$O$47+AR48*Population!$O$48</f>
        <v>0.52709993441524206</v>
      </c>
      <c r="L48" s="12">
        <f t="shared" si="17"/>
        <v>7.1285509914459061E-2</v>
      </c>
      <c r="M48" s="12">
        <f>Population!$C$12</f>
        <v>3.0312000000000006</v>
      </c>
      <c r="N48" s="12">
        <f t="shared" si="30"/>
        <v>1.1591156739036008</v>
      </c>
      <c r="O48" s="12">
        <f>I48/B48</f>
        <v>0.20863309352517986</v>
      </c>
      <c r="P48" s="12">
        <f>B48-I48-Q48*2</f>
        <v>149.05210959785609</v>
      </c>
      <c r="Q48" s="12">
        <f t="shared" si="19"/>
        <v>35.473945201071963</v>
      </c>
      <c r="R48" s="12">
        <f t="shared" si="20"/>
        <v>22.190237227531327</v>
      </c>
      <c r="S48" s="12">
        <f>SUM(AR48:AR48)/B48</f>
        <v>8.3313133319939517E-2</v>
      </c>
      <c r="T48" s="12">
        <f t="shared" si="27"/>
        <v>0.88684863002679903</v>
      </c>
      <c r="U48" s="12">
        <f>Population!$B$17*MIN(Y47:Z47)</f>
        <v>1.3151983592125109</v>
      </c>
      <c r="V48" s="12">
        <f>X47*Population!$B$18</f>
        <v>0.21306702481615805</v>
      </c>
      <c r="W48" s="12">
        <f>AN47*T47*Population!$B$16</f>
        <v>1.1393569360173972</v>
      </c>
      <c r="X48" s="12">
        <f t="shared" si="24"/>
        <v>35.473945201071963</v>
      </c>
      <c r="Y48" s="14">
        <f t="shared" si="31"/>
        <v>5.3024384266569697</v>
      </c>
      <c r="Z48" s="13">
        <f t="shared" si="32"/>
        <v>5.3024384266569697</v>
      </c>
      <c r="AA48" s="18">
        <f>(G48+Population!$B$15*AA47)*Population!M$33</f>
        <v>19.884377203033971</v>
      </c>
      <c r="AB48" s="18">
        <f>AA47*Population!$B$16*Population!$M$33+AB47*Population!$B$15*Population!$M$34</f>
        <v>19.706444763993225</v>
      </c>
      <c r="AC48" s="14">
        <f>(AB47*Population!$B$16*0.5*Population!$M$34)+(AC47*Population!$B$15*Population!M$35)</f>
        <v>9.5361873508910673</v>
      </c>
      <c r="AD48" s="13">
        <f>(AB47*Population!$B$16*0.5*Population!$M$34)+(AD47*Population!$B$15*Population!M$35)</f>
        <v>9.5361873508910673</v>
      </c>
      <c r="AE48" s="14">
        <f>(AC47*Population!$B$16*Population!M$35)+(AE47*Population!$B$15*Population!M$37)</f>
        <v>8.9011572271846813</v>
      </c>
      <c r="AF48" s="13">
        <f>(AD47*Population!$B$16*Population!M$35)+(AF47*Population!$B$15*Population!M$37)</f>
        <v>8.9011572271846813</v>
      </c>
      <c r="AG48" s="14">
        <f>(AE47*Population!$B$16*Population!M$37)+(AG47*Population!$B$15*Population!M$39)</f>
        <v>8.0221543378260538</v>
      </c>
      <c r="AH48" s="13">
        <f>(AF47*Population!$B$16*Population!M$37)+(AH47*Population!$B$15*Population!M$39)</f>
        <v>8.0221543378260538</v>
      </c>
      <c r="AI48" s="14">
        <f>(AG47*Population!$B$16*Population!M$39)+(AI47*Population!$B$15*Population!M$41)</f>
        <v>7.4181175869648817</v>
      </c>
      <c r="AJ48" s="13">
        <f>(AH47*Population!$B$16*Population!M$39)+(AJ47*Population!$B$15*Population!M$41)</f>
        <v>7.4181175869648817</v>
      </c>
      <c r="AK48" s="14">
        <f>(AI47*Population!$B$16*Population!M$41)+(AK47*Population!$B$15*Population!M$43)</f>
        <v>7.6493220553887031</v>
      </c>
      <c r="AL48" s="13">
        <f>(AJ47*Population!$B$16*Population!M$41)+(AL47*Population!$B$15*Population!M$43)</f>
        <v>7.6493220553887031</v>
      </c>
      <c r="AM48" s="14">
        <f>(AK47*Population!$B$16*Population!M$43)+(AM47*Population!$B$15*Population!M$45)</f>
        <v>8.7856324203646174</v>
      </c>
      <c r="AN48" s="13">
        <f>(AL47*Population!$B$16*Population!M$43)+(AN47*Population!$B$15*Population!M$45)</f>
        <v>8.7856324203646174</v>
      </c>
      <c r="AO48" s="15">
        <f>(AM47+AN47)*Population!$B$16*Population!$M$45+AO47*Population!$B$15*Population!$M$47</f>
        <v>19.686250300865613</v>
      </c>
      <c r="AP48" s="5">
        <f>AO47*Population!M$47*Population!$B$16+AP47*Population!$B$15*Population!M$48</f>
        <v>20.39035123897612</v>
      </c>
      <c r="AQ48" s="5">
        <f>AP47*Population!M$48*Population!$B$16+AQ47*Population!$B$15*Population!M$49</f>
        <v>15.47390122650655</v>
      </c>
      <c r="AR48" s="5">
        <f>(AQ47*Population!$B$16+AR47)*Population!M$50</f>
        <v>23.161051062943187</v>
      </c>
      <c r="AS48">
        <f>AS47*(1-Population!$B$12)+M48</f>
        <v>60</v>
      </c>
    </row>
    <row r="49" spans="1:45">
      <c r="A49">
        <f>A48+Population!$B$2</f>
        <v>46</v>
      </c>
      <c r="B49" s="117">
        <f t="shared" si="1"/>
        <v>279</v>
      </c>
      <c r="C49" s="59">
        <f t="shared" si="25"/>
        <v>139</v>
      </c>
      <c r="D49" s="12">
        <f>AD48*Population!$P$36*Population!$C$2+AF48*Population!$P$38*Population!$C$2+AH48*Population!$P$40*Population!$C$2+AJ48*Population!$P$42*Population!$C$2+AL48*Population!$P$44*Population!$C$2+AN47*Population!$P$46*Population!$C$2</f>
        <v>2.7388362134015356</v>
      </c>
      <c r="E49" s="12">
        <f>IF(B48&gt;Population!$B$6*Population!$B$19,Population!$B$11,IF(Population!$J$6=1,D49,Population!$B$11*Population!$B$6*0.9/B48))</f>
        <v>2.8514203965783622</v>
      </c>
      <c r="F49" s="12">
        <f>IF(B48&gt;Population!$B$6*0.75,Population!$B$11,E49)</f>
        <v>2.8514203965783622</v>
      </c>
      <c r="G49" s="15">
        <f>IF(Population!$J$6=1,IF(E49&gt;H48,H48,E49),IF(E49&gt;X48,X48,E49))</f>
        <v>2.8514203965783622</v>
      </c>
      <c r="H49" s="15">
        <f t="shared" si="28"/>
        <v>40</v>
      </c>
      <c r="I49" s="15">
        <f t="shared" si="29"/>
        <v>58</v>
      </c>
      <c r="J49" s="12">
        <f t="shared" si="26"/>
        <v>1.45</v>
      </c>
      <c r="K49" s="12">
        <f>AA49*Population!$O$33+AB49*Population!$O$34+AC49*Population!$O$35+AD49*Population!$O$36+AE49*Population!$O$37+AF49*Population!$O$38+AG49*Population!$O$39+AH49*Population!$O$40+AI49*Population!$O$41+AJ49*Population!$O$42+AK49*Population!$O$41+AL49*Population!$O$42+AM49*Population!$O$43+AN49*Population!$O$44+AO49*Population!$O$45+AP49*Population!$O$46+AQ49*Population!$O$47+AR49*Population!$O$48</f>
        <v>0.53268089350512204</v>
      </c>
      <c r="L49" s="12">
        <f t="shared" si="17"/>
        <v>7.1285509914459061E-2</v>
      </c>
      <c r="M49" s="12">
        <f>Population!$C$12</f>
        <v>3.0312000000000006</v>
      </c>
      <c r="N49" s="12">
        <f t="shared" si="30"/>
        <v>1.1717437534179955</v>
      </c>
      <c r="O49" s="12">
        <f>I49/B49</f>
        <v>0.2078853046594982</v>
      </c>
      <c r="P49" s="12">
        <f>B49-I49-Q49*2</f>
        <v>150.05272803434599</v>
      </c>
      <c r="Q49" s="12">
        <f t="shared" si="19"/>
        <v>35.473635982827005</v>
      </c>
      <c r="R49" s="12">
        <f t="shared" si="20"/>
        <v>23.161051062943187</v>
      </c>
      <c r="S49" s="12">
        <f>SUM(AR49:AR49)/B49</f>
        <v>8.634349364016719E-2</v>
      </c>
      <c r="T49" s="12">
        <f t="shared" si="27"/>
        <v>0.88684089957067513</v>
      </c>
      <c r="U49" s="12">
        <f>Population!$B$17*MIN(Y48:Z48)</f>
        <v>1.3256096066642424</v>
      </c>
      <c r="V49" s="12">
        <f>X48*Population!$B$18</f>
        <v>0.21284367120643177</v>
      </c>
      <c r="W49" s="12">
        <f>AN48*T48*Population!$B$16</f>
        <v>1.1130751537027701</v>
      </c>
      <c r="X49" s="12">
        <f t="shared" si="24"/>
        <v>35.473635982827005</v>
      </c>
      <c r="Y49" s="14">
        <f t="shared" si="31"/>
        <v>5.3413980299794019</v>
      </c>
      <c r="Z49" s="13">
        <f t="shared" si="32"/>
        <v>5.3413980299794019</v>
      </c>
      <c r="AA49" s="18">
        <f>(G49+Population!$B$15*AA48)*Population!M$33</f>
        <v>19.88709484494553</v>
      </c>
      <c r="AB49" s="18">
        <f>AA48*Population!$B$16*Population!$M$33+AB48*Population!$B$15*Population!$M$34</f>
        <v>19.726909861345359</v>
      </c>
      <c r="AC49" s="14">
        <f>(AB48*Population!$B$16*0.5*Population!$M$34)+(AC48*Population!$B$15*Population!M$35)</f>
        <v>9.5733716561478115</v>
      </c>
      <c r="AD49" s="13">
        <f>(AB48*Population!$B$16*0.5*Population!$M$34)+(AD48*Population!$B$15*Population!M$35)</f>
        <v>9.5733716561478115</v>
      </c>
      <c r="AE49" s="14">
        <f>(AC48*Population!$B$16*Population!M$35)+(AE48*Population!$B$15*Population!M$37)</f>
        <v>8.983306558632675</v>
      </c>
      <c r="AF49" s="13">
        <f>(AD48*Population!$B$16*Population!M$35)+(AF48*Population!$B$15*Population!M$37)</f>
        <v>8.983306558632675</v>
      </c>
      <c r="AG49" s="14">
        <f>(AE48*Population!$B$16*Population!M$37)+(AG48*Population!$B$15*Population!M$39)</f>
        <v>8.1333121761902483</v>
      </c>
      <c r="AH49" s="13">
        <f>(AF48*Population!$B$16*Population!M$37)+(AH48*Population!$B$15*Population!M$39)</f>
        <v>8.1333121761902483</v>
      </c>
      <c r="AI49" s="14">
        <f>(AG48*Population!$B$16*Population!M$39)+(AI48*Population!$B$15*Population!M$41)</f>
        <v>7.4900000869549839</v>
      </c>
      <c r="AJ49" s="13">
        <f>(AH48*Population!$B$16*Population!M$39)+(AJ48*Population!$B$15*Population!M$41)</f>
        <v>7.4900000869549839</v>
      </c>
      <c r="AK49" s="14">
        <f>(AI48*Population!$B$16*Population!M$41)+(AK48*Population!$B$15*Population!M$43)</f>
        <v>7.6016695633502938</v>
      </c>
      <c r="AL49" s="13">
        <f>(AJ48*Population!$B$16*Population!M$41)+(AL48*Population!$B$15*Population!M$43)</f>
        <v>7.6016695633502938</v>
      </c>
      <c r="AM49" s="14">
        <f>(AK48*Population!$B$16*Population!M$43)+(AM48*Population!$B$15*Population!M$45)</f>
        <v>8.6067456276782082</v>
      </c>
      <c r="AN49" s="13">
        <f>(AL48*Population!$B$16*Population!M$43)+(AN48*Population!$B$15*Population!M$45)</f>
        <v>8.6067456276782082</v>
      </c>
      <c r="AO49" s="15">
        <f>(AM48+AN48)*Population!$B$16*Population!$M$45+AO48*Population!$B$15*Population!$M$47</f>
        <v>19.256953989905863</v>
      </c>
      <c r="AP49" s="5">
        <f>AO48*Population!M$47*Population!$B$16+AP48*Population!$B$15*Population!M$48</f>
        <v>20.142664591592229</v>
      </c>
      <c r="AQ49" s="5">
        <f>AP48*Population!M$48*Population!$B$16+AQ48*Population!$B$15*Population!M$49</f>
        <v>15.485068515964883</v>
      </c>
      <c r="AR49" s="5">
        <f>(AQ48*Population!$B$16+AR48)*Population!M$50</f>
        <v>24.089834725606647</v>
      </c>
      <c r="AS49">
        <f>AS48*(1-Population!$B$12)+M49</f>
        <v>60</v>
      </c>
    </row>
    <row r="50" spans="1:45">
      <c r="A50">
        <f>A49+Population!$B$2</f>
        <v>47</v>
      </c>
      <c r="B50" s="117">
        <f t="shared" si="1"/>
        <v>279</v>
      </c>
      <c r="C50" s="59">
        <f t="shared" si="25"/>
        <v>139</v>
      </c>
      <c r="D50" s="12">
        <f>AD49*Population!$P$36*Population!$C$2+AF49*Population!$P$38*Population!$C$2+AH49*Population!$P$40*Population!$C$2+AJ49*Population!$P$42*Population!$C$2+AL49*Population!$P$44*Population!$C$2+AN48*Population!$P$46*Population!$C$2</f>
        <v>2.755494673717962</v>
      </c>
      <c r="E50" s="12">
        <f>IF(B49&gt;Population!$B$6*Population!$B$19,Population!$B$11,IF(Population!$J$6=1,D50,Population!$B$11*Population!$B$6*0.9/B49))</f>
        <v>2.8514203965783622</v>
      </c>
      <c r="F50" s="12">
        <f>IF(B49&gt;Population!$B$6*0.75,Population!$B$11,E50)</f>
        <v>2.8514203965783622</v>
      </c>
      <c r="G50" s="15">
        <f>IF(Population!$J$6=1,IF(E50&gt;H49,H49,E50),IF(E50&gt;X49,X49,E50))</f>
        <v>2.8514203965783622</v>
      </c>
      <c r="H50" s="15">
        <f t="shared" si="28"/>
        <v>40</v>
      </c>
      <c r="I50" s="15">
        <f t="shared" si="29"/>
        <v>58</v>
      </c>
      <c r="J50" s="12">
        <f t="shared" si="26"/>
        <v>1.45</v>
      </c>
      <c r="K50" s="12">
        <f>AA50*Population!$O$33+AB50*Population!$O$34+AC50*Population!$O$35+AD50*Population!$O$36+AE50*Population!$O$37+AF50*Population!$O$38+AG50*Population!$O$39+AH50*Population!$O$40+AI50*Population!$O$41+AJ50*Population!$O$42+AK50*Population!$O$41+AL50*Population!$O$42+AM50*Population!$O$43+AN50*Population!$O$44+AO50*Population!$O$45+AP50*Population!$O$46+AQ50*Population!$O$47+AR50*Population!$O$48</f>
        <v>0.53776460716256824</v>
      </c>
      <c r="L50" s="12">
        <f t="shared" si="17"/>
        <v>7.1285509914459061E-2</v>
      </c>
      <c r="M50" s="12">
        <f>Population!$C$12</f>
        <v>3.0312000000000006</v>
      </c>
      <c r="N50" s="12">
        <f t="shared" si="30"/>
        <v>1.1841160254676704</v>
      </c>
      <c r="O50" s="12">
        <f>I50/B50</f>
        <v>0.2078853046594982</v>
      </c>
      <c r="P50" s="12">
        <f>B50-I50-Q50*2</f>
        <v>149.98851666110053</v>
      </c>
      <c r="Q50" s="12">
        <f t="shared" si="19"/>
        <v>35.505741669449733</v>
      </c>
      <c r="R50" s="12">
        <f t="shared" si="20"/>
        <v>24.089834725606647</v>
      </c>
      <c r="S50" s="12">
        <f>SUM(AR50:AR50)/B50</f>
        <v>8.9509716733958702E-2</v>
      </c>
      <c r="T50" s="12">
        <f t="shared" si="27"/>
        <v>0.88764354173624338</v>
      </c>
      <c r="U50" s="12">
        <f>Population!$B$17*MIN(Y49:Z49)</f>
        <v>1.3353495074948505</v>
      </c>
      <c r="V50" s="12">
        <f>X49*Population!$B$18</f>
        <v>0.21284181589696205</v>
      </c>
      <c r="W50" s="12">
        <f>AN49*T49*Population!$B$16</f>
        <v>1.0904020049751595</v>
      </c>
      <c r="X50" s="12">
        <f t="shared" si="24"/>
        <v>35.505741669449733</v>
      </c>
      <c r="Y50" s="14">
        <f t="shared" si="31"/>
        <v>5.3787611293352029</v>
      </c>
      <c r="Z50" s="13">
        <f t="shared" si="32"/>
        <v>5.3787611293352029</v>
      </c>
      <c r="AA50" s="18">
        <f>(G50+Population!$B$15*AA49)*Population!M$33</f>
        <v>19.889423306558907</v>
      </c>
      <c r="AB50" s="18">
        <f>AA49*Population!$B$16*Population!$M$33+AB49*Population!$B$15*Population!$M$34</f>
        <v>19.744835503456834</v>
      </c>
      <c r="AC50" s="14">
        <f>(AB49*Population!$B$16*0.5*Population!$M$34)+(AC49*Population!$B$15*Population!M$35)</f>
        <v>9.6066750072957561</v>
      </c>
      <c r="AD50" s="13">
        <f>(AB49*Population!$B$16*0.5*Population!$M$34)+(AD49*Population!$B$15*Population!M$35)</f>
        <v>9.6066750072957561</v>
      </c>
      <c r="AE50" s="14">
        <f>(AC49*Population!$B$16*Population!M$35)+(AE49*Population!$B$15*Population!M$37)</f>
        <v>9.0589601482647559</v>
      </c>
      <c r="AF50" s="13">
        <f>(AD49*Population!$B$16*Population!M$35)+(AF49*Population!$B$15*Population!M$37)</f>
        <v>9.0589601482647559</v>
      </c>
      <c r="AG50" s="14">
        <f>(AE49*Population!$B$16*Population!M$37)+(AG49*Population!$B$15*Population!M$39)</f>
        <v>8.2401318240505823</v>
      </c>
      <c r="AH50" s="13">
        <f>(AF49*Population!$B$16*Population!M$37)+(AH49*Population!$B$15*Population!M$39)</f>
        <v>8.2401318240505823</v>
      </c>
      <c r="AI50" s="14">
        <f>(AG49*Population!$B$16*Population!M$39)+(AI49*Population!$B$15*Population!M$41)</f>
        <v>7.5673445625057347</v>
      </c>
      <c r="AJ50" s="13">
        <f>(AH49*Population!$B$16*Population!M$39)+(AJ49*Population!$B$15*Population!M$41)</f>
        <v>7.5673445625057347</v>
      </c>
      <c r="AK50" s="14">
        <f>(AI49*Population!$B$16*Population!M$41)+(AK49*Population!$B$15*Population!M$43)</f>
        <v>7.5711522047885715</v>
      </c>
      <c r="AL50" s="13">
        <f>(AJ49*Population!$B$16*Population!M$41)+(AL49*Population!$B$15*Population!M$43)</f>
        <v>7.5711522047885715</v>
      </c>
      <c r="AM50" s="14">
        <f>(AK49*Population!$B$16*Population!M$43)+(AM49*Population!$B$15*Population!M$45)</f>
        <v>8.4469140591752954</v>
      </c>
      <c r="AN50" s="13">
        <f>(AL49*Population!$B$16*Population!M$43)+(AN49*Population!$B$15*Population!M$45)</f>
        <v>8.4469140591752954</v>
      </c>
      <c r="AO50" s="15">
        <f>(AM49+AN49)*Population!$B$16*Population!$M$45+AO49*Population!$B$15*Population!$M$47</f>
        <v>18.84064111328863</v>
      </c>
      <c r="AP50" s="5">
        <f>AO49*Population!M$47*Population!$B$16+AP49*Population!$B$15*Population!M$48</f>
        <v>19.871017530471164</v>
      </c>
      <c r="AQ50" s="5">
        <f>AP49*Population!M$48*Population!$B$16+AQ49*Population!$B$15*Population!M$49</f>
        <v>15.459029628647603</v>
      </c>
      <c r="AR50" s="5">
        <f>(AQ49*Population!$B$16+AR49)*Population!M$50</f>
        <v>24.973210968774477</v>
      </c>
      <c r="AS50">
        <f>AS49*(1-Population!$B$12)+M50</f>
        <v>60</v>
      </c>
    </row>
    <row r="51" spans="1:45">
      <c r="A51">
        <f>A50+Population!$B$2</f>
        <v>48</v>
      </c>
      <c r="B51" s="117">
        <f t="shared" si="1"/>
        <v>280</v>
      </c>
      <c r="C51" s="59">
        <f t="shared" si="25"/>
        <v>139</v>
      </c>
      <c r="D51" s="12">
        <f>AD50*Population!$P$36*Population!$C$2+AF50*Population!$P$38*Population!$C$2+AH50*Population!$P$40*Population!$C$2+AJ50*Population!$P$42*Population!$C$2+AL50*Population!$P$44*Population!$C$2+AN49*Population!$P$46*Population!$C$2</f>
        <v>2.77268555229334</v>
      </c>
      <c r="E51" s="12">
        <f>IF(B50&gt;Population!$B$6*Population!$B$19,Population!$B$11,IF(Population!$J$6=1,D51,Population!$B$11*Population!$B$6*0.9/B50))</f>
        <v>2.8514203965783622</v>
      </c>
      <c r="F51" s="12">
        <f>IF(B50&gt;Population!$B$6*0.75,Population!$B$11,E51)</f>
        <v>2.8514203965783622</v>
      </c>
      <c r="G51" s="15">
        <f>IF(Population!$J$6=1,IF(E51&gt;H50,H50,E51),IF(E51&gt;X50,X50,E51))</f>
        <v>2.8514203965783622</v>
      </c>
      <c r="H51" s="15">
        <f t="shared" si="28"/>
        <v>40</v>
      </c>
      <c r="I51" s="15">
        <f t="shared" si="29"/>
        <v>58</v>
      </c>
      <c r="J51" s="12">
        <f t="shared" si="26"/>
        <v>1.45</v>
      </c>
      <c r="K51" s="12">
        <f>AA51*Population!$O$33+AB51*Population!$O$34+AC51*Population!$O$35+AD51*Population!$O$36+AE51*Population!$O$37+AF51*Population!$O$38+AG51*Population!$O$39+AH51*Population!$O$40+AI51*Population!$O$41+AJ51*Population!$O$42+AK51*Population!$O$41+AL51*Population!$O$42+AM51*Population!$O$43+AN51*Population!$O$44+AO51*Population!$O$45+AP51*Population!$O$46+AQ51*Population!$O$47+AR51*Population!$O$48</f>
        <v>0.54236107217164142</v>
      </c>
      <c r="L51" s="12">
        <f t="shared" si="17"/>
        <v>7.1285509914459061E-2</v>
      </c>
      <c r="M51" s="12">
        <f>Population!$C$12</f>
        <v>3.0312000000000006</v>
      </c>
      <c r="N51" s="12">
        <f t="shared" si="30"/>
        <v>1.19616922124511</v>
      </c>
      <c r="O51" s="12">
        <f>I51/B51</f>
        <v>0.20714285714285716</v>
      </c>
      <c r="P51" s="12">
        <f>B51-I51-Q51*2</f>
        <v>150.86744748567435</v>
      </c>
      <c r="Q51" s="12">
        <f t="shared" si="19"/>
        <v>35.566276257162833</v>
      </c>
      <c r="R51" s="12">
        <f t="shared" si="20"/>
        <v>24.973210968774477</v>
      </c>
      <c r="S51" s="12">
        <f>SUM(AR51:AR51)/B51</f>
        <v>9.2172954033791971E-2</v>
      </c>
      <c r="T51" s="12">
        <f t="shared" si="27"/>
        <v>0.88915690642907086</v>
      </c>
      <c r="U51" s="12">
        <f>Population!$B$17*MIN(Y50:Z50)</f>
        <v>1.3446902823338007</v>
      </c>
      <c r="V51" s="12">
        <f>X50*Population!$B$18</f>
        <v>0.21303445001669841</v>
      </c>
      <c r="W51" s="12">
        <f>AN50*T50*Population!$B$16</f>
        <v>1.0711212446040037</v>
      </c>
      <c r="X51" s="12">
        <f t="shared" si="24"/>
        <v>35.566276257162833</v>
      </c>
      <c r="Y51" s="14">
        <f t="shared" si="31"/>
        <v>5.4151774338306851</v>
      </c>
      <c r="Z51" s="13">
        <f t="shared" si="32"/>
        <v>5.4151774338306851</v>
      </c>
      <c r="AA51" s="18">
        <f>(G51+Population!$B$15*AA50)*Population!M$33</f>
        <v>19.891418320494303</v>
      </c>
      <c r="AB51" s="18">
        <f>AA50*Population!$B$16*Population!$M$33+AB50*Population!$B$15*Population!$M$34</f>
        <v>19.760529384786825</v>
      </c>
      <c r="AC51" s="14">
        <f>(AB50*Population!$B$16*0.5*Population!$M$34)+(AC50*Population!$B$15*Population!M$35)</f>
        <v>9.6364736476881561</v>
      </c>
      <c r="AD51" s="13">
        <f>(AB50*Population!$B$16*0.5*Population!$M$34)+(AD50*Population!$B$15*Population!M$35)</f>
        <v>9.6364736476881561</v>
      </c>
      <c r="AE51" s="14">
        <f>(AC50*Population!$B$16*Population!M$35)+(AE50*Population!$B$15*Population!M$37)</f>
        <v>9.1284973716392237</v>
      </c>
      <c r="AF51" s="13">
        <f>(AD50*Population!$B$16*Population!M$35)+(AF50*Population!$B$15*Population!M$37)</f>
        <v>9.1284973716392237</v>
      </c>
      <c r="AG51" s="14">
        <f>(AE50*Population!$B$16*Population!M$37)+(AG50*Population!$B$15*Population!M$39)</f>
        <v>8.3423130835619848</v>
      </c>
      <c r="AH51" s="13">
        <f>(AF50*Population!$B$16*Population!M$37)+(AH50*Population!$B$15*Population!M$39)</f>
        <v>8.3423130835619848</v>
      </c>
      <c r="AI51" s="14">
        <f>(AG50*Population!$B$16*Population!M$39)+(AI50*Population!$B$15*Population!M$41)</f>
        <v>7.6487431909461074</v>
      </c>
      <c r="AJ51" s="13">
        <f>(AH50*Population!$B$16*Population!M$39)+(AJ50*Population!$B$15*Population!M$41)</f>
        <v>7.6487431909461074</v>
      </c>
      <c r="AK51" s="14">
        <f>(AI50*Population!$B$16*Population!M$41)+(AK50*Population!$B$15*Population!M$43)</f>
        <v>7.5560726880397127</v>
      </c>
      <c r="AL51" s="13">
        <f>(AJ50*Population!$B$16*Population!M$41)+(AL50*Population!$B$15*Population!M$43)</f>
        <v>7.5560726880397127</v>
      </c>
      <c r="AM51" s="14">
        <f>(AK50*Population!$B$16*Population!M$43)+(AM50*Population!$B$15*Population!M$45)</f>
        <v>8.3058273568064926</v>
      </c>
      <c r="AN51" s="13">
        <f>(AL50*Population!$B$16*Population!M$43)+(AN50*Population!$B$15*Population!M$45)</f>
        <v>8.3058273568064926</v>
      </c>
      <c r="AO51" s="15">
        <f>(AM50+AN50)*Population!$B$16*Population!$M$45+AO50*Population!$B$15*Population!$M$47</f>
        <v>18.44081010852387</v>
      </c>
      <c r="AP51" s="5">
        <f>AO50*Population!M$47*Population!$B$16+AP50*Population!$B$15*Population!M$48</f>
        <v>19.580823197924111</v>
      </c>
      <c r="AQ51" s="5">
        <f>AP50*Population!M$48*Population!$B$16+AQ50*Population!$B$15*Population!M$49</f>
        <v>15.399312766317887</v>
      </c>
      <c r="AR51" s="5">
        <f>(AQ50*Population!$B$16+AR50)*Population!M$50</f>
        <v>25.808427129461752</v>
      </c>
      <c r="AS51">
        <f>AS50*(1-Population!$B$12)+M51</f>
        <v>60</v>
      </c>
    </row>
    <row r="52" spans="1:45">
      <c r="A52">
        <f>A51+Population!$B$2</f>
        <v>49</v>
      </c>
      <c r="B52" s="117">
        <f t="shared" si="1"/>
        <v>280</v>
      </c>
      <c r="C52" s="59">
        <f t="shared" si="25"/>
        <v>139</v>
      </c>
      <c r="D52" s="12">
        <f>AD51*Population!$P$36*Population!$C$2+AF51*Population!$P$38*Population!$C$2+AH51*Population!$P$40*Population!$C$2+AJ51*Population!$P$42*Population!$C$2+AL51*Population!$P$44*Population!$C$2+AN50*Population!$P$46*Population!$C$2</f>
        <v>2.7902450203024567</v>
      </c>
      <c r="E52" s="12">
        <f>IF(B51&gt;Population!$B$6*Population!$B$19,Population!$B$11,IF(Population!$J$6=1,D52,Population!$B$11*Population!$B$6*0.9/B51))</f>
        <v>2.8514203965783622</v>
      </c>
      <c r="F52" s="12">
        <f>IF(B51&gt;Population!$B$6*0.75,Population!$B$11,E52)</f>
        <v>2.8514203965783622</v>
      </c>
      <c r="G52" s="15">
        <f>IF(Population!$J$6=1,IF(E52&gt;H51,H51,E52),IF(E52&gt;X51,X51,E52))</f>
        <v>2.8514203965783622</v>
      </c>
      <c r="H52" s="15">
        <f t="shared" si="28"/>
        <v>41</v>
      </c>
      <c r="I52" s="15">
        <f t="shared" si="29"/>
        <v>58</v>
      </c>
      <c r="J52" s="12">
        <f t="shared" si="26"/>
        <v>1.4146341463414633</v>
      </c>
      <c r="K52" s="12">
        <f>AA52*Population!$O$33+AB52*Population!$O$34+AC52*Population!$O$35+AD52*Population!$O$36+AE52*Population!$O$37+AF52*Population!$O$38+AG52*Population!$O$39+AH52*Population!$O$40+AI52*Population!$O$41+AJ52*Population!$O$42+AK52*Population!$O$41+AL52*Population!$O$42+AM52*Population!$O$43+AN52*Population!$O$44+AO52*Population!$O$45+AP52*Population!$O$46+AQ52*Population!$O$47+AR52*Population!$O$48</f>
        <v>0.54648413031565124</v>
      </c>
      <c r="L52" s="12">
        <f t="shared" si="17"/>
        <v>6.9546838940935662E-2</v>
      </c>
      <c r="M52" s="12">
        <f>Population!$C$12</f>
        <v>3.0312000000000006</v>
      </c>
      <c r="N52" s="12">
        <f t="shared" si="30"/>
        <v>1.2078523265647487</v>
      </c>
      <c r="O52" s="12">
        <f>I52/B52</f>
        <v>0.20714285714285716</v>
      </c>
      <c r="P52" s="12">
        <f>B52-I52-Q52*2</f>
        <v>150.69670658610551</v>
      </c>
      <c r="Q52" s="12">
        <f t="shared" si="19"/>
        <v>35.65164670694724</v>
      </c>
      <c r="R52" s="12">
        <f t="shared" si="20"/>
        <v>25.808427129461752</v>
      </c>
      <c r="S52" s="12">
        <f>SUM(AR52:AR52)/B52</f>
        <v>9.4976243480373937E-2</v>
      </c>
      <c r="T52" s="12">
        <f t="shared" si="27"/>
        <v>0.8695523587060302</v>
      </c>
      <c r="U52" s="12">
        <f>Population!$B$17*MIN(Y51:Z51)</f>
        <v>1.3537943584576713</v>
      </c>
      <c r="V52" s="12">
        <f>X51*Population!$B$18</f>
        <v>0.21339765754297702</v>
      </c>
      <c r="W52" s="12">
        <f>AN51*T51*Population!$B$16</f>
        <v>1.0550262511302868</v>
      </c>
      <c r="X52" s="12">
        <f t="shared" si="24"/>
        <v>35.65164670694724</v>
      </c>
      <c r="Y52" s="14">
        <f t="shared" si="31"/>
        <v>5.451008409920874</v>
      </c>
      <c r="Z52" s="13">
        <f t="shared" si="32"/>
        <v>5.451008409920874</v>
      </c>
      <c r="AA52" s="18">
        <f>(G52+Population!$B$15*AA51)*Population!M$33</f>
        <v>19.893127638174079</v>
      </c>
      <c r="AB52" s="18">
        <f>AA51*Population!$B$16*Population!$M$33+AB51*Population!$B$15*Population!$M$34</f>
        <v>19.774263142672524</v>
      </c>
      <c r="AC52" s="14">
        <f>(AB51*Population!$B$16*0.5*Population!$M$34)+(AC51*Population!$B$15*Population!M$35)</f>
        <v>9.663111737521298</v>
      </c>
      <c r="AD52" s="13">
        <f>(AB51*Population!$B$16*0.5*Population!$M$34)+(AD51*Population!$B$15*Population!M$35)</f>
        <v>9.663111737521298</v>
      </c>
      <c r="AE52" s="14">
        <f>(AC51*Population!$B$16*Population!M$35)+(AE51*Population!$B$15*Population!M$37)</f>
        <v>9.1922967957380326</v>
      </c>
      <c r="AF52" s="13">
        <f>(AD51*Population!$B$16*Population!M$35)+(AF51*Population!$B$15*Population!M$37)</f>
        <v>9.1922967957380326</v>
      </c>
      <c r="AG52" s="14">
        <f>(AE51*Population!$B$16*Population!M$37)+(AG51*Population!$B$15*Population!M$39)</f>
        <v>8.4396532811847607</v>
      </c>
      <c r="AH52" s="13">
        <f>(AF51*Population!$B$16*Population!M$37)+(AH51*Population!$B$15*Population!M$39)</f>
        <v>8.4396532811847607</v>
      </c>
      <c r="AI52" s="14">
        <f>(AG51*Population!$B$16*Population!M$39)+(AI51*Population!$B$15*Population!M$41)</f>
        <v>7.7329487809369271</v>
      </c>
      <c r="AJ52" s="13">
        <f>(AH51*Population!$B$16*Population!M$39)+(AJ51*Population!$B$15*Population!M$41)</f>
        <v>7.7329487809369271</v>
      </c>
      <c r="AK52" s="14">
        <f>(AI51*Population!$B$16*Population!M$41)+(AK51*Population!$B$15*Population!M$43)</f>
        <v>7.554778253555936</v>
      </c>
      <c r="AL52" s="13">
        <f>(AJ51*Population!$B$16*Population!M$41)+(AL51*Population!$B$15*Population!M$43)</f>
        <v>7.554778253555936</v>
      </c>
      <c r="AM52" s="14">
        <f>(AK51*Population!$B$16*Population!M$43)+(AM51*Population!$B$15*Population!M$45)</f>
        <v>8.1829780054524601</v>
      </c>
      <c r="AN52" s="13">
        <f>(AL51*Population!$B$16*Population!M$43)+(AN51*Population!$B$15*Population!M$45)</f>
        <v>8.1829780054524601</v>
      </c>
      <c r="AO52" s="15">
        <f>(AM51+AN51)*Population!$B$16*Population!$M$45+AO51*Population!$B$15*Population!$M$47</f>
        <v>18.060349392569325</v>
      </c>
      <c r="AP52" s="5">
        <f>AO51*Population!M$47*Population!$B$16+AP51*Population!$B$15*Population!M$48</f>
        <v>19.277183944810293</v>
      </c>
      <c r="AQ52" s="5">
        <f>AP51*Population!M$48*Population!$B$16+AQ51*Population!$B$15*Population!M$49</f>
        <v>15.309557020274315</v>
      </c>
      <c r="AR52" s="5">
        <f>(AQ51*Population!$B$16+AR51)*Population!M$50</f>
        <v>26.593348174504701</v>
      </c>
      <c r="AS52">
        <f>AS51*(1-Population!$B$12)+M52</f>
        <v>60</v>
      </c>
    </row>
    <row r="53" spans="1:45">
      <c r="A53">
        <f>A52+Population!$B$2</f>
        <v>50</v>
      </c>
      <c r="B53" s="117">
        <f t="shared" si="1"/>
        <v>280</v>
      </c>
      <c r="C53" s="59">
        <f t="shared" si="25"/>
        <v>138</v>
      </c>
      <c r="D53" s="12">
        <f>AD52*Population!$P$36*Population!$C$2+AF52*Population!$P$38*Population!$C$2+AH52*Population!$P$40*Population!$C$2+AJ52*Population!$P$42*Population!$C$2+AL52*Population!$P$44*Population!$C$2+AN51*Population!$P$46*Population!$C$2</f>
        <v>2.8080260030424213</v>
      </c>
      <c r="E53" s="12">
        <f>IF(B52&gt;Population!$B$6*Population!$B$19,Population!$B$11,IF(Population!$J$6=1,D53,Population!$B$11*Population!$B$6*0.9/B52))</f>
        <v>2.8514203965783622</v>
      </c>
      <c r="F53" s="12">
        <f>IF(B52&gt;Population!$B$6*0.75,Population!$B$11,E53)</f>
        <v>2.8514203965783622</v>
      </c>
      <c r="G53" s="15">
        <f>IF(Population!$J$6=1,IF(E53&gt;H52,H52,E53),IF(E53&gt;X52,X52,E53))</f>
        <v>2.8514203965783622</v>
      </c>
      <c r="H53" s="15">
        <f t="shared" si="28"/>
        <v>41</v>
      </c>
      <c r="I53" s="15">
        <f t="shared" si="29"/>
        <v>59</v>
      </c>
      <c r="J53" s="12">
        <f t="shared" si="26"/>
        <v>1.4390243902439024</v>
      </c>
      <c r="K53" s="12">
        <f>AA53*Population!$O$33+AB53*Population!$O$34+AC53*Population!$O$35+AD53*Population!$O$36+AE53*Population!$O$37+AF53*Population!$O$38+AG53*Population!$O$39+AH53*Population!$O$40+AI53*Population!$O$41+AJ53*Population!$O$42+AK53*Population!$O$41+AL53*Population!$O$42+AM53*Population!$O$43+AN53*Population!$O$44+AO53*Population!$O$45+AP53*Population!$O$46+AQ53*Population!$O$47+AR53*Population!$O$48</f>
        <v>0.55015097494909693</v>
      </c>
      <c r="L53" s="12">
        <f t="shared" si="17"/>
        <v>6.9546838940935662E-2</v>
      </c>
      <c r="M53" s="12">
        <f>Population!$C$12</f>
        <v>3.0312000000000006</v>
      </c>
      <c r="N53" s="12">
        <f t="shared" si="30"/>
        <v>1.2191252496199771</v>
      </c>
      <c r="O53" s="12">
        <f>I53/B53</f>
        <v>0.21071428571428572</v>
      </c>
      <c r="P53" s="12">
        <f>B53-I53-Q53*2</f>
        <v>149.43203009188011</v>
      </c>
      <c r="Q53" s="12">
        <f t="shared" si="19"/>
        <v>35.783984954059953</v>
      </c>
      <c r="R53" s="12">
        <f t="shared" si="20"/>
        <v>26.593348174504701</v>
      </c>
      <c r="S53" s="12">
        <f>SUM(AR53:AR53)/B53</f>
        <v>9.7594430496281179E-2</v>
      </c>
      <c r="T53" s="12">
        <f t="shared" si="27"/>
        <v>0.87278012083073053</v>
      </c>
      <c r="U53" s="12">
        <f>Population!$B$17*MIN(Y52:Z52)</f>
        <v>1.3627521024802185</v>
      </c>
      <c r="V53" s="12">
        <f>X52*Population!$B$18</f>
        <v>0.21390988024168345</v>
      </c>
      <c r="W53" s="12">
        <f>AN52*T52*Population!$B$16</f>
        <v>1.0165039751258218</v>
      </c>
      <c r="X53" s="12">
        <f t="shared" si="24"/>
        <v>35.783984954059953</v>
      </c>
      <c r="Y53" s="14">
        <f t="shared" si="31"/>
        <v>5.4610186023214666</v>
      </c>
      <c r="Z53" s="13">
        <f t="shared" si="32"/>
        <v>5.4610186023214666</v>
      </c>
      <c r="AA53" s="18">
        <f>(G53+Population!$B$15*AA52)*Population!M$33</f>
        <v>19.894592172771333</v>
      </c>
      <c r="AB53" s="18">
        <f>AA52*Population!$B$16*Population!$M$33+AB52*Population!$B$15*Population!$M$34</f>
        <v>19.78627637559222</v>
      </c>
      <c r="AC53" s="14">
        <f>(AB52*Population!$B$16*0.5*Population!$M$34)+(AC52*Population!$B$15*Population!M$35)</f>
        <v>9.6869033884207649</v>
      </c>
      <c r="AD53" s="13">
        <f>(AB52*Population!$B$16*0.5*Population!$M$34)+(AD52*Population!$B$15*Population!M$35)</f>
        <v>9.6869033884207649</v>
      </c>
      <c r="AE53" s="14">
        <f>(AC52*Population!$B$16*Population!M$35)+(AE52*Population!$B$15*Population!M$37)</f>
        <v>9.2507317161979437</v>
      </c>
      <c r="AF53" s="13">
        <f>(AD52*Population!$B$16*Population!M$35)+(AF52*Population!$B$15*Population!M$37)</f>
        <v>9.2507317161979437</v>
      </c>
      <c r="AG53" s="14">
        <f>(AE52*Population!$B$16*Population!M$37)+(AG52*Population!$B$15*Population!M$39)</f>
        <v>8.5320330597430019</v>
      </c>
      <c r="AH53" s="13">
        <f>(AF52*Population!$B$16*Population!M$37)+(AH52*Population!$B$15*Population!M$39)</f>
        <v>8.5320330597430019</v>
      </c>
      <c r="AI53" s="14">
        <f>(AG52*Population!$B$16*Population!M$39)+(AI52*Population!$B$15*Population!M$41)</f>
        <v>7.8188654660785799</v>
      </c>
      <c r="AJ53" s="13">
        <f>(AH52*Population!$B$16*Population!M$39)+(AJ52*Population!$B$15*Population!M$41)</f>
        <v>7.8188654660785799</v>
      </c>
      <c r="AK53" s="14">
        <f>(AI52*Population!$B$16*Population!M$41)+(AK52*Population!$B$15*Population!M$43)</f>
        <v>7.5656771421617401</v>
      </c>
      <c r="AL53" s="13">
        <f>(AJ52*Population!$B$16*Population!M$41)+(AL52*Population!$B$15*Population!M$43)</f>
        <v>7.5656771421617401</v>
      </c>
      <c r="AM53" s="14">
        <f>(AK52*Population!$B$16*Population!M$43)+(AM52*Population!$B$15*Population!M$45)</f>
        <v>8.0776961722001506</v>
      </c>
      <c r="AN53" s="13">
        <f>(AL52*Population!$B$16*Population!M$43)+(AN52*Population!$B$15*Population!M$45)</f>
        <v>8.0776961722001506</v>
      </c>
      <c r="AO53" s="15">
        <f>(AM52+AN52)*Population!$B$16*Population!$M$45+AO52*Population!$B$15*Population!$M$47</f>
        <v>17.701572076029024</v>
      </c>
      <c r="AP53" s="5">
        <f>AO52*Population!M$47*Population!$B$16+AP52*Population!$B$15*Population!M$48</f>
        <v>18.96485114667653</v>
      </c>
      <c r="AQ53" s="5">
        <f>AP52*Population!M$48*Population!$B$16+AQ52*Population!$B$15*Population!M$49</f>
        <v>15.193447651267252</v>
      </c>
      <c r="AR53" s="5">
        <f>(AQ52*Population!$B$16+AR52)*Population!M$50</f>
        <v>27.326440538958732</v>
      </c>
      <c r="AS53">
        <f>AS52*(1-Population!$B$12)+M53</f>
        <v>60</v>
      </c>
    </row>
    <row r="54" spans="1:45">
      <c r="A54">
        <f>A53+Population!$B$2</f>
        <v>51</v>
      </c>
      <c r="B54" s="117">
        <f t="shared" si="1"/>
        <v>280</v>
      </c>
      <c r="C54" s="59">
        <f t="shared" si="25"/>
        <v>139</v>
      </c>
      <c r="D54" s="12">
        <f>AD53*Population!$P$36*Population!$C$2+AF53*Population!$P$38*Population!$C$2+AH53*Population!$P$40*Population!$C$2+AJ53*Population!$P$42*Population!$C$2+AL53*Population!$P$44*Population!$C$2+AN52*Population!$P$46*Population!$C$2</f>
        <v>2.8258973012395794</v>
      </c>
      <c r="E54" s="12">
        <f>IF(B53&gt;Population!$B$6*Population!$B$19,Population!$B$11,IF(Population!$J$6=1,D54,Population!$B$11*Population!$B$6*0.9/B53))</f>
        <v>2.8514203965783622</v>
      </c>
      <c r="F54" s="12">
        <f>IF(B53&gt;Population!$B$6*0.75,Population!$B$11,E54)</f>
        <v>2.8514203965783622</v>
      </c>
      <c r="G54" s="15">
        <f>IF(Population!$J$6=1,IF(E54&gt;H53,H53,E54),IF(E54&gt;X53,X53,E54))</f>
        <v>2.8514203965783622</v>
      </c>
      <c r="H54" s="15">
        <f t="shared" si="28"/>
        <v>41</v>
      </c>
      <c r="I54" s="15">
        <f t="shared" si="29"/>
        <v>59</v>
      </c>
      <c r="J54" s="12">
        <f t="shared" si="26"/>
        <v>1.4390243902439024</v>
      </c>
      <c r="K54" s="12">
        <f>AA54*Population!$O$33+AB54*Population!$O$34+AC54*Population!$O$35+AD54*Population!$O$36+AE54*Population!$O$37+AF54*Population!$O$38+AG54*Population!$O$39+AH54*Population!$O$40+AI54*Population!$O$41+AJ54*Population!$O$42+AK54*Population!$O$41+AL54*Population!$O$42+AM54*Population!$O$43+AN54*Population!$O$44+AO54*Population!$O$45+AP54*Population!$O$46+AQ54*Population!$O$47+AR54*Population!$O$48</f>
        <v>0.55338165585051646</v>
      </c>
      <c r="L54" s="12">
        <f t="shared" si="17"/>
        <v>6.9546838940935662E-2</v>
      </c>
      <c r="M54" s="12">
        <f>Population!$C$12</f>
        <v>3.0312000000000006</v>
      </c>
      <c r="N54" s="12">
        <f t="shared" si="30"/>
        <v>1.2299575681073385</v>
      </c>
      <c r="O54" s="12">
        <f>I54/B54</f>
        <v>0.21071428571428572</v>
      </c>
      <c r="P54" s="12">
        <f>B54-I54-Q54*2</f>
        <v>149.14522936479858</v>
      </c>
      <c r="Q54" s="12">
        <f t="shared" si="19"/>
        <v>35.927385317600709</v>
      </c>
      <c r="R54" s="12">
        <f t="shared" si="20"/>
        <v>27.326440538958732</v>
      </c>
      <c r="S54" s="12">
        <f>SUM(AR54:AR54)/B54</f>
        <v>0.10002410000838724</v>
      </c>
      <c r="T54" s="12">
        <f t="shared" si="27"/>
        <v>0.87627769067318806</v>
      </c>
      <c r="U54" s="12">
        <f>Population!$B$17*MIN(Y53:Z53)</f>
        <v>1.3652546505803667</v>
      </c>
      <c r="V54" s="12">
        <f>X53*Population!$B$18</f>
        <v>0.21470390972435971</v>
      </c>
      <c r="W54" s="12">
        <f>AN53*T53*Population!$B$16</f>
        <v>1.0071503773152537</v>
      </c>
      <c r="X54" s="12">
        <f t="shared" si="24"/>
        <v>35.927385317600709</v>
      </c>
      <c r="Y54" s="14">
        <f t="shared" si="31"/>
        <v>5.4781568286565943</v>
      </c>
      <c r="Z54" s="13">
        <f t="shared" si="32"/>
        <v>5.4781568286565943</v>
      </c>
      <c r="AA54" s="18">
        <f>(G54+Population!$B$15*AA53)*Population!M$33</f>
        <v>19.895846978482368</v>
      </c>
      <c r="AB54" s="18">
        <f>AA53*Population!$B$16*Population!$M$33+AB53*Population!$B$15*Population!$M$34</f>
        <v>19.796780249827922</v>
      </c>
      <c r="AC54" s="14">
        <f>(AB53*Population!$B$16*0.5*Population!$M$34)+(AC53*Population!$B$15*Population!M$35)</f>
        <v>9.7081346926647818</v>
      </c>
      <c r="AD54" s="13">
        <f>(AB53*Population!$B$16*0.5*Population!$M$34)+(AD53*Population!$B$15*Population!M$35)</f>
        <v>9.7081346926647818</v>
      </c>
      <c r="AE54" s="14">
        <f>(AC53*Population!$B$16*Population!M$35)+(AE53*Population!$B$15*Population!M$37)</f>
        <v>9.3041666261037204</v>
      </c>
      <c r="AF54" s="13">
        <f>(AD53*Population!$B$16*Population!M$35)+(AF53*Population!$B$15*Population!M$37)</f>
        <v>9.3041666261037204</v>
      </c>
      <c r="AG54" s="14">
        <f>(AE53*Population!$B$16*Population!M$37)+(AG53*Population!$B$15*Population!M$39)</f>
        <v>8.6194035866403116</v>
      </c>
      <c r="AH54" s="13">
        <f>(AF53*Population!$B$16*Population!M$37)+(AH53*Population!$B$15*Population!M$39)</f>
        <v>8.6194035866403116</v>
      </c>
      <c r="AI54" s="14">
        <f>(AG53*Population!$B$16*Population!M$39)+(AI53*Population!$B$15*Population!M$41)</f>
        <v>7.905538717510078</v>
      </c>
      <c r="AJ54" s="13">
        <f>(AH53*Population!$B$16*Population!M$39)+(AJ53*Population!$B$15*Population!M$41)</f>
        <v>7.905538717510078</v>
      </c>
      <c r="AK54" s="14">
        <f>(AI53*Population!$B$16*Population!M$41)+(AK53*Population!$B$15*Population!M$43)</f>
        <v>7.5872513566680642</v>
      </c>
      <c r="AL54" s="13">
        <f>(AJ53*Population!$B$16*Population!M$41)+(AL53*Population!$B$15*Population!M$43)</f>
        <v>7.5872513566680642</v>
      </c>
      <c r="AM54" s="14">
        <f>(AK53*Population!$B$16*Population!M$43)+(AM53*Population!$B$15*Population!M$45)</f>
        <v>7.9891818593351358</v>
      </c>
      <c r="AN54" s="13">
        <f>(AL53*Population!$B$16*Population!M$43)+(AN53*Population!$B$15*Population!M$45)</f>
        <v>7.9891818593351358</v>
      </c>
      <c r="AO54" s="15">
        <f>(AM53+AN53)*Population!$B$16*Population!$M$45+AO53*Population!$B$15*Population!$M$47</f>
        <v>17.366255437423703</v>
      </c>
      <c r="AP54" s="5">
        <f>AO53*Population!M$47*Population!$B$16+AP53*Population!$B$15*Population!M$48</f>
        <v>18.648195933379508</v>
      </c>
      <c r="AQ54" s="5">
        <f>AP53*Population!M$48*Population!$B$16+AQ53*Population!$B$15*Population!M$49</f>
        <v>15.054657718773502</v>
      </c>
      <c r="AR54" s="5">
        <f>(AQ53*Population!$B$16+AR53)*Population!M$50</f>
        <v>28.006748002348427</v>
      </c>
      <c r="AS54">
        <f>AS53*(1-Population!$B$12)+M54</f>
        <v>60</v>
      </c>
    </row>
    <row r="55" spans="1:45">
      <c r="A55">
        <f>A54+Population!$B$2</f>
        <v>52</v>
      </c>
      <c r="B55" s="117">
        <f t="shared" si="1"/>
        <v>281</v>
      </c>
      <c r="C55" s="59">
        <f t="shared" si="25"/>
        <v>140</v>
      </c>
      <c r="D55" s="12">
        <f>AD54*Population!$P$36*Population!$C$2+AF54*Population!$P$38*Population!$C$2+AH54*Population!$P$40*Population!$C$2+AJ54*Population!$P$42*Population!$C$2+AL54*Population!$P$44*Population!$C$2+AN53*Population!$P$46*Population!$C$2</f>
        <v>2.8437426805115171</v>
      </c>
      <c r="E55" s="12">
        <f>IF(B54&gt;Population!$B$6*Population!$B$19,Population!$B$11,IF(Population!$J$6=1,D55,Population!$B$11*Population!$B$6*0.9/B54))</f>
        <v>2.8514203965783622</v>
      </c>
      <c r="F55" s="12">
        <f>IF(B54&gt;Population!$B$6*0.75,Population!$B$11,E55)</f>
        <v>2.8514203965783622</v>
      </c>
      <c r="G55" s="15">
        <f>IF(Population!$J$6=1,IF(E55&gt;H54,H54,E55),IF(E55&gt;X54,X54,E55))</f>
        <v>2.8514203965783622</v>
      </c>
      <c r="H55" s="15">
        <f t="shared" si="28"/>
        <v>41</v>
      </c>
      <c r="I55" s="15">
        <f t="shared" si="29"/>
        <v>59</v>
      </c>
      <c r="J55" s="12">
        <f t="shared" si="26"/>
        <v>1.4390243902439024</v>
      </c>
      <c r="K55" s="12">
        <f>AA55*Population!$O$33+AB55*Population!$O$34+AC55*Population!$O$35+AD55*Population!$O$36+AE55*Population!$O$37+AF55*Population!$O$38+AG55*Population!$O$39+AH55*Population!$O$40+AI55*Population!$O$41+AJ55*Population!$O$42+AK55*Population!$O$41+AL55*Population!$O$42+AM55*Population!$O$43+AN55*Population!$O$44+AO55*Population!$O$45+AP55*Population!$O$46+AQ55*Population!$O$47+AR55*Population!$O$48</f>
        <v>0.55619859123701909</v>
      </c>
      <c r="L55" s="12">
        <f t="shared" si="17"/>
        <v>6.9546838940935662E-2</v>
      </c>
      <c r="M55" s="12">
        <f>Population!$C$12</f>
        <v>3.0312000000000006</v>
      </c>
      <c r="N55" s="12">
        <f t="shared" si="30"/>
        <v>1.2403273601957718</v>
      </c>
      <c r="O55" s="12">
        <f>I55/B55</f>
        <v>0.20996441281138789</v>
      </c>
      <c r="P55" s="12">
        <f>B55-I55-Q55*2</f>
        <v>149.83749152572901</v>
      </c>
      <c r="Q55" s="12">
        <f t="shared" si="19"/>
        <v>36.081254237135497</v>
      </c>
      <c r="R55" s="12">
        <f t="shared" si="20"/>
        <v>28.006748002348427</v>
      </c>
      <c r="S55" s="12">
        <f>SUM(AR55:AR55)/B55</f>
        <v>0.10189986073396519</v>
      </c>
      <c r="T55" s="12">
        <f t="shared" si="27"/>
        <v>0.88003059114964621</v>
      </c>
      <c r="U55" s="12">
        <f>Population!$B$17*MIN(Y54:Z54)</f>
        <v>1.3695392071641486</v>
      </c>
      <c r="V55" s="12">
        <f>X54*Population!$B$18</f>
        <v>0.21556431190560427</v>
      </c>
      <c r="W55" s="12">
        <f>AN54*T54*Population!$B$16</f>
        <v>1.0001059757237598</v>
      </c>
      <c r="X55" s="12">
        <f t="shared" si="24"/>
        <v>36.081254237135497</v>
      </c>
      <c r="Y55" s="14">
        <f t="shared" si="31"/>
        <v>5.5002207130623688</v>
      </c>
      <c r="Z55" s="13">
        <f t="shared" si="32"/>
        <v>5.5002207130623688</v>
      </c>
      <c r="AA55" s="18">
        <f>(G55+Population!$B$15*AA54)*Population!M$33</f>
        <v>19.896922089562299</v>
      </c>
      <c r="AB55" s="18">
        <f>AA54*Population!$B$16*Population!$M$33+AB54*Population!$B$15*Population!$M$34</f>
        <v>19.805960730034194</v>
      </c>
      <c r="AC55" s="14">
        <f>(AB54*Population!$B$16*0.5*Population!$M$34)+(AC54*Population!$B$15*Population!M$35)</f>
        <v>9.7270657184216986</v>
      </c>
      <c r="AD55" s="13">
        <f>(AB54*Population!$B$16*0.5*Population!$M$34)+(AD54*Population!$B$15*Population!M$35)</f>
        <v>9.7270657184216986</v>
      </c>
      <c r="AE55" s="14">
        <f>(AC54*Population!$B$16*Population!M$35)+(AE54*Population!$B$15*Population!M$37)</f>
        <v>9.3529544817367061</v>
      </c>
      <c r="AF55" s="13">
        <f>(AD54*Population!$B$16*Population!M$35)+(AF54*Population!$B$15*Population!M$37)</f>
        <v>9.3529544817367061</v>
      </c>
      <c r="AG55" s="14">
        <f>(AE54*Population!$B$16*Population!M$37)+(AG54*Population!$B$15*Population!M$39)</f>
        <v>8.7017751065475455</v>
      </c>
      <c r="AH55" s="13">
        <f>(AF54*Population!$B$16*Population!M$37)+(AH54*Population!$B$15*Population!M$39)</f>
        <v>8.7017751065475455</v>
      </c>
      <c r="AI55" s="14">
        <f>(AG54*Population!$B$16*Population!M$39)+(AI54*Population!$B$15*Population!M$41)</f>
        <v>7.9921449758269585</v>
      </c>
      <c r="AJ55" s="13">
        <f>(AH54*Population!$B$16*Population!M$39)+(AJ54*Population!$B$15*Population!M$41)</f>
        <v>7.9921449758269585</v>
      </c>
      <c r="AK55" s="14">
        <f>(AI54*Population!$B$16*Population!M$41)+(AK54*Population!$B$15*Population!M$43)</f>
        <v>7.6180661553645761</v>
      </c>
      <c r="AL55" s="13">
        <f>(AJ54*Population!$B$16*Population!M$41)+(AL54*Population!$B$15*Population!M$43)</f>
        <v>7.6180661553645761</v>
      </c>
      <c r="AM55" s="14">
        <f>(AK54*Population!$B$16*Population!M$43)+(AM54*Population!$B$15*Population!M$45)</f>
        <v>7.9165342307220765</v>
      </c>
      <c r="AN55" s="13">
        <f>(AL54*Population!$B$16*Population!M$43)+(AN54*Population!$B$15*Population!M$45)</f>
        <v>7.9165342307220765</v>
      </c>
      <c r="AO55" s="15">
        <f>(AM54+AN54)*Population!$B$16*Population!$M$45+AO54*Population!$B$15*Population!$M$47</f>
        <v>17.055683681906391</v>
      </c>
      <c r="AP55" s="5">
        <f>AO54*Population!M$47*Population!$B$16+AP54*Population!$B$15*Population!M$48</f>
        <v>18.331189880382489</v>
      </c>
      <c r="AQ55" s="5">
        <f>AP54*Population!M$48*Population!$B$16+AQ54*Population!$B$15*Population!M$49</f>
        <v>14.896796425398415</v>
      </c>
      <c r="AR55" s="5">
        <f>(AQ54*Population!$B$16+AR54)*Population!M$50</f>
        <v>28.63386086624422</v>
      </c>
      <c r="AS55">
        <f>AS54*(1-Population!$B$12)+M55</f>
        <v>60</v>
      </c>
    </row>
    <row r="56" spans="1:45">
      <c r="A56">
        <f>A55+Population!$B$2</f>
        <v>53</v>
      </c>
      <c r="B56" s="117">
        <f t="shared" si="1"/>
        <v>281</v>
      </c>
      <c r="C56" s="59">
        <f t="shared" si="25"/>
        <v>140</v>
      </c>
      <c r="D56" s="12">
        <f>AD55*Population!$P$36*Population!$C$2+AF55*Population!$P$38*Population!$C$2+AH55*Population!$P$40*Population!$C$2+AJ55*Population!$P$42*Population!$C$2+AL55*Population!$P$44*Population!$C$2+AN54*Population!$P$46*Population!$C$2</f>
        <v>2.8614599426891387</v>
      </c>
      <c r="E56" s="12">
        <f>IF(B55&gt;Population!$B$6*Population!$B$19,Population!$B$11,IF(Population!$J$6=1,D56,Population!$B$11*Population!$B$6*0.9/B55))</f>
        <v>2.8514203965783622</v>
      </c>
      <c r="F56" s="12">
        <f>IF(B55&gt;Population!$B$6*0.75,Population!$B$11,E56)</f>
        <v>2.8514203965783622</v>
      </c>
      <c r="G56" s="15">
        <f>IF(Population!$J$6=1,IF(E56&gt;H55,H55,E56),IF(E56&gt;X55,X55,E56))</f>
        <v>2.8514203965783622</v>
      </c>
      <c r="H56" s="15">
        <f t="shared" si="28"/>
        <v>41</v>
      </c>
      <c r="I56" s="15">
        <f t="shared" si="29"/>
        <v>59</v>
      </c>
      <c r="J56" s="12">
        <f t="shared" si="26"/>
        <v>1.4390243902439024</v>
      </c>
      <c r="K56" s="12">
        <f>AA56*Population!$O$33+AB56*Population!$O$34+AC56*Population!$O$35+AD56*Population!$O$36+AE56*Population!$O$37+AF56*Population!$O$38+AG56*Population!$O$39+AH56*Population!$O$40+AI56*Population!$O$41+AJ56*Population!$O$42+AK56*Population!$O$41+AL56*Population!$O$42+AM56*Population!$O$43+AN56*Population!$O$44+AO56*Population!$O$45+AP56*Population!$O$46+AQ56*Population!$O$47+AR56*Population!$O$48</f>
        <v>0.55862609450118372</v>
      </c>
      <c r="L56" s="12">
        <f t="shared" si="17"/>
        <v>6.9546838940935662E-2</v>
      </c>
      <c r="M56" s="12">
        <f>Population!$C$12</f>
        <v>3.0312000000000006</v>
      </c>
      <c r="N56" s="12">
        <f t="shared" si="30"/>
        <v>1.2502201215703561</v>
      </c>
      <c r="O56" s="12">
        <f>I56/B56</f>
        <v>0.20996441281138789</v>
      </c>
      <c r="P56" s="12">
        <f>B56-I56-Q56*2</f>
        <v>149.51086830544881</v>
      </c>
      <c r="Q56" s="12">
        <f t="shared" si="19"/>
        <v>36.244565847275595</v>
      </c>
      <c r="R56" s="12">
        <f t="shared" si="20"/>
        <v>28.63386086624422</v>
      </c>
      <c r="S56" s="12">
        <f>SUM(AR56:AR56)/B56</f>
        <v>0.10394263232178863</v>
      </c>
      <c r="T56" s="12">
        <f t="shared" si="27"/>
        <v>0.88401380115306327</v>
      </c>
      <c r="U56" s="12">
        <f>Population!$B$17*MIN(Y55:Z55)</f>
        <v>1.3750551782655922</v>
      </c>
      <c r="V56" s="12">
        <f>X55*Population!$B$18</f>
        <v>0.21648752542281299</v>
      </c>
      <c r="W56" s="12">
        <f>AN55*T55*Population!$B$16</f>
        <v>0.99525604270267976</v>
      </c>
      <c r="X56" s="12">
        <f t="shared" si="24"/>
        <v>36.244565847275595</v>
      </c>
      <c r="Y56" s="14">
        <f t="shared" si="31"/>
        <v>5.5256114551150119</v>
      </c>
      <c r="Z56" s="13">
        <f t="shared" si="32"/>
        <v>5.5256114551150119</v>
      </c>
      <c r="AA56" s="18">
        <f>(G56+Population!$B$15*AA55)*Population!M$33</f>
        <v>19.897843239206441</v>
      </c>
      <c r="AB56" s="18">
        <f>AA55*Population!$B$16*Population!$M$33+AB55*Population!$B$15*Population!$M$34</f>
        <v>19.81398146748765</v>
      </c>
      <c r="AC56" s="14">
        <f>(AB55*Population!$B$16*0.5*Population!$M$34)+(AC55*Population!$B$15*Population!M$35)</f>
        <v>9.7439324490267456</v>
      </c>
      <c r="AD56" s="13">
        <f>(AB55*Population!$B$16*0.5*Population!$M$34)+(AD55*Population!$B$15*Population!M$35)</f>
        <v>9.7439324490267456</v>
      </c>
      <c r="AE56" s="14">
        <f>(AC55*Population!$B$16*Population!M$35)+(AE55*Population!$B$15*Population!M$37)</f>
        <v>9.3974346459265305</v>
      </c>
      <c r="AF56" s="13">
        <f>(AD55*Population!$B$16*Population!M$35)+(AF55*Population!$B$15*Population!M$37)</f>
        <v>9.3974346459265305</v>
      </c>
      <c r="AG56" s="14">
        <f>(AE55*Population!$B$16*Population!M$37)+(AG55*Population!$B$15*Population!M$39)</f>
        <v>8.7792067580247792</v>
      </c>
      <c r="AH56" s="13">
        <f>(AF55*Population!$B$16*Population!M$37)+(AH55*Population!$B$15*Population!M$39)</f>
        <v>8.7792067580247792</v>
      </c>
      <c r="AI56" s="14">
        <f>(AG55*Population!$B$16*Population!M$39)+(AI55*Population!$B$15*Population!M$41)</f>
        <v>8.0779811490261721</v>
      </c>
      <c r="AJ56" s="13">
        <f>(AH55*Population!$B$16*Population!M$39)+(AJ55*Population!$B$15*Population!M$41)</f>
        <v>8.0779811490261721</v>
      </c>
      <c r="AK56" s="14">
        <f>(AI55*Population!$B$16*Population!M$41)+(AK55*Population!$B$15*Population!M$43)</f>
        <v>7.6567766953644325</v>
      </c>
      <c r="AL56" s="13">
        <f>(AJ55*Population!$B$16*Population!M$41)+(AL55*Population!$B$15*Population!M$43)</f>
        <v>7.6567766953644325</v>
      </c>
      <c r="AM56" s="14">
        <f>(AK55*Population!$B$16*Population!M$43)+(AM55*Population!$B$15*Population!M$45)</f>
        <v>7.8587780540486882</v>
      </c>
      <c r="AN56" s="13">
        <f>(AL55*Population!$B$16*Population!M$43)+(AN55*Population!$B$15*Population!M$45)</f>
        <v>7.8587780540486882</v>
      </c>
      <c r="AO56" s="15">
        <f>(AM55+AN55)*Population!$B$16*Population!$M$45+AO55*Population!$B$15*Population!$M$47</f>
        <v>16.770692688753371</v>
      </c>
      <c r="AP56" s="5">
        <f>AO55*Population!M$47*Population!$B$16+AP55*Population!$B$15*Population!M$48</f>
        <v>18.017394642530125</v>
      </c>
      <c r="AQ56" s="5">
        <f>AP55*Population!M$48*Population!$B$16+AQ55*Population!$B$15*Population!M$49</f>
        <v>14.723364339096207</v>
      </c>
      <c r="AR56" s="5">
        <f>(AQ55*Population!$B$16+AR55)*Population!M$50</f>
        <v>29.207879682422604</v>
      </c>
      <c r="AS56">
        <f>AS55*(1-Population!$B$12)+M56</f>
        <v>60</v>
      </c>
    </row>
    <row r="57" spans="1:45">
      <c r="A57">
        <f>A56+Population!$B$2</f>
        <v>54</v>
      </c>
      <c r="B57" s="117">
        <f t="shared" si="1"/>
        <v>281</v>
      </c>
      <c r="C57" s="59">
        <f t="shared" si="25"/>
        <v>140</v>
      </c>
      <c r="D57" s="12">
        <f>AD56*Population!$P$36*Population!$C$2+AF56*Population!$P$38*Population!$C$2+AH56*Population!$P$40*Population!$C$2+AJ56*Population!$P$42*Population!$C$2+AL56*Population!$P$44*Population!$C$2+AN55*Population!$P$46*Population!$C$2</f>
        <v>2.8789599909068482</v>
      </c>
      <c r="E57" s="12">
        <f>IF(B56&gt;Population!$B$6*Population!$B$19,Population!$B$11,IF(Population!$J$6=1,D57,Population!$B$11*Population!$B$6*0.9/B56))</f>
        <v>2.8514203965783622</v>
      </c>
      <c r="F57" s="12">
        <f>IF(B56&gt;Population!$B$6*0.75,Population!$B$11,E57)</f>
        <v>2.8514203965783622</v>
      </c>
      <c r="G57" s="15">
        <f>IF(Population!$J$6=1,IF(E57&gt;H56,H56,E57),IF(E57&gt;X56,X56,E57))</f>
        <v>2.8514203965783622</v>
      </c>
      <c r="H57" s="15">
        <f t="shared" si="28"/>
        <v>41</v>
      </c>
      <c r="I57" s="15">
        <f t="shared" si="29"/>
        <v>59</v>
      </c>
      <c r="J57" s="12">
        <f t="shared" si="26"/>
        <v>1.4390243902439024</v>
      </c>
      <c r="K57" s="12">
        <f>AA57*Population!$O$33+AB57*Population!$O$34+AC57*Population!$O$35+AD57*Population!$O$36+AE57*Population!$O$37+AF57*Population!$O$38+AG57*Population!$O$39+AH57*Population!$O$40+AI57*Population!$O$41+AJ57*Population!$O$42+AK57*Population!$O$41+AL57*Population!$O$42+AM57*Population!$O$43+AN57*Population!$O$44+AO57*Population!$O$45+AP57*Population!$O$46+AQ57*Population!$O$47+AR57*Population!$O$48</f>
        <v>0.5606899219420729</v>
      </c>
      <c r="L57" s="12">
        <f t="shared" si="17"/>
        <v>6.9546838940935662E-2</v>
      </c>
      <c r="M57" s="12">
        <f>Population!$C$12</f>
        <v>3.0312000000000006</v>
      </c>
      <c r="N57" s="12">
        <f t="shared" si="30"/>
        <v>1.259627768945792</v>
      </c>
      <c r="O57" s="12">
        <f>I57/B57</f>
        <v>0.20996441281138789</v>
      </c>
      <c r="P57" s="12">
        <f>B57-I57-Q57*2</f>
        <v>149.16793115662369</v>
      </c>
      <c r="Q57" s="12">
        <f t="shared" si="19"/>
        <v>36.416034421688146</v>
      </c>
      <c r="R57" s="12">
        <f t="shared" si="20"/>
        <v>29.207879682422604</v>
      </c>
      <c r="S57" s="12">
        <f>SUM(AR57:AR57)/B57</f>
        <v>0.10579848661858229</v>
      </c>
      <c r="T57" s="12">
        <f t="shared" si="27"/>
        <v>0.8881959615045889</v>
      </c>
      <c r="U57" s="12">
        <f>Population!$B$17*MIN(Y56:Z56)</f>
        <v>1.381402863778753</v>
      </c>
      <c r="V57" s="12">
        <f>X56*Population!$B$18</f>
        <v>0.21746739508365356</v>
      </c>
      <c r="W57" s="12">
        <f>AN56*T56*Population!$B$16</f>
        <v>0.99246689428255064</v>
      </c>
      <c r="X57" s="12">
        <f t="shared" si="24"/>
        <v>36.416034421688146</v>
      </c>
      <c r="Y57" s="14">
        <f t="shared" si="31"/>
        <v>5.5531682140441845</v>
      </c>
      <c r="Z57" s="13">
        <f t="shared" si="32"/>
        <v>5.5531682140441845</v>
      </c>
      <c r="AA57" s="18">
        <f>(G57+Population!$B$15*AA56)*Population!M$33</f>
        <v>19.898632475484202</v>
      </c>
      <c r="AB57" s="18">
        <f>AA56*Population!$B$16*Population!$M$33+AB56*Population!$B$15*Population!$M$34</f>
        <v>19.820986377828017</v>
      </c>
      <c r="AC57" s="14">
        <f>(AB56*Population!$B$16*0.5*Population!$M$34)+(AC56*Population!$B$15*Population!M$35)</f>
        <v>9.7589486498922398</v>
      </c>
      <c r="AD57" s="13">
        <f>(AB56*Population!$B$16*0.5*Population!$M$34)+(AD56*Population!$B$15*Population!M$35)</f>
        <v>9.7589486498922398</v>
      </c>
      <c r="AE57" s="14">
        <f>(AC56*Population!$B$16*Population!M$35)+(AE56*Population!$B$15*Population!M$37)</f>
        <v>9.4379314036652282</v>
      </c>
      <c r="AF57" s="13">
        <f>(AD56*Population!$B$16*Population!M$35)+(AF56*Population!$B$15*Population!M$37)</f>
        <v>9.4379314036652282</v>
      </c>
      <c r="AG57" s="14">
        <f>(AE56*Population!$B$16*Population!M$37)+(AG56*Population!$B$15*Population!M$39)</f>
        <v>8.8517975681435992</v>
      </c>
      <c r="AH57" s="13">
        <f>(AF56*Population!$B$16*Population!M$37)+(AH56*Population!$B$15*Population!M$39)</f>
        <v>8.8517975681435992</v>
      </c>
      <c r="AI57" s="14">
        <f>(AG56*Population!$B$16*Population!M$39)+(AI56*Population!$B$15*Population!M$41)</f>
        <v>8.1624541760528029</v>
      </c>
      <c r="AJ57" s="13">
        <f>(AH56*Population!$B$16*Population!M$39)+(AJ56*Population!$B$15*Population!M$41)</f>
        <v>8.1624541760528029</v>
      </c>
      <c r="AK57" s="14">
        <f>(AI56*Population!$B$16*Population!M$41)+(AK56*Population!$B$15*Population!M$43)</f>
        <v>7.7021322185537198</v>
      </c>
      <c r="AL57" s="13">
        <f>(AJ56*Population!$B$16*Population!M$41)+(AL56*Population!$B$15*Population!M$43)</f>
        <v>7.7021322185537198</v>
      </c>
      <c r="AM57" s="14">
        <f>(AK56*Population!$B$16*Population!M$43)+(AM56*Population!$B$15*Population!M$45)</f>
        <v>7.8148872693169746</v>
      </c>
      <c r="AN57" s="13">
        <f>(AL56*Population!$B$16*Population!M$43)+(AN56*Population!$B$15*Population!M$45)</f>
        <v>7.8148872693169746</v>
      </c>
      <c r="AO57" s="15">
        <f>(AM56+AN56)*Population!$B$16*Population!$M$45+AO56*Population!$B$15*Population!$M$47</f>
        <v>16.511715628704184</v>
      </c>
      <c r="AP57" s="5">
        <f>AO56*Population!M$47*Population!$B$16+AP56*Population!$B$15*Population!M$48</f>
        <v>17.709959479284372</v>
      </c>
      <c r="AQ57" s="5">
        <f>AP56*Population!M$48*Population!$B$16+AQ56*Population!$B$15*Population!M$49</f>
        <v>14.537715481068885</v>
      </c>
      <c r="AR57" s="5">
        <f>(AQ56*Population!$B$16+AR56)*Population!M$50</f>
        <v>29.729374739821623</v>
      </c>
      <c r="AS57">
        <f>AS56*(1-Population!$B$12)+M57</f>
        <v>60</v>
      </c>
    </row>
    <row r="58" spans="1:45">
      <c r="A58">
        <f>A57+Population!$B$2</f>
        <v>55</v>
      </c>
      <c r="B58" s="117">
        <f t="shared" si="1"/>
        <v>281</v>
      </c>
      <c r="C58" s="59">
        <f t="shared" si="25"/>
        <v>140</v>
      </c>
      <c r="D58" s="12">
        <f>AD57*Population!$P$36*Population!$C$2+AF57*Population!$P$38*Population!$C$2+AH57*Population!$P$40*Population!$C$2+AJ57*Population!$P$42*Population!$C$2+AL57*Population!$P$44*Population!$C$2+AN56*Population!$P$46*Population!$C$2</f>
        <v>2.8961658987160002</v>
      </c>
      <c r="E58" s="12">
        <f>IF(B57&gt;Population!$B$6*Population!$B$19,Population!$B$11,IF(Population!$J$6=1,D58,Population!$B$11*Population!$B$6*0.9/B57))</f>
        <v>2.8514203965783622</v>
      </c>
      <c r="F58" s="12">
        <f>IF(B57&gt;Population!$B$6*0.75,Population!$B$11,E58)</f>
        <v>2.8514203965783622</v>
      </c>
      <c r="G58" s="15">
        <f>IF(Population!$J$6=1,IF(E58&gt;H57,H57,E58),IF(E58&gt;X57,X57,E58))</f>
        <v>2.8514203965783622</v>
      </c>
      <c r="H58" s="15">
        <f t="shared" si="28"/>
        <v>42</v>
      </c>
      <c r="I58" s="15">
        <f t="shared" si="29"/>
        <v>59</v>
      </c>
      <c r="J58" s="12">
        <f t="shared" si="26"/>
        <v>1.4047619047619047</v>
      </c>
      <c r="K58" s="12">
        <f>AA58*Population!$O$33+AB58*Population!$O$34+AC58*Population!$O$35+AD58*Population!$O$36+AE58*Population!$O$37+AF58*Population!$O$38+AG58*Population!$O$39+AH58*Population!$O$40+AI58*Population!$O$41+AJ58*Population!$O$42+AK58*Population!$O$41+AL58*Population!$O$42+AM58*Population!$O$43+AN58*Population!$O$44+AO58*Population!$O$45+AP58*Population!$O$46+AQ58*Population!$O$47+AR58*Population!$O$48</f>
        <v>0.56241684652995194</v>
      </c>
      <c r="L58" s="12">
        <f t="shared" si="17"/>
        <v>6.7890961823294335E-2</v>
      </c>
      <c r="M58" s="12">
        <f>Population!$C$12</f>
        <v>3.0312000000000006</v>
      </c>
      <c r="N58" s="12">
        <f t="shared" si="30"/>
        <v>1.2685477289727189</v>
      </c>
      <c r="O58" s="12">
        <f>I58/B58</f>
        <v>0.20996441281138789</v>
      </c>
      <c r="P58" s="12">
        <f>B58-I58-Q58*2</f>
        <v>148.81152555186787</v>
      </c>
      <c r="Q58" s="12">
        <f t="shared" si="19"/>
        <v>36.59423722406607</v>
      </c>
      <c r="R58" s="12">
        <f t="shared" si="20"/>
        <v>29.729374739821623</v>
      </c>
      <c r="S58" s="12">
        <f>SUM(AR58:AR58)/B58</f>
        <v>0.10747096959365841</v>
      </c>
      <c r="T58" s="12">
        <f t="shared" si="27"/>
        <v>0.87129136247776362</v>
      </c>
      <c r="U58" s="12">
        <f>Population!$B$17*MIN(Y57:Z57)</f>
        <v>1.3882920535110461</v>
      </c>
      <c r="V58" s="12">
        <f>X57*Population!$B$18</f>
        <v>0.21849620653012888</v>
      </c>
      <c r="W58" s="12">
        <f>AN57*T57*Population!$B$16</f>
        <v>0.99159304460299447</v>
      </c>
      <c r="X58" s="12">
        <f t="shared" si="24"/>
        <v>36.59423722406607</v>
      </c>
      <c r="Y58" s="14">
        <f t="shared" si="31"/>
        <v>5.5820489774257069</v>
      </c>
      <c r="Z58" s="13">
        <f t="shared" si="32"/>
        <v>5.5820489774257069</v>
      </c>
      <c r="AA58" s="18">
        <f>(G58+Population!$B$15*AA57)*Population!M$33</f>
        <v>19.899308689068057</v>
      </c>
      <c r="AB58" s="18">
        <f>AA57*Population!$B$16*Population!$M$33+AB57*Population!$B$15*Population!$M$34</f>
        <v>19.82710193800817</v>
      </c>
      <c r="AC58" s="14">
        <f>(AB57*Population!$B$16*0.5*Population!$M$34)+(AC57*Population!$B$15*Population!M$35)</f>
        <v>9.7723076512742661</v>
      </c>
      <c r="AD58" s="13">
        <f>(AB57*Population!$B$16*0.5*Population!$M$34)+(AD57*Population!$B$15*Population!M$35)</f>
        <v>9.7723076512742661</v>
      </c>
      <c r="AE58" s="14">
        <f>(AC57*Population!$B$16*Population!M$35)+(AE57*Population!$B$15*Population!M$37)</f>
        <v>9.4747529574363032</v>
      </c>
      <c r="AF58" s="13">
        <f>(AD57*Population!$B$16*Population!M$35)+(AF57*Population!$B$15*Population!M$37)</f>
        <v>9.4747529574363032</v>
      </c>
      <c r="AG58" s="14">
        <f>(AE57*Population!$B$16*Population!M$37)+(AG57*Population!$B$15*Population!M$39)</f>
        <v>8.9196785365591591</v>
      </c>
      <c r="AH58" s="13">
        <f>(AF57*Population!$B$16*Population!M$37)+(AH57*Population!$B$15*Population!M$39)</f>
        <v>8.9196785365591591</v>
      </c>
      <c r="AI58" s="14">
        <f>(AG57*Population!$B$16*Population!M$39)+(AI57*Population!$B$15*Population!M$41)</f>
        <v>8.2450708144316369</v>
      </c>
      <c r="AJ58" s="13">
        <f>(AH57*Population!$B$16*Population!M$39)+(AJ57*Population!$B$15*Population!M$41)</f>
        <v>8.2450708144316369</v>
      </c>
      <c r="AK58" s="14">
        <f>(AI57*Population!$B$16*Population!M$41)+(AK57*Population!$B$15*Population!M$43)</f>
        <v>7.7529781445999095</v>
      </c>
      <c r="AL58" s="13">
        <f>(AJ57*Population!$B$16*Population!M$41)+(AL57*Population!$B$15*Population!M$43)</f>
        <v>7.7529781445999095</v>
      </c>
      <c r="AM58" s="14">
        <f>(AK57*Population!$B$16*Population!M$43)+(AM57*Population!$B$15*Population!M$45)</f>
        <v>7.7838057484647729</v>
      </c>
      <c r="AN58" s="13">
        <f>(AL57*Population!$B$16*Population!M$43)+(AN57*Population!$B$15*Population!M$45)</f>
        <v>7.7838057484647729</v>
      </c>
      <c r="AO58" s="15">
        <f>(AM57+AN57)*Population!$B$16*Population!$M$45+AO57*Population!$B$15*Population!$M$47</f>
        <v>16.278828501985181</v>
      </c>
      <c r="AP58" s="5">
        <f>AO57*Population!M$47*Population!$B$16+AP57*Population!$B$15*Population!M$48</f>
        <v>17.411625618393352</v>
      </c>
      <c r="AQ58" s="5">
        <f>AP57*Population!M$48*Population!$B$16+AQ57*Population!$B$15*Population!M$49</f>
        <v>14.343026120407325</v>
      </c>
      <c r="AR58" s="5">
        <f>(AQ57*Population!$B$16+AR57)*Population!M$50</f>
        <v>30.199342455818016</v>
      </c>
      <c r="AS58">
        <f>AS57*(1-Population!$B$12)+M58</f>
        <v>60</v>
      </c>
    </row>
    <row r="59" spans="1:45">
      <c r="A59">
        <f>A58+Population!$B$2</f>
        <v>56</v>
      </c>
      <c r="B59" s="117">
        <f t="shared" si="1"/>
        <v>282</v>
      </c>
      <c r="C59" s="59">
        <f t="shared" si="25"/>
        <v>142</v>
      </c>
      <c r="D59" s="12">
        <f>AD58*Population!$P$36*Population!$C$2+AF58*Population!$P$38*Population!$C$2+AH58*Population!$P$40*Population!$C$2+AJ58*Population!$P$42*Population!$C$2+AL58*Population!$P$44*Population!$C$2+AN57*Population!$P$46*Population!$C$2</f>
        <v>2.9130119919604653</v>
      </c>
      <c r="E59" s="12">
        <f>IF(B58&gt;Population!$B$6*Population!$B$19,Population!$B$11,IF(Population!$J$6=1,D59,Population!$B$11*Population!$B$6*0.9/B58))</f>
        <v>2.8514203965783622</v>
      </c>
      <c r="F59" s="12">
        <f>IF(B58&gt;Population!$B$6*0.75,Population!$B$11,E59)</f>
        <v>2.8514203965783622</v>
      </c>
      <c r="G59" s="15">
        <f>IF(Population!$J$6=1,IF(E59&gt;H58,H58,E59),IF(E59&gt;X58,X58,E59))</f>
        <v>2.8514203965783622</v>
      </c>
      <c r="H59" s="15">
        <f t="shared" si="28"/>
        <v>42</v>
      </c>
      <c r="I59" s="15">
        <f t="shared" si="29"/>
        <v>59</v>
      </c>
      <c r="J59" s="12">
        <f t="shared" si="26"/>
        <v>1.4047619047619047</v>
      </c>
      <c r="K59" s="12">
        <f>AA59*Population!$O$33+AB59*Population!$O$34+AC59*Population!$O$35+AD59*Population!$O$36+AE59*Population!$O$37+AF59*Population!$O$38+AG59*Population!$O$39+AH59*Population!$O$40+AI59*Population!$O$41+AJ59*Population!$O$42+AK59*Population!$O$41+AL59*Population!$O$42+AM59*Population!$O$43+AN59*Population!$O$44+AO59*Population!$O$45+AP59*Population!$O$46+AQ59*Population!$O$47+AR59*Population!$O$48</f>
        <v>0.56383426158849403</v>
      </c>
      <c r="L59" s="12">
        <f t="shared" si="17"/>
        <v>6.7890961823294335E-2</v>
      </c>
      <c r="M59" s="12">
        <f>Population!$C$12</f>
        <v>3.0312000000000006</v>
      </c>
      <c r="N59" s="12">
        <f t="shared" si="30"/>
        <v>1.276982110301687</v>
      </c>
      <c r="O59" s="12">
        <f>I59/B59</f>
        <v>0.20921985815602837</v>
      </c>
      <c r="P59" s="12">
        <f>B59-I59-Q59*2</f>
        <v>149.39733554294156</v>
      </c>
      <c r="Q59" s="12">
        <f t="shared" si="19"/>
        <v>36.801332228529219</v>
      </c>
      <c r="R59" s="12">
        <f t="shared" si="20"/>
        <v>30.199342455818016</v>
      </c>
      <c r="S59" s="12">
        <f>SUM(AR59:AR59)/B59</f>
        <v>0.10857858063092957</v>
      </c>
      <c r="T59" s="12">
        <f t="shared" si="27"/>
        <v>0.87622219591736239</v>
      </c>
      <c r="U59" s="12">
        <f>Population!$B$17*MIN(Y58:Z58)</f>
        <v>1.3955122443564267</v>
      </c>
      <c r="V59" s="12">
        <f>X58*Population!$B$18</f>
        <v>0.21956542334439644</v>
      </c>
      <c r="W59" s="12">
        <f>AN58*T58*Population!$B$16</f>
        <v>0.96885181654887431</v>
      </c>
      <c r="X59" s="12">
        <f t="shared" si="24"/>
        <v>36.801332228529219</v>
      </c>
      <c r="Y59" s="14">
        <f t="shared" si="31"/>
        <v>5.5880138468019496</v>
      </c>
      <c r="Z59" s="13">
        <f t="shared" si="32"/>
        <v>5.5880138468019496</v>
      </c>
      <c r="AA59" s="18">
        <f>(G59+Population!$B$15*AA58)*Population!M$33</f>
        <v>19.899888065389035</v>
      </c>
      <c r="AB59" s="18">
        <f>AA58*Population!$B$16*Population!$M$33+AB58*Population!$B$15*Population!$M$34</f>
        <v>19.832439230024715</v>
      </c>
      <c r="AC59" s="14">
        <f>(AB58*Population!$B$16*0.5*Population!$M$34)+(AC58*Population!$B$15*Population!M$35)</f>
        <v>9.7841840389330965</v>
      </c>
      <c r="AD59" s="13">
        <f>(AB58*Population!$B$16*0.5*Population!$M$34)+(AD58*Population!$B$15*Population!M$35)</f>
        <v>9.7841840389330965</v>
      </c>
      <c r="AE59" s="14">
        <f>(AC58*Population!$B$16*Population!M$35)+(AE58*Population!$B$15*Population!M$37)</f>
        <v>9.5081908213271138</v>
      </c>
      <c r="AF59" s="13">
        <f>(AD58*Population!$B$16*Population!M$35)+(AF58*Population!$B$15*Population!M$37)</f>
        <v>9.5081908213271138</v>
      </c>
      <c r="AG59" s="14">
        <f>(AE58*Population!$B$16*Population!M$37)+(AG58*Population!$B$15*Population!M$39)</f>
        <v>8.9830057200688085</v>
      </c>
      <c r="AH59" s="13">
        <f>(AF58*Population!$B$16*Population!M$37)+(AH58*Population!$B$15*Population!M$39)</f>
        <v>8.9830057200688085</v>
      </c>
      <c r="AI59" s="14">
        <f>(AG58*Population!$B$16*Population!M$39)+(AI58*Population!$B$15*Population!M$41)</f>
        <v>8.3254277749395058</v>
      </c>
      <c r="AJ59" s="13">
        <f>(AH58*Population!$B$16*Population!M$39)+(AJ58*Population!$B$15*Population!M$41)</f>
        <v>8.3254277749395058</v>
      </c>
      <c r="AK59" s="14">
        <f>(AI58*Population!$B$16*Population!M$41)+(AK58*Population!$B$15*Population!M$43)</f>
        <v>7.8082564054059418</v>
      </c>
      <c r="AL59" s="13">
        <f>(AJ58*Population!$B$16*Population!M$41)+(AL58*Population!$B$15*Population!M$43)</f>
        <v>7.8082564054059418</v>
      </c>
      <c r="AM59" s="14">
        <f>(AK58*Population!$B$16*Population!M$43)+(AM58*Population!$B$15*Population!M$45)</f>
        <v>7.7644653535898005</v>
      </c>
      <c r="AN59" s="13">
        <f>(AL58*Population!$B$16*Population!M$43)+(AN58*Population!$B$15*Population!M$45)</f>
        <v>7.7644653535898005</v>
      </c>
      <c r="AO59" s="15">
        <f>(AM58+AN58)*Population!$B$16*Population!$M$45+AO58*Population!$B$15*Population!$M$47</f>
        <v>16.071794807847169</v>
      </c>
      <c r="AP59" s="5">
        <f>AO58*Population!M$47*Population!$B$16+AP58*Population!$B$15*Population!M$48</f>
        <v>17.124736427329399</v>
      </c>
      <c r="AQ59" s="5">
        <f>AP58*Population!M$48*Population!$B$16+AQ58*Population!$B$15*Population!M$49</f>
        <v>14.142269996783726</v>
      </c>
      <c r="AR59" s="5">
        <f>(AQ58*Population!$B$16+AR58)*Population!M$50</f>
        <v>30.619159737922139</v>
      </c>
      <c r="AS59">
        <f>AS58*(1-Population!$B$12)+M59</f>
        <v>60</v>
      </c>
    </row>
    <row r="60" spans="1:45">
      <c r="A60">
        <f>A59+Population!$B$2</f>
        <v>57</v>
      </c>
      <c r="B60" s="117">
        <f t="shared" si="1"/>
        <v>282</v>
      </c>
      <c r="C60" s="59">
        <f t="shared" si="25"/>
        <v>142</v>
      </c>
      <c r="D60" s="12">
        <f>AD59*Population!$P$36*Population!$C$2+AF59*Population!$P$38*Population!$C$2+AH59*Population!$P$40*Population!$C$2+AJ59*Population!$P$42*Population!$C$2+AL59*Population!$P$44*Population!$C$2+AN58*Population!$P$46*Population!$C$2</f>
        <v>2.9294429507669659</v>
      </c>
      <c r="E60" s="12">
        <f>IF(B59&gt;Population!$B$6*Population!$B$19,Population!$B$11,IF(Population!$J$6=1,D60,Population!$B$11*Population!$B$6*0.9/B59))</f>
        <v>2.8514203965783622</v>
      </c>
      <c r="F60" s="12">
        <f>IF(B59&gt;Population!$B$6*0.75,Population!$B$11,E60)</f>
        <v>2.8514203965783622</v>
      </c>
      <c r="G60" s="15">
        <f>IF(Population!$J$6=1,IF(E60&gt;H59,H59,E60),IF(E60&gt;X59,X59,E60))</f>
        <v>2.8514203965783622</v>
      </c>
      <c r="H60" s="15">
        <f t="shared" si="28"/>
        <v>42</v>
      </c>
      <c r="I60" s="15">
        <f t="shared" si="29"/>
        <v>59</v>
      </c>
      <c r="J60" s="12">
        <f t="shared" si="26"/>
        <v>1.4047619047619047</v>
      </c>
      <c r="K60" s="12">
        <f>AA60*Population!$O$33+AB60*Population!$O$34+AC60*Population!$O$35+AD60*Population!$O$36+AE60*Population!$O$37+AF60*Population!$O$38+AG60*Population!$O$39+AH60*Population!$O$40+AI60*Population!$O$41+AJ60*Population!$O$42+AK60*Population!$O$41+AL60*Population!$O$42+AM60*Population!$O$43+AN60*Population!$O$44+AO60*Population!$O$45+AP60*Population!$O$46+AQ60*Population!$O$47+AR60*Population!$O$48</f>
        <v>0.56496981721294026</v>
      </c>
      <c r="L60" s="12">
        <f t="shared" si="17"/>
        <v>6.7890961823294335E-2</v>
      </c>
      <c r="M60" s="12">
        <f>Population!$C$12</f>
        <v>3.0312000000000006</v>
      </c>
      <c r="N60" s="12">
        <f t="shared" si="30"/>
        <v>1.2849369556812134</v>
      </c>
      <c r="O60" s="12">
        <f>I60/B60</f>
        <v>0.20921985815602837</v>
      </c>
      <c r="P60" s="12">
        <f>B60-I60-Q60*2</f>
        <v>148.98877228692487</v>
      </c>
      <c r="Q60" s="12">
        <f t="shared" si="19"/>
        <v>37.005613856537565</v>
      </c>
      <c r="R60" s="12">
        <f t="shared" si="20"/>
        <v>30.619159737922139</v>
      </c>
      <c r="S60" s="12">
        <f>SUM(AR60:AR60)/B60</f>
        <v>0.10989552230612076</v>
      </c>
      <c r="T60" s="12">
        <f t="shared" si="27"/>
        <v>0.8810860442032753</v>
      </c>
      <c r="U60" s="12">
        <f>Population!$B$17*MIN(Y59:Z59)</f>
        <v>1.3970034617004874</v>
      </c>
      <c r="V60" s="12">
        <f>X59*Population!$B$18</f>
        <v>0.22080799337117532</v>
      </c>
      <c r="W60" s="12">
        <f>AN59*T59*Population!$B$16</f>
        <v>0.97191384032096206</v>
      </c>
      <c r="X60" s="12">
        <f t="shared" si="24"/>
        <v>37.005613856537565</v>
      </c>
      <c r="Y60" s="14">
        <f t="shared" si="31"/>
        <v>5.6008679707722067</v>
      </c>
      <c r="Z60" s="13">
        <f t="shared" si="32"/>
        <v>5.6008679707722067</v>
      </c>
      <c r="AA60" s="18">
        <f>(G60+Population!$B$15*AA59)*Population!M$33</f>
        <v>19.9003844720412</v>
      </c>
      <c r="AB60" s="18">
        <f>AA59*Population!$B$16*Population!$M$33+AB59*Population!$B$15*Population!$M$34</f>
        <v>19.837095756860322</v>
      </c>
      <c r="AC60" s="14">
        <f>(AB59*Population!$B$16*0.5*Population!$M$34)+(AC59*Population!$B$15*Population!M$35)</f>
        <v>9.7947352478375631</v>
      </c>
      <c r="AD60" s="13">
        <f>(AB59*Population!$B$16*0.5*Population!$M$34)+(AD59*Population!$B$15*Population!M$35)</f>
        <v>9.7947352478375631</v>
      </c>
      <c r="AE60" s="14">
        <f>(AC59*Population!$B$16*Population!M$35)+(AE59*Population!$B$15*Population!M$37)</f>
        <v>9.5385195434843322</v>
      </c>
      <c r="AF60" s="13">
        <f>(AD59*Population!$B$16*Population!M$35)+(AF59*Population!$B$15*Population!M$37)</f>
        <v>9.5385195434843322</v>
      </c>
      <c r="AG60" s="14">
        <f>(AE59*Population!$B$16*Population!M$37)+(AG59*Population!$B$15*Population!M$39)</f>
        <v>9.0419542299988649</v>
      </c>
      <c r="AH60" s="13">
        <f>(AF59*Population!$B$16*Population!M$37)+(AH59*Population!$B$15*Population!M$39)</f>
        <v>9.0419542299988649</v>
      </c>
      <c r="AI60" s="14">
        <f>(AG59*Population!$B$16*Population!M$39)+(AI59*Population!$B$15*Population!M$41)</f>
        <v>8.4032022958222861</v>
      </c>
      <c r="AJ60" s="13">
        <f>(AH59*Population!$B$16*Population!M$39)+(AJ59*Population!$B$15*Population!M$41)</f>
        <v>8.4032022958222861</v>
      </c>
      <c r="AK60" s="14">
        <f>(AI59*Population!$B$16*Population!M$41)+(AK59*Population!$B$15*Population!M$43)</f>
        <v>7.8670043246081436</v>
      </c>
      <c r="AL60" s="13">
        <f>(AJ59*Population!$B$16*Population!M$41)+(AL59*Population!$B$15*Population!M$43)</f>
        <v>7.8670043246081436</v>
      </c>
      <c r="AM60" s="14">
        <f>(AK59*Population!$B$16*Population!M$43)+(AM59*Population!$B$15*Population!M$45)</f>
        <v>7.7558014333961456</v>
      </c>
      <c r="AN60" s="13">
        <f>(AL59*Population!$B$16*Population!M$43)+(AN59*Population!$B$15*Population!M$45)</f>
        <v>7.7558014333961456</v>
      </c>
      <c r="AO60" s="15">
        <f>(AM59+AN59)*Population!$B$16*Population!$M$45+AO59*Population!$B$15*Population!$M$47</f>
        <v>15.890108704737642</v>
      </c>
      <c r="AP60" s="5">
        <f>AO59*Population!M$47*Population!$B$16+AP59*Population!$B$15*Population!M$48</f>
        <v>16.851252403553978</v>
      </c>
      <c r="AQ60" s="5">
        <f>AP59*Population!M$48*Population!$B$16+AQ59*Population!$B$15*Population!M$49</f>
        <v>13.938199598215505</v>
      </c>
      <c r="AR60" s="5">
        <f>(AQ59*Population!$B$16+AR59)*Population!M$50</f>
        <v>30.990537290326056</v>
      </c>
      <c r="AS60">
        <f>AS59*(1-Population!$B$12)+M60</f>
        <v>60</v>
      </c>
    </row>
    <row r="61" spans="1:45">
      <c r="A61">
        <f>A60+Population!$B$2</f>
        <v>58</v>
      </c>
      <c r="B61" s="117">
        <f t="shared" si="1"/>
        <v>282</v>
      </c>
      <c r="C61" s="59">
        <f t="shared" si="25"/>
        <v>142</v>
      </c>
      <c r="D61" s="12">
        <f>AD60*Population!$P$36*Population!$C$2+AF60*Population!$P$38*Population!$C$2+AH60*Population!$P$40*Population!$C$2+AJ60*Population!$P$42*Population!$C$2+AL60*Population!$P$44*Population!$C$2+AN59*Population!$P$46*Population!$C$2</f>
        <v>2.9454129377406737</v>
      </c>
      <c r="E61" s="12">
        <f>IF(B60&gt;Population!$B$6*Population!$B$19,Population!$B$11,IF(Population!$J$6=1,D61,Population!$B$11*Population!$B$6*0.9/B60))</f>
        <v>2.8514203965783622</v>
      </c>
      <c r="F61" s="12">
        <f>IF(B60&gt;Population!$B$6*0.75,Population!$B$11,E61)</f>
        <v>2.8514203965783622</v>
      </c>
      <c r="G61" s="15">
        <f>IF(Population!$J$6=1,IF(E61&gt;H60,H60,E61),IF(E61&gt;X60,X60,E61))</f>
        <v>2.8514203965783622</v>
      </c>
      <c r="H61" s="15">
        <f t="shared" si="28"/>
        <v>42</v>
      </c>
      <c r="I61" s="15">
        <f t="shared" si="29"/>
        <v>59</v>
      </c>
      <c r="J61" s="12">
        <f t="shared" si="26"/>
        <v>1.4047619047619047</v>
      </c>
      <c r="K61" s="12">
        <f>AA61*Population!$O$33+AB61*Population!$O$34+AC61*Population!$O$35+AD61*Population!$O$36+AE61*Population!$O$37+AF61*Population!$O$38+AG61*Population!$O$39+AH61*Population!$O$40+AI61*Population!$O$41+AJ61*Population!$O$42+AK61*Population!$O$41+AL61*Population!$O$42+AM61*Population!$O$43+AN61*Population!$O$44+AO61*Population!$O$45+AP61*Population!$O$46+AQ61*Population!$O$47+AR61*Population!$O$48</f>
        <v>0.56585109127728017</v>
      </c>
      <c r="L61" s="12">
        <f t="shared" si="17"/>
        <v>6.7890961823294335E-2</v>
      </c>
      <c r="M61" s="12">
        <f>Population!$C$12</f>
        <v>3.0312000000000006</v>
      </c>
      <c r="N61" s="12">
        <f t="shared" si="30"/>
        <v>1.2924215703080872</v>
      </c>
      <c r="O61" s="12">
        <f>I61/B61</f>
        <v>0.20921985815602837</v>
      </c>
      <c r="P61" s="12">
        <f>B61-I61-Q61*2</f>
        <v>148.58484235483922</v>
      </c>
      <c r="Q61" s="12">
        <f t="shared" si="19"/>
        <v>37.207578822580381</v>
      </c>
      <c r="R61" s="12">
        <f t="shared" si="20"/>
        <v>30.990537290326056</v>
      </c>
      <c r="S61" s="12">
        <f>SUM(AR61:AR61)/B61</f>
        <v>0.11104777567347779</v>
      </c>
      <c r="T61" s="12">
        <f t="shared" si="27"/>
        <v>0.8858947338709614</v>
      </c>
      <c r="U61" s="12">
        <f>Population!$B$17*MIN(Y60:Z60)</f>
        <v>1.4002169926930517</v>
      </c>
      <c r="V61" s="12">
        <f>X60*Population!$B$18</f>
        <v>0.22203368313922539</v>
      </c>
      <c r="W61" s="12">
        <f>AN60*T60*Population!$B$16</f>
        <v>0.97621834351101455</v>
      </c>
      <c r="X61" s="12">
        <f t="shared" si="24"/>
        <v>37.207578822580381</v>
      </c>
      <c r="Y61" s="14">
        <f t="shared" si="31"/>
        <v>5.6183923895198404</v>
      </c>
      <c r="Z61" s="13">
        <f t="shared" si="32"/>
        <v>5.6183923895198404</v>
      </c>
      <c r="AA61" s="18">
        <f>(G61+Population!$B$15*AA60)*Population!M$33</f>
        <v>19.900809790707825</v>
      </c>
      <c r="AB61" s="18">
        <f>AA60*Population!$B$16*Population!$M$33+AB60*Population!$B$15*Population!$M$34</f>
        <v>19.841157053976531</v>
      </c>
      <c r="AC61" s="14">
        <f>(AB60*Population!$B$16*0.5*Population!$M$34)+(AC60*Population!$B$15*Population!M$35)</f>
        <v>9.8041030565765368</v>
      </c>
      <c r="AD61" s="13">
        <f>(AB60*Population!$B$16*0.5*Population!$M$34)+(AD60*Population!$B$15*Population!M$35)</f>
        <v>9.8041030565765368</v>
      </c>
      <c r="AE61" s="14">
        <f>(AC60*Population!$B$16*Population!M$35)+(AE60*Population!$B$15*Population!M$37)</f>
        <v>9.5659966959003881</v>
      </c>
      <c r="AF61" s="13">
        <f>(AD60*Population!$B$16*Population!M$35)+(AF60*Population!$B$15*Population!M$37)</f>
        <v>9.5659966959003881</v>
      </c>
      <c r="AG61" s="14">
        <f>(AE60*Population!$B$16*Population!M$37)+(AG60*Population!$B$15*Population!M$39)</f>
        <v>9.0967130573747141</v>
      </c>
      <c r="AH61" s="13">
        <f>(AF60*Population!$B$16*Population!M$37)+(AH60*Population!$B$15*Population!M$39)</f>
        <v>9.0967130573747141</v>
      </c>
      <c r="AI61" s="14">
        <f>(AG60*Population!$B$16*Population!M$39)+(AI60*Population!$B$15*Population!M$41)</f>
        <v>8.4781432231947296</v>
      </c>
      <c r="AJ61" s="13">
        <f>(AH60*Population!$B$16*Population!M$39)+(AJ60*Population!$B$15*Population!M$41)</f>
        <v>8.4781432231947296</v>
      </c>
      <c r="AK61" s="14">
        <f>(AI60*Population!$B$16*Population!M$41)+(AK60*Population!$B$15*Population!M$43)</f>
        <v>7.9283523150348119</v>
      </c>
      <c r="AL61" s="13">
        <f>(AJ60*Population!$B$16*Population!M$41)+(AL60*Population!$B$15*Population!M$43)</f>
        <v>7.9283523150348119</v>
      </c>
      <c r="AM61" s="14">
        <f>(AK60*Population!$B$16*Population!M$43)+(AM60*Population!$B$15*Population!M$45)</f>
        <v>7.7567659205955781</v>
      </c>
      <c r="AN61" s="13">
        <f>(AL60*Population!$B$16*Population!M$43)+(AN60*Population!$B$15*Population!M$45)</f>
        <v>7.7567659205955781</v>
      </c>
      <c r="AO61" s="15">
        <f>(AM60+AN60)*Population!$B$16*Population!$M$45+AO60*Population!$B$15*Population!$M$47</f>
        <v>15.733036155579688</v>
      </c>
      <c r="AP61" s="5">
        <f>AO60*Population!M$47*Population!$B$16+AP60*Population!$B$15*Population!M$48</f>
        <v>16.592770051199654</v>
      </c>
      <c r="AQ61" s="5">
        <f>AP60*Population!M$48*Population!$B$16+AQ60*Population!$B$15*Population!M$49</f>
        <v>13.733333050101452</v>
      </c>
      <c r="AR61" s="5">
        <f>(AQ60*Population!$B$16+AR60)*Population!M$50</f>
        <v>31.315472739920736</v>
      </c>
      <c r="AS61">
        <f>AS60*(1-Population!$B$12)+M61</f>
        <v>60</v>
      </c>
    </row>
    <row r="62" spans="1:45">
      <c r="A62">
        <f>A61+Population!$B$2</f>
        <v>59</v>
      </c>
      <c r="B62" s="117">
        <f t="shared" si="1"/>
        <v>282</v>
      </c>
      <c r="C62" s="59">
        <f t="shared" si="25"/>
        <v>143</v>
      </c>
      <c r="D62" s="12">
        <f>AD61*Population!$P$36*Population!$C$2+AF61*Population!$P$38*Population!$C$2+AH61*Population!$P$40*Population!$C$2+AJ61*Population!$P$42*Population!$C$2+AL61*Population!$P$44*Population!$C$2+AN60*Population!$P$46*Population!$C$2</f>
        <v>2.960884757312761</v>
      </c>
      <c r="E62" s="12">
        <f>IF(B61&gt;Population!$B$6*Population!$B$19,Population!$B$11,IF(Population!$J$6=1,D62,Population!$B$11*Population!$B$6*0.9/B61))</f>
        <v>2.8514203965783622</v>
      </c>
      <c r="F62" s="12">
        <f>IF(B61&gt;Population!$B$6*0.75,Population!$B$11,E62)</f>
        <v>2.8514203965783622</v>
      </c>
      <c r="G62" s="15">
        <f>IF(Population!$J$6=1,IF(E62&gt;H61,H61,E62),IF(E62&gt;X61,X61,E62))</f>
        <v>2.8514203965783622</v>
      </c>
      <c r="H62" s="15">
        <f t="shared" si="28"/>
        <v>43</v>
      </c>
      <c r="I62" s="15">
        <f t="shared" si="29"/>
        <v>59</v>
      </c>
      <c r="J62" s="12">
        <f t="shared" si="26"/>
        <v>1.3720930232558139</v>
      </c>
      <c r="K62" s="12">
        <f>AA62*Population!$O$33+AB62*Population!$O$34+AC62*Population!$O$35+AD62*Population!$O$36+AE62*Population!$O$37+AF62*Population!$O$38+AG62*Population!$O$39+AH62*Population!$O$40+AI62*Population!$O$41+AJ62*Population!$O$42+AK62*Population!$O$41+AL62*Population!$O$42+AM62*Population!$O$43+AN62*Population!$O$44+AO62*Population!$O$45+AP62*Population!$O$46+AQ62*Population!$O$47+AR62*Population!$O$48</f>
        <v>0.56650529602330779</v>
      </c>
      <c r="L62" s="12">
        <f t="shared" si="17"/>
        <v>6.631210224600842E-2</v>
      </c>
      <c r="M62" s="12">
        <f>Population!$C$12</f>
        <v>3.0312000000000006</v>
      </c>
      <c r="N62" s="12">
        <f t="shared" si="30"/>
        <v>1.2994479221841977</v>
      </c>
      <c r="O62" s="12">
        <f>I62/B62</f>
        <v>0.20921985815602837</v>
      </c>
      <c r="P62" s="12">
        <f>B62-I62-Q62*2</f>
        <v>148.18547370050038</v>
      </c>
      <c r="Q62" s="12">
        <f t="shared" si="19"/>
        <v>37.407263149749809</v>
      </c>
      <c r="R62" s="12">
        <f t="shared" si="20"/>
        <v>31.315472739920736</v>
      </c>
      <c r="S62" s="12">
        <f>SUM(AR62:AR62)/B62</f>
        <v>0.1120432778440273</v>
      </c>
      <c r="T62" s="12">
        <f t="shared" si="27"/>
        <v>0.86993635231976296</v>
      </c>
      <c r="U62" s="12">
        <f>Population!$B$17*MIN(Y61:Z61)</f>
        <v>1.4045980973799601</v>
      </c>
      <c r="V62" s="12">
        <f>X61*Population!$B$18</f>
        <v>0.22324547293548228</v>
      </c>
      <c r="W62" s="12">
        <f>AN61*T61*Population!$B$16</f>
        <v>0.98166829727505178</v>
      </c>
      <c r="X62" s="12">
        <f t="shared" si="24"/>
        <v>37.407263149749809</v>
      </c>
      <c r="Y62" s="14">
        <f t="shared" si="31"/>
        <v>5.6390020616189176</v>
      </c>
      <c r="Z62" s="13">
        <f t="shared" si="32"/>
        <v>5.6390020616189176</v>
      </c>
      <c r="AA62" s="18">
        <f>(G62+Population!$B$15*AA61)*Population!M$33</f>
        <v>19.901174201554038</v>
      </c>
      <c r="AB62" s="18">
        <f>AA61*Population!$B$16*Population!$M$33+AB61*Population!$B$15*Population!$M$34</f>
        <v>19.844698117681304</v>
      </c>
      <c r="AC62" s="14">
        <f>(AB61*Population!$B$16*0.5*Population!$M$34)+(AC61*Population!$B$15*Population!M$35)</f>
        <v>9.8124149821430589</v>
      </c>
      <c r="AD62" s="13">
        <f>(AB61*Population!$B$16*0.5*Population!$M$34)+(AD61*Population!$B$15*Population!M$35)</f>
        <v>9.8124149821430589</v>
      </c>
      <c r="AE62" s="14">
        <f>(AC61*Population!$B$16*Population!M$35)+(AE61*Population!$B$15*Population!M$37)</f>
        <v>9.5908630789512568</v>
      </c>
      <c r="AF62" s="13">
        <f>(AD61*Population!$B$16*Population!M$35)+(AF61*Population!$B$15*Population!M$37)</f>
        <v>9.5908630789512568</v>
      </c>
      <c r="AG62" s="14">
        <f>(AE61*Population!$B$16*Population!M$37)+(AG61*Population!$B$15*Population!M$39)</f>
        <v>9.1474806444109316</v>
      </c>
      <c r="AH62" s="13">
        <f>(AF61*Population!$B$16*Population!M$37)+(AH61*Population!$B$15*Population!M$39)</f>
        <v>9.1474806444109316</v>
      </c>
      <c r="AI62" s="14">
        <f>(AG61*Population!$B$16*Population!M$39)+(AI61*Population!$B$15*Population!M$41)</f>
        <v>8.5500626425059618</v>
      </c>
      <c r="AJ62" s="13">
        <f>(AH61*Population!$B$16*Population!M$39)+(AJ61*Population!$B$15*Population!M$41)</f>
        <v>8.5500626425059618</v>
      </c>
      <c r="AK62" s="14">
        <f>(AI61*Population!$B$16*Population!M$41)+(AK61*Population!$B$15*Population!M$43)</f>
        <v>7.9915206371065528</v>
      </c>
      <c r="AL62" s="13">
        <f>(AJ61*Population!$B$16*Population!M$41)+(AL61*Population!$B$15*Population!M$43)</f>
        <v>7.9915206371065528</v>
      </c>
      <c r="AM62" s="14">
        <f>(AK61*Population!$B$16*Population!M$43)+(AM61*Population!$B$15*Population!M$45)</f>
        <v>7.7663382083940222</v>
      </c>
      <c r="AN62" s="13">
        <f>(AL61*Population!$B$16*Population!M$43)+(AN61*Population!$B$15*Population!M$45)</f>
        <v>7.7663382083940222</v>
      </c>
      <c r="AO62" s="15">
        <f>(AM61+AN61)*Population!$B$16*Population!$M$45+AO61*Population!$B$15*Population!$M$47</f>
        <v>15.599653674395212</v>
      </c>
      <c r="AP62" s="5">
        <f>AO61*Population!M$47*Population!$B$16+AP61*Population!$B$15*Population!M$48</f>
        <v>16.350543779060356</v>
      </c>
      <c r="AQ62" s="5">
        <f>AP61*Population!M$48*Population!$B$16+AQ61*Population!$B$15*Population!M$49</f>
        <v>13.529946122112918</v>
      </c>
      <c r="AR62" s="5">
        <f>(AQ61*Population!$B$16+AR61)*Population!M$50</f>
        <v>31.5962043520157</v>
      </c>
      <c r="AS62">
        <f>AS61*(1-Population!$B$12)+M62</f>
        <v>60</v>
      </c>
    </row>
    <row r="63" spans="1:45">
      <c r="A63">
        <f>A62+Population!$B$2</f>
        <v>60</v>
      </c>
      <c r="B63" s="117">
        <f t="shared" si="1"/>
        <v>282</v>
      </c>
      <c r="C63" s="59">
        <f t="shared" si="25"/>
        <v>143</v>
      </c>
      <c r="D63" s="12">
        <f>AD62*Population!$P$36*Population!$C$2+AF62*Population!$P$38*Population!$C$2+AH62*Population!$P$40*Population!$C$2+AJ62*Population!$P$42*Population!$C$2+AL62*Population!$P$44*Population!$C$2+AN61*Population!$P$46*Population!$C$2</f>
        <v>2.9758290501554758</v>
      </c>
      <c r="E63" s="12">
        <f>IF(B62&gt;Population!$B$6*Population!$B$19,Population!$B$11,IF(Population!$J$6=1,D63,Population!$B$11*Population!$B$6*0.9/B62))</f>
        <v>2.8514203965783622</v>
      </c>
      <c r="F63" s="12">
        <f>IF(B62&gt;Population!$B$6*0.75,Population!$B$11,E63)</f>
        <v>2.8514203965783622</v>
      </c>
      <c r="G63" s="15">
        <f>IF(Population!$J$6=1,IF(E63&gt;H62,H62,E63),IF(E63&gt;X62,X62,E63))</f>
        <v>2.8514203965783622</v>
      </c>
      <c r="H63" s="15">
        <f t="shared" si="28"/>
        <v>43</v>
      </c>
      <c r="I63" s="15">
        <f t="shared" si="29"/>
        <v>59</v>
      </c>
      <c r="J63" s="12">
        <f t="shared" si="26"/>
        <v>1.3720930232558139</v>
      </c>
      <c r="K63" s="12">
        <f>AA63*Population!$O$33+AB63*Population!$O$34+AC63*Population!$O$35+AD63*Population!$O$36+AE63*Population!$O$37+AF63*Population!$O$38+AG63*Population!$O$39+AH63*Population!$O$40+AI63*Population!$O$41+AJ63*Population!$O$42+AK63*Population!$O$41+AL63*Population!$O$42+AM63*Population!$O$43+AN63*Population!$O$44+AO63*Population!$O$45+AP63*Population!$O$46+AQ63*Population!$O$47+AR63*Population!$O$48</f>
        <v>0.56695902047121172</v>
      </c>
      <c r="L63" s="12">
        <f t="shared" si="17"/>
        <v>6.631210224600842E-2</v>
      </c>
      <c r="M63" s="12">
        <f>Population!$C$12</f>
        <v>3.0312000000000006</v>
      </c>
      <c r="N63" s="12">
        <f t="shared" si="30"/>
        <v>1.3060301099328839</v>
      </c>
      <c r="O63" s="12">
        <f>I63/B63</f>
        <v>0.20921985815602837</v>
      </c>
      <c r="P63" s="12">
        <f>B63-I63-Q63*2</f>
        <v>147.74520837945704</v>
      </c>
      <c r="Q63" s="12">
        <f t="shared" si="19"/>
        <v>37.62739581027148</v>
      </c>
      <c r="R63" s="12">
        <f t="shared" si="20"/>
        <v>31.5962043520157</v>
      </c>
      <c r="S63" s="12">
        <f>SUM(AR63:AR63)/B63</f>
        <v>0.11289065957501868</v>
      </c>
      <c r="T63" s="12">
        <f t="shared" si="27"/>
        <v>0.87505571651794145</v>
      </c>
      <c r="U63" s="12">
        <f>Population!$B$17*MIN(Y62:Z62)</f>
        <v>1.4097505154047294</v>
      </c>
      <c r="V63" s="12">
        <f>X62*Population!$B$18</f>
        <v>0.22444357889849886</v>
      </c>
      <c r="W63" s="12">
        <f>AN62*T62*Population!$B$16</f>
        <v>0.96517427598455685</v>
      </c>
      <c r="X63" s="12">
        <f t="shared" si="24"/>
        <v>37.62739581027148</v>
      </c>
      <c r="Y63" s="14">
        <f t="shared" si="31"/>
        <v>5.6385859238646461</v>
      </c>
      <c r="Z63" s="13">
        <f t="shared" si="32"/>
        <v>5.6385859238646461</v>
      </c>
      <c r="AA63" s="18">
        <f>(G63+Population!$B$15*AA62)*Population!M$33</f>
        <v>19.901486426892959</v>
      </c>
      <c r="AB63" s="18">
        <f>AA62*Population!$B$16*Population!$M$33+AB62*Population!$B$15*Population!$M$34</f>
        <v>19.847784669779596</v>
      </c>
      <c r="AC63" s="14">
        <f>(AB62*Population!$B$16*0.5*Population!$M$34)+(AC62*Population!$B$15*Population!M$35)</f>
        <v>9.8197855763275523</v>
      </c>
      <c r="AD63" s="13">
        <f>(AB62*Population!$B$16*0.5*Population!$M$34)+(AD62*Population!$B$15*Population!M$35)</f>
        <v>9.8197855763275523</v>
      </c>
      <c r="AE63" s="14">
        <f>(AC62*Population!$B$16*Population!M$35)+(AE62*Population!$B$15*Population!M$37)</f>
        <v>9.6133430956124535</v>
      </c>
      <c r="AF63" s="13">
        <f>(AD62*Population!$B$16*Population!M$35)+(AF62*Population!$B$15*Population!M$37)</f>
        <v>9.6133430956124535</v>
      </c>
      <c r="AG63" s="14">
        <f>(AE62*Population!$B$16*Population!M$37)+(AG62*Population!$B$15*Population!M$39)</f>
        <v>9.1944611251255708</v>
      </c>
      <c r="AH63" s="13">
        <f>(AF62*Population!$B$16*Population!M$37)+(AH62*Population!$B$15*Population!M$39)</f>
        <v>9.1944611251255708</v>
      </c>
      <c r="AI63" s="14">
        <f>(AG62*Population!$B$16*Population!M$39)+(AI62*Population!$B$15*Population!M$41)</f>
        <v>8.6188280878525383</v>
      </c>
      <c r="AJ63" s="13">
        <f>(AH62*Population!$B$16*Population!M$39)+(AJ62*Population!$B$15*Population!M$41)</f>
        <v>8.6188280878525383</v>
      </c>
      <c r="AK63" s="14">
        <f>(AI62*Population!$B$16*Population!M$41)+(AK62*Population!$B$15*Population!M$43)</f>
        <v>8.0558154324474582</v>
      </c>
      <c r="AL63" s="13">
        <f>(AJ62*Population!$B$16*Population!M$41)+(AL62*Population!$B$15*Population!M$43)</f>
        <v>8.0558154324474582</v>
      </c>
      <c r="AM63" s="14">
        <f>(AK62*Population!$B$16*Population!M$43)+(AM62*Population!$B$15*Population!M$45)</f>
        <v>7.7835339930981062</v>
      </c>
      <c r="AN63" s="13">
        <f>(AL62*Population!$B$16*Population!M$43)+(AN62*Population!$B$15*Population!M$45)</f>
        <v>7.7835339930981062</v>
      </c>
      <c r="AO63" s="15">
        <f>(AM62+AN62)*Population!$B$16*Population!$M$45+AO62*Population!$B$15*Population!$M$47</f>
        <v>15.488884398514701</v>
      </c>
      <c r="AP63" s="5">
        <f>AO62*Population!M$47*Population!$B$16+AP62*Population!$B$15*Population!M$48</f>
        <v>16.125510029318409</v>
      </c>
      <c r="AQ63" s="5">
        <f>AP62*Population!M$48*Population!$B$16+AQ62*Population!$B$15*Population!M$49</f>
        <v>13.330068828686402</v>
      </c>
      <c r="AR63" s="5">
        <f>(AQ62*Population!$B$16+AR62)*Population!M$50</f>
        <v>31.835166000155265</v>
      </c>
      <c r="AS63">
        <f>AS62*(1-Population!$B$12)+M63</f>
        <v>60</v>
      </c>
    </row>
    <row r="64" spans="1:45">
      <c r="A64">
        <f>A63+Population!$B$2</f>
        <v>61</v>
      </c>
      <c r="B64" s="117">
        <f t="shared" si="1"/>
        <v>282</v>
      </c>
      <c r="C64" s="59">
        <f t="shared" si="25"/>
        <v>143</v>
      </c>
      <c r="D64" s="12">
        <f>AD63*Population!$P$36*Population!$C$2+AF63*Population!$P$38*Population!$C$2+AH63*Population!$P$40*Population!$C$2+AJ63*Population!$P$42*Population!$C$2+AL63*Population!$P$44*Population!$C$2+AN62*Population!$P$46*Population!$C$2</f>
        <v>2.9902235256563028</v>
      </c>
      <c r="E64" s="12">
        <f>IF(B63&gt;Population!$B$6*Population!$B$19,Population!$B$11,IF(Population!$J$6=1,D64,Population!$B$11*Population!$B$6*0.9/B63))</f>
        <v>2.8514203965783622</v>
      </c>
      <c r="F64" s="12">
        <f>IF(B63&gt;Population!$B$6*0.75,Population!$B$11,E64)</f>
        <v>2.8514203965783622</v>
      </c>
      <c r="G64" s="15">
        <f>IF(Population!$J$6=1,IF(E64&gt;H63,H63,E64),IF(E64&gt;X63,X63,E64))</f>
        <v>2.8514203965783622</v>
      </c>
      <c r="H64" s="15">
        <f t="shared" si="28"/>
        <v>43</v>
      </c>
      <c r="I64" s="15">
        <f t="shared" si="29"/>
        <v>59</v>
      </c>
      <c r="J64" s="12">
        <f t="shared" si="26"/>
        <v>1.3720930232558139</v>
      </c>
      <c r="K64" s="12">
        <f>AA64*Population!$O$33+AB64*Population!$O$34+AC64*Population!$O$35+AD64*Population!$O$36+AE64*Population!$O$37+AF64*Population!$O$38+AG64*Population!$O$39+AH64*Population!$O$40+AI64*Population!$O$41+AJ64*Population!$O$42+AK64*Population!$O$41+AL64*Population!$O$42+AM64*Population!$O$43+AN64*Population!$O$44+AO64*Population!$O$45+AP64*Population!$O$46+AQ64*Population!$O$47+AR64*Population!$O$48</f>
        <v>0.56723800824416937</v>
      </c>
      <c r="L64" s="12">
        <f t="shared" si="17"/>
        <v>6.631210224600842E-2</v>
      </c>
      <c r="M64" s="12">
        <f>Population!$C$12</f>
        <v>3.0312000000000006</v>
      </c>
      <c r="N64" s="12">
        <f t="shared" si="30"/>
        <v>1.312183893361021</v>
      </c>
      <c r="O64" s="12">
        <f>I64/B64</f>
        <v>0.20921985815602837</v>
      </c>
      <c r="P64" s="12">
        <f>B64-I64-Q64*2</f>
        <v>147.32345157164002</v>
      </c>
      <c r="Q64" s="12">
        <f t="shared" si="19"/>
        <v>37.838274214179982</v>
      </c>
      <c r="R64" s="12">
        <f t="shared" si="20"/>
        <v>31.835166000155265</v>
      </c>
      <c r="S64" s="12">
        <f>SUM(AR64:AR64)/B64</f>
        <v>0.11359909202039163</v>
      </c>
      <c r="T64" s="12">
        <f t="shared" si="27"/>
        <v>0.8799598654460461</v>
      </c>
      <c r="U64" s="12">
        <f>Population!$B$17*MIN(Y63:Z63)</f>
        <v>1.4096464809661615</v>
      </c>
      <c r="V64" s="12">
        <f>X63*Population!$B$18</f>
        <v>0.2257643748616289</v>
      </c>
      <c r="W64" s="12">
        <f>AN63*T63*Population!$B$16</f>
        <v>0.97300370219603094</v>
      </c>
      <c r="X64" s="12">
        <f t="shared" si="24"/>
        <v>37.838274214179982</v>
      </c>
      <c r="Y64" s="14">
        <f t="shared" si="31"/>
        <v>5.645624039634626</v>
      </c>
      <c r="Z64" s="13">
        <f t="shared" si="32"/>
        <v>5.645624039634626</v>
      </c>
      <c r="AA64" s="18">
        <f>(G64+Population!$B$15*AA63)*Population!M$33</f>
        <v>19.901753939957615</v>
      </c>
      <c r="AB64" s="18">
        <f>AA63*Population!$B$16*Population!$M$33+AB63*Population!$B$15*Population!$M$34</f>
        <v>19.850474276111001</v>
      </c>
      <c r="AC64" s="14">
        <f>(AB63*Population!$B$16*0.5*Population!$M$34)+(AC63*Population!$B$15*Population!M$35)</f>
        <v>9.8263176261649043</v>
      </c>
      <c r="AD64" s="13">
        <f>(AB63*Population!$B$16*0.5*Population!$M$34)+(AD63*Population!$B$15*Population!M$35)</f>
        <v>9.8263176261649043</v>
      </c>
      <c r="AE64" s="14">
        <f>(AC63*Population!$B$16*Population!M$35)+(AE63*Population!$B$15*Population!M$37)</f>
        <v>9.6336452569324749</v>
      </c>
      <c r="AF64" s="13">
        <f>(AD63*Population!$B$16*Population!M$35)+(AF63*Population!$B$15*Population!M$37)</f>
        <v>9.6336452569324749</v>
      </c>
      <c r="AG64" s="14">
        <f>(AE63*Population!$B$16*Population!M$37)+(AG63*Population!$B$15*Population!M$39)</f>
        <v>9.2378611626049025</v>
      </c>
      <c r="AH64" s="13">
        <f>(AF63*Population!$B$16*Population!M$37)+(AH63*Population!$B$15*Population!M$39)</f>
        <v>9.2378611626049025</v>
      </c>
      <c r="AI64" s="14">
        <f>(AG63*Population!$B$16*Population!M$39)+(AI63*Population!$B$15*Population!M$41)</f>
        <v>8.6843553410440713</v>
      </c>
      <c r="AJ64" s="13">
        <f>(AH63*Population!$B$16*Population!M$39)+(AJ63*Population!$B$15*Population!M$41)</f>
        <v>8.6843553410440713</v>
      </c>
      <c r="AK64" s="14">
        <f>(AI63*Population!$B$16*Population!M$41)+(AK63*Population!$B$15*Population!M$43)</f>
        <v>8.1206242198324023</v>
      </c>
      <c r="AL64" s="13">
        <f>(AJ63*Population!$B$16*Population!M$41)+(AL63*Population!$B$15*Population!M$43)</f>
        <v>8.1206242198324023</v>
      </c>
      <c r="AM64" s="14">
        <f>(AK63*Population!$B$16*Population!M$43)+(AM63*Population!$B$15*Population!M$45)</f>
        <v>7.8074122734007583</v>
      </c>
      <c r="AN64" s="13">
        <f>(AL63*Population!$B$16*Population!M$43)+(AN63*Population!$B$15*Population!M$45)</f>
        <v>7.8074122734007583</v>
      </c>
      <c r="AO64" s="15">
        <f>(AM63+AN63)*Population!$B$16*Population!$M$45+AO63*Population!$B$15*Population!$M$47</f>
        <v>15.399531305059362</v>
      </c>
      <c r="AP64" s="5">
        <f>AO63*Population!M$47*Population!$B$16+AP63*Population!$B$15*Population!M$48</f>
        <v>15.918312925180084</v>
      </c>
      <c r="AQ64" s="5">
        <f>AP63*Population!M$48*Population!$B$16+AQ63*Population!$B$15*Population!M$49</f>
        <v>13.135486084338979</v>
      </c>
      <c r="AR64" s="5">
        <f>(AQ63*Population!$B$16+AR63)*Population!M$50</f>
        <v>32.034943949750442</v>
      </c>
      <c r="AS64">
        <f>AS63*(1-Population!$B$12)+M64</f>
        <v>60</v>
      </c>
    </row>
    <row r="65" spans="1:45">
      <c r="A65">
        <f>A64+Population!$B$2</f>
        <v>62</v>
      </c>
      <c r="B65" s="117">
        <f t="shared" si="1"/>
        <v>283</v>
      </c>
      <c r="C65" s="59">
        <f t="shared" si="25"/>
        <v>144</v>
      </c>
      <c r="D65" s="12">
        <f>AD64*Population!$P$36*Population!$C$2+AF64*Population!$P$38*Population!$C$2+AH64*Population!$P$40*Population!$C$2+AJ64*Population!$P$42*Population!$C$2+AL64*Population!$P$44*Population!$C$2+AN63*Population!$P$46*Population!$C$2</f>
        <v>3.0040522346201306</v>
      </c>
      <c r="E65" s="12">
        <f>IF(B64&gt;Population!$B$6*Population!$B$19,Population!$B$11,IF(Population!$J$6=1,D65,Population!$B$11*Population!$B$6*0.9/B64))</f>
        <v>2.8514203965783622</v>
      </c>
      <c r="F65" s="12">
        <f>IF(B64&gt;Population!$B$6*0.75,Population!$B$11,E65)</f>
        <v>2.8514203965783622</v>
      </c>
      <c r="G65" s="15">
        <f>IF(Population!$J$6=1,IF(E65&gt;H64,H64,E65),IF(E65&gt;X64,X64,E65))</f>
        <v>2.8514203965783622</v>
      </c>
      <c r="H65" s="15">
        <f t="shared" si="28"/>
        <v>43</v>
      </c>
      <c r="I65" s="15">
        <f t="shared" si="29"/>
        <v>59</v>
      </c>
      <c r="J65" s="12">
        <f t="shared" si="26"/>
        <v>1.3720930232558139</v>
      </c>
      <c r="K65" s="12">
        <f>AA65*Population!$O$33+AB65*Population!$O$34+AC65*Population!$O$35+AD65*Population!$O$36+AE65*Population!$O$37+AF65*Population!$O$38+AG65*Population!$O$39+AH65*Population!$O$40+AI65*Population!$O$41+AJ65*Population!$O$42+AK65*Population!$O$41+AL65*Population!$O$42+AM65*Population!$O$43+AN65*Population!$O$44+AO65*Population!$O$45+AP65*Population!$O$46+AQ65*Population!$O$47+AR65*Population!$O$48</f>
        <v>0.56736696985489787</v>
      </c>
      <c r="L65" s="12">
        <f t="shared" si="17"/>
        <v>6.631210224600842E-2</v>
      </c>
      <c r="M65" s="12">
        <f>Population!$C$12</f>
        <v>3.0312000000000006</v>
      </c>
      <c r="N65" s="12">
        <f t="shared" si="30"/>
        <v>1.3179262819961226</v>
      </c>
      <c r="O65" s="12">
        <f>I65/B65</f>
        <v>0.20848056537102475</v>
      </c>
      <c r="P65" s="12">
        <f>B65-I65-Q65*2</f>
        <v>147.91761582913102</v>
      </c>
      <c r="Q65" s="12">
        <f t="shared" si="19"/>
        <v>38.041192085434481</v>
      </c>
      <c r="R65" s="12">
        <f t="shared" si="20"/>
        <v>32.034943949750442</v>
      </c>
      <c r="S65" s="12">
        <f>SUM(AR65:AR65)/B65</f>
        <v>0.11377468520808759</v>
      </c>
      <c r="T65" s="12">
        <f t="shared" si="27"/>
        <v>0.88467888570777864</v>
      </c>
      <c r="U65" s="12">
        <f>Population!$B$17*MIN(Y64:Z64)</f>
        <v>1.4114060099086565</v>
      </c>
      <c r="V65" s="12">
        <f>X64*Population!$B$18</f>
        <v>0.22702964528507991</v>
      </c>
      <c r="W65" s="12">
        <f>AN64*T64*Population!$B$16</f>
        <v>0.9814584933690772</v>
      </c>
      <c r="X65" s="12">
        <f t="shared" si="24"/>
        <v>38.041192085434481</v>
      </c>
      <c r="Y65" s="14">
        <f t="shared" si="31"/>
        <v>5.6577515477864466</v>
      </c>
      <c r="Z65" s="13">
        <f t="shared" si="32"/>
        <v>5.6577515477864466</v>
      </c>
      <c r="AA65" s="18">
        <f>(G65+Population!$B$15*AA64)*Population!M$33</f>
        <v>19.901983143775631</v>
      </c>
      <c r="AB65" s="18">
        <f>AA64*Population!$B$16*Population!$M$33+AB64*Population!$B$15*Population!$M$34</f>
        <v>19.852817334893036</v>
      </c>
      <c r="AC65" s="14">
        <f>(AB64*Population!$B$16*0.5*Population!$M$34)+(AC64*Population!$B$15*Population!M$35)</f>
        <v>9.8321032617860666</v>
      </c>
      <c r="AD65" s="13">
        <f>(AB64*Population!$B$16*0.5*Population!$M$34)+(AD64*Population!$B$15*Population!M$35)</f>
        <v>9.8321032617860666</v>
      </c>
      <c r="AE65" s="14">
        <f>(AC64*Population!$B$16*Population!M$35)+(AE64*Population!$B$15*Population!M$37)</f>
        <v>9.6519627862118398</v>
      </c>
      <c r="AF65" s="13">
        <f>(AD64*Population!$B$16*Population!M$35)+(AF64*Population!$B$15*Population!M$37)</f>
        <v>9.6519627862118398</v>
      </c>
      <c r="AG65" s="14">
        <f>(AE64*Population!$B$16*Population!M$37)+(AG64*Population!$B$15*Population!M$39)</f>
        <v>9.2778873154341177</v>
      </c>
      <c r="AH65" s="13">
        <f>(AF64*Population!$B$16*Population!M$37)+(AH64*Population!$B$15*Population!M$39)</f>
        <v>9.2778873154341177</v>
      </c>
      <c r="AI65" s="14">
        <f>(AG64*Population!$B$16*Population!M$39)+(AI64*Population!$B$15*Population!M$41)</f>
        <v>8.7466018202726143</v>
      </c>
      <c r="AJ65" s="13">
        <f>(AH64*Population!$B$16*Population!M$39)+(AJ64*Population!$B$15*Population!M$41)</f>
        <v>8.7466018202726143</v>
      </c>
      <c r="AK65" s="14">
        <f>(AI64*Population!$B$16*Population!M$41)+(AK64*Population!$B$15*Population!M$43)</f>
        <v>8.1854110152530311</v>
      </c>
      <c r="AL65" s="13">
        <f>(AJ64*Population!$B$16*Population!M$41)+(AL64*Population!$B$15*Population!M$43)</f>
        <v>8.1854110152530311</v>
      </c>
      <c r="AM65" s="14">
        <f>(AK64*Population!$B$16*Population!M$43)+(AM64*Population!$B$15*Population!M$45)</f>
        <v>7.8370806960493287</v>
      </c>
      <c r="AN65" s="13">
        <f>(AL64*Population!$B$16*Population!M$43)+(AN64*Population!$B$15*Population!M$45)</f>
        <v>7.8370806960493287</v>
      </c>
      <c r="AO65" s="15">
        <f>(AM64+AN64)*Population!$B$16*Population!$M$45+AO64*Population!$B$15*Population!$M$47</f>
        <v>15.330307471751109</v>
      </c>
      <c r="AP65" s="5">
        <f>AO64*Population!M$47*Population!$B$16+AP64*Population!$B$15*Population!M$48</f>
        <v>15.729330805990408</v>
      </c>
      <c r="AQ65" s="5">
        <f>AP64*Population!M$48*Population!$B$16+AQ64*Population!$B$15*Population!M$49</f>
        <v>12.947741874374511</v>
      </c>
      <c r="AR65" s="5">
        <f>(AQ64*Population!$B$16+AR64)*Population!M$50</f>
        <v>32.198235913888787</v>
      </c>
      <c r="AS65">
        <f>AS64*(1-Population!$B$12)+M65</f>
        <v>60</v>
      </c>
    </row>
    <row r="66" spans="1:45">
      <c r="A66">
        <f>A65+Population!$B$2</f>
        <v>63</v>
      </c>
      <c r="B66" s="117">
        <f t="shared" si="1"/>
        <v>283</v>
      </c>
      <c r="C66" s="59">
        <f t="shared" si="25"/>
        <v>145</v>
      </c>
      <c r="D66" s="12">
        <f>AD65*Population!$P$36*Population!$C$2+AF65*Population!$P$38*Population!$C$2+AH65*Population!$P$40*Population!$C$2+AJ65*Population!$P$42*Population!$C$2+AL65*Population!$P$44*Population!$C$2+AN64*Population!$P$46*Population!$C$2</f>
        <v>3.0173048836412271</v>
      </c>
      <c r="E66" s="12">
        <f>IF(B65&gt;Population!$B$6*Population!$B$19,Population!$B$11,IF(Population!$J$6=1,D66,Population!$B$11*Population!$B$6*0.9/B65))</f>
        <v>2.8514203965783622</v>
      </c>
      <c r="F66" s="12">
        <f>IF(B65&gt;Population!$B$6*0.75,Population!$B$11,E66)</f>
        <v>2.8514203965783622</v>
      </c>
      <c r="G66" s="15">
        <f>IF(Population!$J$6=1,IF(E66&gt;H65,H65,E66),IF(E66&gt;X65,X65,E66))</f>
        <v>2.8514203965783622</v>
      </c>
      <c r="H66" s="15">
        <f t="shared" si="28"/>
        <v>43</v>
      </c>
      <c r="I66" s="15">
        <f t="shared" si="29"/>
        <v>59</v>
      </c>
      <c r="J66" s="12">
        <f t="shared" ref="J66:J97" si="33">I66/H66</f>
        <v>1.3720930232558139</v>
      </c>
      <c r="K66" s="12">
        <f>AA66*Population!$O$33+AB66*Population!$O$34+AC66*Population!$O$35+AD66*Population!$O$36+AE66*Population!$O$37+AF66*Population!$O$38+AG66*Population!$O$39+AH66*Population!$O$40+AI66*Population!$O$41+AJ66*Population!$O$42+AK66*Population!$O$41+AL66*Population!$O$42+AM66*Population!$O$43+AN66*Population!$O$44+AO66*Population!$O$45+AP66*Population!$O$46+AQ66*Population!$O$47+AR66*Population!$O$48</f>
        <v>0.5673694280551872</v>
      </c>
      <c r="L66" s="12">
        <f t="shared" si="17"/>
        <v>6.631210224600842E-2</v>
      </c>
      <c r="M66" s="12">
        <f>Population!$C$12</f>
        <v>3.0312000000000006</v>
      </c>
      <c r="N66" s="12">
        <f t="shared" si="30"/>
        <v>1.3232751768591784</v>
      </c>
      <c r="O66" s="12">
        <f>I66/B66</f>
        <v>0.20848056537102475</v>
      </c>
      <c r="P66" s="12">
        <f>B66-I66-Q66*2</f>
        <v>147.52617716522957</v>
      </c>
      <c r="Q66" s="12">
        <f t="shared" si="19"/>
        <v>38.236911417385215</v>
      </c>
      <c r="R66" s="12">
        <f t="shared" si="20"/>
        <v>32.198235913888787</v>
      </c>
      <c r="S66" s="12">
        <f>SUM(AR66:AR66)/B66</f>
        <v>0.11423255386346036</v>
      </c>
      <c r="T66" s="12">
        <f t="shared" ref="T66:T97" si="34">X66/H66</f>
        <v>0.8892304980787259</v>
      </c>
      <c r="U66" s="12">
        <f>Population!$B$17*MIN(Y65:Z65)</f>
        <v>1.4144378869466117</v>
      </c>
      <c r="V66" s="12">
        <f>X65*Population!$B$18</f>
        <v>0.22824715251260688</v>
      </c>
      <c r="W66" s="12">
        <f>AN65*T65*Population!$B$16</f>
        <v>0.99047140248326604</v>
      </c>
      <c r="X66" s="12">
        <f t="shared" si="24"/>
        <v>38.236911417385215</v>
      </c>
      <c r="Y66" s="14">
        <f t="shared" si="31"/>
        <v>5.673277944397725</v>
      </c>
      <c r="Z66" s="13">
        <f t="shared" si="32"/>
        <v>5.673277944397725</v>
      </c>
      <c r="AA66" s="18">
        <f>(G66+Population!$B$15*AA65)*Population!M$33</f>
        <v>19.902179524428146</v>
      </c>
      <c r="AB66" s="18">
        <f>AA65*Population!$B$16*Population!$M$33+AB65*Population!$B$15*Population!$M$34</f>
        <v>19.854857949225053</v>
      </c>
      <c r="AC66" s="14">
        <f>(AB65*Population!$B$16*0.5*Population!$M$34)+(AC65*Population!$B$15*Population!M$35)</f>
        <v>9.8372249756802663</v>
      </c>
      <c r="AD66" s="13">
        <f>(AB65*Population!$B$16*0.5*Population!$M$34)+(AD65*Population!$B$15*Population!M$35)</f>
        <v>9.8372249756802663</v>
      </c>
      <c r="AE66" s="14">
        <f>(AC65*Population!$B$16*Population!M$35)+(AE65*Population!$B$15*Population!M$37)</f>
        <v>9.6684742944910091</v>
      </c>
      <c r="AF66" s="13">
        <f>(AD65*Population!$B$16*Population!M$35)+(AF65*Population!$B$15*Population!M$37)</f>
        <v>9.6684742944910091</v>
      </c>
      <c r="AG66" s="14">
        <f>(AE65*Population!$B$16*Population!M$37)+(AG65*Population!$B$15*Population!M$39)</f>
        <v>9.3147438709153558</v>
      </c>
      <c r="AH66" s="13">
        <f>(AF65*Population!$B$16*Population!M$37)+(AH65*Population!$B$15*Population!M$39)</f>
        <v>9.3147438709153558</v>
      </c>
      <c r="AI66" s="14">
        <f>(AG65*Population!$B$16*Population!M$39)+(AI65*Population!$B$15*Population!M$41)</f>
        <v>8.805560548636377</v>
      </c>
      <c r="AJ66" s="13">
        <f>(AH65*Population!$B$16*Population!M$39)+(AJ65*Population!$B$15*Population!M$41)</f>
        <v>8.805560548636377</v>
      </c>
      <c r="AK66" s="14">
        <f>(AI65*Population!$B$16*Population!M$41)+(AK65*Population!$B$15*Population!M$43)</f>
        <v>8.2497112144857372</v>
      </c>
      <c r="AL66" s="13">
        <f>(AJ65*Population!$B$16*Population!M$41)+(AL65*Population!$B$15*Population!M$43)</f>
        <v>8.2497112144857372</v>
      </c>
      <c r="AM66" s="14">
        <f>(AK65*Population!$B$16*Population!M$43)+(AM65*Population!$B$15*Population!M$45)</f>
        <v>7.8716994332544612</v>
      </c>
      <c r="AN66" s="13">
        <f>(AL65*Population!$B$16*Population!M$43)+(AN65*Population!$B$15*Population!M$45)</f>
        <v>7.8716994332544612</v>
      </c>
      <c r="AO66" s="15">
        <f>(AM65+AN65)*Population!$B$16*Population!$M$45+AO65*Population!$B$15*Population!$M$47</f>
        <v>15.279863351101618</v>
      </c>
      <c r="AP66" s="5">
        <f>AO65*Population!M$47*Population!$B$16+AP65*Population!$B$15*Population!M$48</f>
        <v>15.558703098351826</v>
      </c>
      <c r="AQ66" s="5">
        <f>AP65*Population!M$48*Population!$B$16+AQ65*Population!$B$15*Population!M$49</f>
        <v>12.768146412419092</v>
      </c>
      <c r="AR66" s="5">
        <f>(AQ65*Population!$B$16+AR65)*Population!M$50</f>
        <v>32.327812743359281</v>
      </c>
      <c r="AS66">
        <f>AS65*(1-Population!$B$12)+M66</f>
        <v>60</v>
      </c>
    </row>
    <row r="67" spans="1:45">
      <c r="A67">
        <f>A66+Population!$B$2</f>
        <v>64</v>
      </c>
      <c r="B67" s="117">
        <f t="shared" ref="B67:B115" si="35">FLOOR(SUM(AA67:AS67),1)</f>
        <v>283</v>
      </c>
      <c r="C67" s="59">
        <f t="shared" si="25"/>
        <v>145</v>
      </c>
      <c r="D67" s="12">
        <f>AD66*Population!$P$36*Population!$C$2+AF66*Population!$P$38*Population!$C$2+AH66*Population!$P$40*Population!$C$2+AJ66*Population!$P$42*Population!$C$2+AL66*Population!$P$44*Population!$C$2+AN65*Population!$P$46*Population!$C$2</f>
        <v>3.0299761919494412</v>
      </c>
      <c r="E67" s="12">
        <f>IF(B66&gt;Population!$B$6*Population!$B$19,Population!$B$11,IF(Population!$J$6=1,D67,Population!$B$11*Population!$B$6*0.9/B66))</f>
        <v>2.8514203965783622</v>
      </c>
      <c r="F67" s="12">
        <f>IF(B66&gt;Population!$B$6*0.75,Population!$B$11,E67)</f>
        <v>2.8514203965783622</v>
      </c>
      <c r="G67" s="15">
        <f>IF(Population!$J$6=1,IF(E67&gt;H66,H66,E67),IF(E67&gt;X66,X66,E67))</f>
        <v>2.8514203965783622</v>
      </c>
      <c r="H67" s="15">
        <f t="shared" si="28"/>
        <v>44</v>
      </c>
      <c r="I67" s="15">
        <f t="shared" si="29"/>
        <v>59</v>
      </c>
      <c r="J67" s="12">
        <f t="shared" si="33"/>
        <v>1.3409090909090908</v>
      </c>
      <c r="K67" s="12">
        <f>AA67*Population!$O$33+AB67*Population!$O$34+AC67*Population!$O$35+AD67*Population!$O$36+AE67*Population!$O$37+AF67*Population!$O$38+AG67*Population!$O$39+AH67*Population!$O$40+AI67*Population!$O$41+AJ67*Population!$O$42+AK67*Population!$O$41+AL67*Population!$O$42+AM67*Population!$O$43+AN67*Population!$O$44+AO67*Population!$O$45+AP67*Population!$O$46+AQ67*Population!$O$47+AR67*Population!$O$48</f>
        <v>0.56726759449368092</v>
      </c>
      <c r="L67" s="12">
        <f t="shared" si="17"/>
        <v>6.4805009013144593E-2</v>
      </c>
      <c r="M67" s="12">
        <f>Population!$C$12</f>
        <v>3.0312000000000006</v>
      </c>
      <c r="N67" s="12">
        <f t="shared" si="30"/>
        <v>1.3282490608352202</v>
      </c>
      <c r="O67" s="12">
        <f>I67/B67</f>
        <v>0.20848056537102475</v>
      </c>
      <c r="P67" s="12">
        <f>B67-I67-Q67*2</f>
        <v>147.14831118939901</v>
      </c>
      <c r="Q67" s="12">
        <f t="shared" si="19"/>
        <v>38.425844405300495</v>
      </c>
      <c r="R67" s="12">
        <f t="shared" si="20"/>
        <v>32.327812743359281</v>
      </c>
      <c r="S67" s="12">
        <f>SUM(AR67:AR67)/B67</f>
        <v>0.11458121209521306</v>
      </c>
      <c r="T67" s="12">
        <f t="shared" si="34"/>
        <v>0.87331464557501126</v>
      </c>
      <c r="U67" s="12">
        <f>Population!$B$17*MIN(Y66:Z66)</f>
        <v>1.4183194860994313</v>
      </c>
      <c r="V67" s="12">
        <f>X66*Population!$B$18</f>
        <v>0.2294214685043113</v>
      </c>
      <c r="W67" s="12">
        <f>AN66*T66*Population!$B$16</f>
        <v>0.99996502967984124</v>
      </c>
      <c r="X67" s="12">
        <f t="shared" si="24"/>
        <v>38.425844405300495</v>
      </c>
      <c r="Y67" s="14">
        <f t="shared" si="31"/>
        <v>5.6909959975414353</v>
      </c>
      <c r="Z67" s="13">
        <f t="shared" si="32"/>
        <v>5.6909959975414353</v>
      </c>
      <c r="AA67" s="18">
        <f>(G67+Population!$B$15*AA66)*Population!M$33</f>
        <v>19.902347782361261</v>
      </c>
      <c r="AB67" s="18">
        <f>AA66*Population!$B$16*Population!$M$33+AB66*Population!$B$15*Population!$M$34</f>
        <v>19.856634696665729</v>
      </c>
      <c r="AC67" s="14">
        <f>(AB66*Population!$B$16*0.5*Population!$M$34)+(AC66*Population!$B$15*Population!M$35)</f>
        <v>9.8417565578234125</v>
      </c>
      <c r="AD67" s="13">
        <f>(AB66*Population!$B$16*0.5*Population!$M$34)+(AD66*Population!$B$15*Population!M$35)</f>
        <v>9.8417565578234125</v>
      </c>
      <c r="AE67" s="14">
        <f>(AC66*Population!$B$16*Population!M$35)+(AE66*Population!$B$15*Population!M$37)</f>
        <v>9.6833445044583719</v>
      </c>
      <c r="AF67" s="13">
        <f>(AD66*Population!$B$16*Population!M$35)+(AF66*Population!$B$15*Population!M$37)</f>
        <v>9.6833445044583719</v>
      </c>
      <c r="AG67" s="14">
        <f>(AE66*Population!$B$16*Population!M$37)+(AG66*Population!$B$15*Population!M$39)</f>
        <v>9.3486310877982213</v>
      </c>
      <c r="AH67" s="13">
        <f>(AF66*Population!$B$16*Population!M$37)+(AH66*Population!$B$15*Population!M$39)</f>
        <v>9.3486310877982213</v>
      </c>
      <c r="AI67" s="14">
        <f>(AG66*Population!$B$16*Population!M$39)+(AI66*Population!$B$15*Population!M$41)</f>
        <v>8.8612546852830256</v>
      </c>
      <c r="AJ67" s="13">
        <f>(AH66*Population!$B$16*Population!M$39)+(AJ66*Population!$B$15*Population!M$41)</f>
        <v>8.8612546852830256</v>
      </c>
      <c r="AK67" s="14">
        <f>(AI66*Population!$B$16*Population!M$41)+(AK66*Population!$B$15*Population!M$43)</f>
        <v>8.3131263551580776</v>
      </c>
      <c r="AL67" s="13">
        <f>(AJ66*Population!$B$16*Population!M$41)+(AL66*Population!$B$15*Population!M$43)</f>
        <v>8.3131263551580776</v>
      </c>
      <c r="AM67" s="14">
        <f>(AK66*Population!$B$16*Population!M$43)+(AM66*Population!$B$15*Population!M$45)</f>
        <v>7.9104837701442285</v>
      </c>
      <c r="AN67" s="13">
        <f>(AL66*Population!$B$16*Population!M$43)+(AN66*Population!$B$15*Population!M$45)</f>
        <v>7.9104837701442285</v>
      </c>
      <c r="AO67" s="15">
        <f>(AM66+AN66)*Population!$B$16*Population!$M$45+AO66*Population!$B$15*Population!$M$47</f>
        <v>15.246811084503145</v>
      </c>
      <c r="AP67" s="5">
        <f>AO66*Population!M$47*Population!$B$16+AP66*Population!$B$15*Population!M$48</f>
        <v>15.406357049591255</v>
      </c>
      <c r="AQ67" s="5">
        <f>AP66*Population!M$48*Population!$B$16+AQ66*Population!$B$15*Population!M$49</f>
        <v>12.597785776410124</v>
      </c>
      <c r="AR67" s="5">
        <f>(AQ66*Population!$B$16+AR66)*Population!M$50</f>
        <v>32.426483022945298</v>
      </c>
      <c r="AS67">
        <f>AS66*(1-Population!$B$12)+M67</f>
        <v>60</v>
      </c>
    </row>
    <row r="68" spans="1:45">
      <c r="A68">
        <f>A67+Population!$B$2</f>
        <v>65</v>
      </c>
      <c r="B68" s="117">
        <f t="shared" si="35"/>
        <v>283</v>
      </c>
      <c r="C68" s="59">
        <f t="shared" ref="C68:C115" si="36">FLOOR(B68-I68-G68-SUM(AO68:AR68),1)</f>
        <v>145</v>
      </c>
      <c r="D68" s="12">
        <f>AD67*Population!$P$36*Population!$C$2+AF67*Population!$P$38*Population!$C$2+AH67*Population!$P$40*Population!$C$2+AJ67*Population!$P$42*Population!$C$2+AL67*Population!$P$44*Population!$C$2+AN66*Population!$P$46*Population!$C$2</f>
        <v>3.042065290981331</v>
      </c>
      <c r="E68" s="12">
        <f>IF(B67&gt;Population!$B$6*Population!$B$19,Population!$B$11,IF(Population!$J$6=1,D68,Population!$B$11*Population!$B$6*0.9/B67))</f>
        <v>2.8514203965783622</v>
      </c>
      <c r="F68" s="12">
        <f>IF(B67&gt;Population!$B$6*0.75,Population!$B$11,E68)</f>
        <v>2.8514203965783622</v>
      </c>
      <c r="G68" s="15">
        <f>IF(Population!$J$6=1,IF(E68&gt;H67,H67,E68),IF(E68&gt;X67,X67,E68))</f>
        <v>2.8514203965783622</v>
      </c>
      <c r="H68" s="15">
        <f t="shared" ref="H68:H103" si="37">FLOOR(AF68+AH68+AJ68+AL68+AN68,1)</f>
        <v>44</v>
      </c>
      <c r="I68" s="15">
        <f t="shared" ref="I68:I103" si="38">FLOOR(SUM(AA68:AD68),1)</f>
        <v>59</v>
      </c>
      <c r="J68" s="12">
        <f t="shared" si="33"/>
        <v>1.3409090909090908</v>
      </c>
      <c r="K68" s="12">
        <f>AA68*Population!$O$33+AB68*Population!$O$34+AC68*Population!$O$35+AD68*Population!$O$36+AE68*Population!$O$37+AF68*Population!$O$38+AG68*Population!$O$39+AH68*Population!$O$40+AI68*Population!$O$41+AJ68*Population!$O$42+AK68*Population!$O$41+AL68*Population!$O$42+AM68*Population!$O$43+AN68*Population!$O$44+AO68*Population!$O$45+AP68*Population!$O$46+AQ68*Population!$O$47+AR68*Population!$O$48</f>
        <v>0.56708227565524749</v>
      </c>
      <c r="L68" s="12">
        <f t="shared" ref="L68:L115" si="39">G68/H68</f>
        <v>6.4805009013144593E-2</v>
      </c>
      <c r="M68" s="12">
        <f>Population!$C$12</f>
        <v>3.0312000000000006</v>
      </c>
      <c r="N68" s="12">
        <f t="shared" ref="N68:N103" si="40">(AE68+AF68+AG68+AH68+AI68+AJ68)/21*0.5</f>
        <v>1.3328667331587376</v>
      </c>
      <c r="O68" s="12">
        <f>I68/B68</f>
        <v>0.20848056537102475</v>
      </c>
      <c r="P68" s="12">
        <f>B68-I68-Q68*2</f>
        <v>146.73773513207772</v>
      </c>
      <c r="Q68" s="12">
        <f t="shared" ref="Q68:Q115" si="41">MAX(X68,I68/2)</f>
        <v>38.631132433961142</v>
      </c>
      <c r="R68" s="12">
        <f t="shared" ref="R68:R103" si="42">SUM(AR67:AR67)</f>
        <v>32.426483022945298</v>
      </c>
      <c r="S68" s="12">
        <f>SUM(AR68:AR68)/B68</f>
        <v>0.1148306034040225</v>
      </c>
      <c r="T68" s="12">
        <f t="shared" si="34"/>
        <v>0.87798028259002592</v>
      </c>
      <c r="U68" s="12">
        <f>Population!$B$17*MIN(Y67:Z67)</f>
        <v>1.4227489993853588</v>
      </c>
      <c r="V68" s="12">
        <f>X67*Population!$B$18</f>
        <v>0.23055506643180299</v>
      </c>
      <c r="W68" s="12">
        <f>AN67*T67*Population!$B$16</f>
        <v>0.98690590429291225</v>
      </c>
      <c r="X68" s="12">
        <f t="shared" si="24"/>
        <v>38.631132433961142</v>
      </c>
      <c r="Y68" s="14">
        <f t="shared" ref="Y68:Y99" si="43">(AE68+AG68+AI68+AK68+AM68)-X68</f>
        <v>5.6870933898028895</v>
      </c>
      <c r="Z68" s="13">
        <f t="shared" ref="Z68:Z103" si="44">(AF68+AH68+AJ68+AL68+AN68)-X68</f>
        <v>5.6870933898028895</v>
      </c>
      <c r="AA68" s="18">
        <f>(G68+Population!$B$15*AA67)*Population!M$33</f>
        <v>19.902491944893026</v>
      </c>
      <c r="AB68" s="18">
        <f>AA67*Population!$B$16*Population!$M$33+AB67*Population!$B$15*Population!$M$34</f>
        <v>19.858181307473643</v>
      </c>
      <c r="AC68" s="14">
        <f>(AB67*Population!$B$16*0.5*Population!$M$34)+(AC67*Population!$B$15*Population!M$35)</f>
        <v>9.8457639514103317</v>
      </c>
      <c r="AD68" s="13">
        <f>(AB67*Population!$B$16*0.5*Population!$M$34)+(AD67*Population!$B$15*Population!M$35)</f>
        <v>9.8457639514103317</v>
      </c>
      <c r="AE68" s="14">
        <f>(AC67*Population!$B$16*Population!M$35)+(AE67*Population!$B$15*Population!M$37)</f>
        <v>9.6967250038139348</v>
      </c>
      <c r="AF68" s="13">
        <f>(AD67*Population!$B$16*Population!M$35)+(AF67*Population!$B$15*Population!M$37)</f>
        <v>9.6967250038139348</v>
      </c>
      <c r="AG68" s="14">
        <f>(AE67*Population!$B$16*Population!M$37)+(AG67*Population!$B$15*Population!M$39)</f>
        <v>9.379743796257646</v>
      </c>
      <c r="AH68" s="13">
        <f>(AF67*Population!$B$16*Population!M$37)+(AH67*Population!$B$15*Population!M$39)</f>
        <v>9.379743796257646</v>
      </c>
      <c r="AI68" s="14">
        <f>(AG67*Population!$B$16*Population!M$39)+(AI67*Population!$B$15*Population!M$41)</f>
        <v>8.9137325962619069</v>
      </c>
      <c r="AJ68" s="13">
        <f>(AH67*Population!$B$16*Population!M$39)+(AJ67*Population!$B$15*Population!M$41)</f>
        <v>8.9137325962619069</v>
      </c>
      <c r="AK68" s="14">
        <f>(AI67*Population!$B$16*Population!M$41)+(AK67*Population!$B$15*Population!M$43)</f>
        <v>8.3753188559463325</v>
      </c>
      <c r="AL68" s="13">
        <f>(AJ67*Population!$B$16*Population!M$41)+(AL67*Population!$B$15*Population!M$43)</f>
        <v>8.3753188559463325</v>
      </c>
      <c r="AM68" s="14">
        <f>(AK67*Population!$B$16*Population!M$43)+(AM67*Population!$B$15*Population!M$45)</f>
        <v>7.9527055714842119</v>
      </c>
      <c r="AN68" s="13">
        <f>(AL67*Population!$B$16*Population!M$43)+(AN67*Population!$B$15*Population!M$45)</f>
        <v>7.9527055714842119</v>
      </c>
      <c r="AO68" s="15">
        <f>(AM67+AN67)*Population!$B$16*Population!$M$45+AO67*Population!$B$15*Population!$M$47</f>
        <v>15.2297459296363</v>
      </c>
      <c r="AP68" s="5">
        <f>AO67*Population!M$47*Population!$B$16+AP67*Population!$B$15*Population!M$48</f>
        <v>15.272033924290117</v>
      </c>
      <c r="AQ68" s="5">
        <f>AP67*Population!M$48*Population!$B$16+AQ67*Population!$B$15*Population!M$49</f>
        <v>12.437533542128147</v>
      </c>
      <c r="AR68" s="5">
        <f>(AQ67*Population!$B$16+AR67)*Population!M$50</f>
        <v>32.497060763338368</v>
      </c>
      <c r="AS68">
        <f>AS67*(1-Population!$B$12)+M68</f>
        <v>60</v>
      </c>
    </row>
    <row r="69" spans="1:45">
      <c r="A69">
        <f>A68+Population!$B$2</f>
        <v>66</v>
      </c>
      <c r="B69" s="117">
        <f t="shared" si="35"/>
        <v>283</v>
      </c>
      <c r="C69" s="59">
        <f t="shared" si="36"/>
        <v>145</v>
      </c>
      <c r="D69" s="12">
        <f>AD68*Population!$P$36*Population!$C$2+AF68*Population!$P$38*Population!$C$2+AH68*Population!$P$40*Population!$C$2+AJ68*Population!$P$42*Population!$C$2+AL68*Population!$P$44*Population!$C$2+AN67*Population!$P$46*Population!$C$2</f>
        <v>3.053575166450897</v>
      </c>
      <c r="E69" s="12">
        <f>IF(B68&gt;Population!$B$6*Population!$B$19,Population!$B$11,IF(Population!$J$6=1,D69,Population!$B$11*Population!$B$6*0.9/B68))</f>
        <v>2.8514203965783622</v>
      </c>
      <c r="F69" s="12">
        <f>IF(B68&gt;Population!$B$6*0.75,Population!$B$11,E69)</f>
        <v>2.8514203965783622</v>
      </c>
      <c r="G69" s="15">
        <f>IF(Population!$J$6=1,IF(E69&gt;H68,H68,E69),IF(E69&gt;X68,X68,E69))</f>
        <v>2.8514203965783622</v>
      </c>
      <c r="H69" s="15">
        <f t="shared" si="37"/>
        <v>44</v>
      </c>
      <c r="I69" s="15">
        <f t="shared" si="38"/>
        <v>59</v>
      </c>
      <c r="J69" s="12">
        <f t="shared" si="33"/>
        <v>1.3409090909090908</v>
      </c>
      <c r="K69" s="12">
        <f>AA69*Population!$O$33+AB69*Population!$O$34+AC69*Population!$O$35+AD69*Population!$O$36+AE69*Population!$O$37+AF69*Population!$O$38+AG69*Population!$O$39+AH69*Population!$O$40+AI69*Population!$O$41+AJ69*Population!$O$42+AK69*Population!$O$41+AL69*Population!$O$42+AM69*Population!$O$43+AN69*Population!$O$44+AO69*Population!$O$45+AP69*Population!$O$46+AQ69*Population!$O$47+AR69*Population!$O$48</f>
        <v>0.56683280585928741</v>
      </c>
      <c r="L69" s="12">
        <f t="shared" si="39"/>
        <v>6.4805009013144593E-2</v>
      </c>
      <c r="M69" s="12">
        <f>Population!$C$12</f>
        <v>3.0312000000000006</v>
      </c>
      <c r="N69" s="12">
        <f t="shared" si="40"/>
        <v>1.337147083726572</v>
      </c>
      <c r="O69" s="12">
        <f>I69/B69</f>
        <v>0.20848056537102475</v>
      </c>
      <c r="P69" s="12">
        <f>B69-I69-Q69*2</f>
        <v>146.35271022210009</v>
      </c>
      <c r="Q69" s="12">
        <f t="shared" si="41"/>
        <v>38.823644888949964</v>
      </c>
      <c r="R69" s="12">
        <f t="shared" si="42"/>
        <v>32.497060763338368</v>
      </c>
      <c r="S69" s="12">
        <f>SUM(AR69:AR69)/B69</f>
        <v>0.11499058764391795</v>
      </c>
      <c r="T69" s="12">
        <f t="shared" si="34"/>
        <v>0.8823555656579537</v>
      </c>
      <c r="U69" s="12">
        <f>Population!$B$17*MIN(Y68:Z68)</f>
        <v>1.4217733474507224</v>
      </c>
      <c r="V69" s="12">
        <f>X68*Population!$B$18</f>
        <v>0.23178679460376686</v>
      </c>
      <c r="W69" s="12">
        <f>AN68*T68*Population!$B$16</f>
        <v>0.99747409785814023</v>
      </c>
      <c r="X69" s="12">
        <f t="shared" si="24"/>
        <v>38.823644888949964</v>
      </c>
      <c r="Y69" s="14">
        <f t="shared" si="43"/>
        <v>5.6901444688222327</v>
      </c>
      <c r="Z69" s="13">
        <f t="shared" si="44"/>
        <v>5.6901444688222327</v>
      </c>
      <c r="AA69" s="18">
        <f>(G69+Population!$B$15*AA68)*Population!M$33</f>
        <v>19.902615462608839</v>
      </c>
      <c r="AB69" s="18">
        <f>AA68*Population!$B$16*Population!$M$33+AB68*Population!$B$15*Population!$M$34</f>
        <v>19.859527261891454</v>
      </c>
      <c r="AC69" s="14">
        <f>(AB68*Population!$B$16*0.5*Population!$M$34)+(AC68*Population!$B$15*Population!M$35)</f>
        <v>9.8493060340753669</v>
      </c>
      <c r="AD69" s="13">
        <f>(AB68*Population!$B$16*0.5*Population!$M$34)+(AD68*Population!$B$15*Population!M$35)</f>
        <v>9.8493060340753669</v>
      </c>
      <c r="AE69" s="14">
        <f>(AC68*Population!$B$16*Population!M$35)+(AE68*Population!$B$15*Population!M$37)</f>
        <v>9.7087550125252076</v>
      </c>
      <c r="AF69" s="13">
        <f>(AD68*Population!$B$16*Population!M$35)+(AF68*Population!$B$15*Population!M$37)</f>
        <v>9.7087550125252076</v>
      </c>
      <c r="AG69" s="14">
        <f>(AE68*Population!$B$16*Population!M$37)+(AG68*Population!$B$15*Population!M$39)</f>
        <v>9.4082703076997571</v>
      </c>
      <c r="AH69" s="13">
        <f>(AF68*Population!$B$16*Population!M$37)+(AH68*Population!$B$15*Population!M$39)</f>
        <v>9.4082703076997571</v>
      </c>
      <c r="AI69" s="14">
        <f>(AG68*Population!$B$16*Population!M$39)+(AI68*Population!$B$15*Population!M$41)</f>
        <v>8.9630634380330481</v>
      </c>
      <c r="AJ69" s="13">
        <f>(AH68*Population!$B$16*Population!M$39)+(AJ68*Population!$B$15*Population!M$41)</f>
        <v>8.9630634380330481</v>
      </c>
      <c r="AK69" s="14">
        <f>(AI68*Population!$B$16*Population!M$41)+(AK68*Population!$B$15*Population!M$43)</f>
        <v>8.4360068131620825</v>
      </c>
      <c r="AL69" s="13">
        <f>(AJ68*Population!$B$16*Population!M$41)+(AL68*Population!$B$15*Population!M$43)</f>
        <v>8.4360068131620825</v>
      </c>
      <c r="AM69" s="14">
        <f>(AK68*Population!$B$16*Population!M$43)+(AM68*Population!$B$15*Population!M$45)</f>
        <v>7.997693786352098</v>
      </c>
      <c r="AN69" s="13">
        <f>(AL68*Population!$B$16*Population!M$43)+(AN68*Population!$B$15*Population!M$45)</f>
        <v>7.997693786352098</v>
      </c>
      <c r="AO69" s="15">
        <f>(AM68+AN68)*Population!$B$16*Population!$M$45+AO68*Population!$B$15*Population!$M$47</f>
        <v>15.227264911921793</v>
      </c>
      <c r="AP69" s="5">
        <f>AO68*Population!M$47*Population!$B$16+AP68*Population!$B$15*Population!M$48</f>
        <v>15.155314334525791</v>
      </c>
      <c r="AQ69" s="5">
        <f>AP68*Population!M$48*Population!$B$16+AQ68*Population!$B$15*Population!M$49</f>
        <v>12.288063966259717</v>
      </c>
      <c r="AR69" s="5">
        <f>(AQ68*Population!$B$16+AR68)*Population!M$50</f>
        <v>32.54233630322878</v>
      </c>
      <c r="AS69">
        <f>AS68*(1-Population!$B$12)+M69</f>
        <v>60</v>
      </c>
    </row>
    <row r="70" spans="1:45">
      <c r="A70">
        <f>A69+Population!$B$2</f>
        <v>67</v>
      </c>
      <c r="B70" s="117">
        <f t="shared" si="35"/>
        <v>283</v>
      </c>
      <c r="C70" s="59">
        <f t="shared" si="36"/>
        <v>146</v>
      </c>
      <c r="D70" s="12">
        <f>AD69*Population!$P$36*Population!$C$2+AF69*Population!$P$38*Population!$C$2+AH69*Population!$P$40*Population!$C$2+AJ69*Population!$P$42*Population!$C$2+AL69*Population!$P$44*Population!$C$2+AN68*Population!$P$46*Population!$C$2</f>
        <v>3.0645121422903521</v>
      </c>
      <c r="E70" s="12">
        <f>IF(B69&gt;Population!$B$6*Population!$B$19,Population!$B$11,IF(Population!$J$6=1,D70,Population!$B$11*Population!$B$6*0.9/B69))</f>
        <v>2.8514203965783622</v>
      </c>
      <c r="F70" s="12">
        <f>IF(B69&gt;Population!$B$6*0.75,Population!$B$11,E70)</f>
        <v>2.8514203965783622</v>
      </c>
      <c r="G70" s="15">
        <f>IF(Population!$J$6=1,IF(E70&gt;H69,H69,E70),IF(E70&gt;X69,X69,E70))</f>
        <v>2.8514203965783622</v>
      </c>
      <c r="H70" s="15">
        <f t="shared" si="37"/>
        <v>44</v>
      </c>
      <c r="I70" s="15">
        <f t="shared" si="38"/>
        <v>59</v>
      </c>
      <c r="J70" s="12">
        <f t="shared" si="33"/>
        <v>1.3409090909090908</v>
      </c>
      <c r="K70" s="12">
        <f>AA70*Population!$O$33+AB70*Population!$O$34+AC70*Population!$O$35+AD70*Population!$O$36+AE70*Population!$O$37+AF70*Population!$O$38+AG70*Population!$O$39+AH70*Population!$O$40+AI70*Population!$O$41+AJ70*Population!$O$42+AK70*Population!$O$41+AL70*Population!$O$42+AM70*Population!$O$43+AN70*Population!$O$44+AO70*Population!$O$45+AP70*Population!$O$46+AQ70*Population!$O$47+AR70*Population!$O$48</f>
        <v>0.56653700496605919</v>
      </c>
      <c r="L70" s="12">
        <f t="shared" si="39"/>
        <v>6.4805009013144593E-2</v>
      </c>
      <c r="M70" s="12">
        <f>Population!$C$12</f>
        <v>3.0312000000000006</v>
      </c>
      <c r="N70" s="12">
        <f t="shared" si="40"/>
        <v>1.3411089031752907</v>
      </c>
      <c r="O70" s="12">
        <f>I70/B70</f>
        <v>0.20848056537102475</v>
      </c>
      <c r="P70" s="12">
        <f>B70-I70-Q70*2</f>
        <v>145.98975304773228</v>
      </c>
      <c r="Q70" s="12">
        <f t="shared" si="41"/>
        <v>39.005123476133853</v>
      </c>
      <c r="R70" s="12">
        <f t="shared" si="42"/>
        <v>32.54233630322878</v>
      </c>
      <c r="S70" s="12">
        <f>SUM(AR70:AR70)/B70</f>
        <v>0.11507084971580611</v>
      </c>
      <c r="T70" s="12">
        <f t="shared" si="34"/>
        <v>0.88648007900304215</v>
      </c>
      <c r="U70" s="12">
        <f>Population!$B$17*MIN(Y69:Z69)</f>
        <v>1.4225361172055582</v>
      </c>
      <c r="V70" s="12">
        <f>X69*Population!$B$18</f>
        <v>0.23294186933369979</v>
      </c>
      <c r="W70" s="12">
        <f>AN69*T69*Population!$B$16</f>
        <v>1.0081156606879722</v>
      </c>
      <c r="X70" s="12">
        <f t="shared" si="24"/>
        <v>39.005123476133853</v>
      </c>
      <c r="Y70" s="14">
        <f t="shared" si="43"/>
        <v>5.6979565480460437</v>
      </c>
      <c r="Z70" s="13">
        <f t="shared" si="44"/>
        <v>5.6979565480460437</v>
      </c>
      <c r="AA70" s="18">
        <f>(G70+Population!$B$15*AA69)*Population!M$33</f>
        <v>19.902721291952513</v>
      </c>
      <c r="AB70" s="18">
        <f>AA69*Population!$B$16*Population!$M$33+AB69*Population!$B$15*Population!$M$34</f>
        <v>19.860698315753741</v>
      </c>
      <c r="AC70" s="14">
        <f>(AB69*Population!$B$16*0.5*Population!$M$34)+(AC69*Population!$B$15*Population!M$35)</f>
        <v>9.852435329525445</v>
      </c>
      <c r="AD70" s="13">
        <f>(AB69*Population!$B$16*0.5*Population!$M$34)+(AD69*Population!$B$15*Population!M$35)</f>
        <v>9.852435329525445</v>
      </c>
      <c r="AE70" s="14">
        <f>(AC69*Population!$B$16*Population!M$35)+(AE69*Population!$B$15*Population!M$37)</f>
        <v>9.7195621513449311</v>
      </c>
      <c r="AF70" s="13">
        <f>(AD69*Population!$B$16*Population!M$35)+(AF69*Population!$B$15*Population!M$37)</f>
        <v>9.7195621513449311</v>
      </c>
      <c r="AG70" s="14">
        <f>(AE69*Population!$B$16*Population!M$37)+(AG69*Population!$B$15*Population!M$39)</f>
        <v>9.4343915916074437</v>
      </c>
      <c r="AH70" s="13">
        <f>(AF69*Population!$B$16*Population!M$37)+(AH69*Population!$B$15*Population!M$39)</f>
        <v>9.4343915916074437</v>
      </c>
      <c r="AI70" s="14">
        <f>(AG69*Population!$B$16*Population!M$39)+(AI69*Population!$B$15*Population!M$41)</f>
        <v>9.0093332237287314</v>
      </c>
      <c r="AJ70" s="13">
        <f>(AH69*Population!$B$16*Population!M$39)+(AJ69*Population!$B$15*Population!M$41)</f>
        <v>9.0093332237287314</v>
      </c>
      <c r="AK70" s="14">
        <f>(AI69*Population!$B$16*Population!M$41)+(AK69*Population!$B$15*Population!M$43)</f>
        <v>8.4949589195309851</v>
      </c>
      <c r="AL70" s="13">
        <f>(AJ69*Population!$B$16*Population!M$41)+(AL69*Population!$B$15*Population!M$43)</f>
        <v>8.4949589195309851</v>
      </c>
      <c r="AM70" s="14">
        <f>(AK69*Population!$B$16*Population!M$43)+(AM69*Population!$B$15*Population!M$45)</f>
        <v>8.0448341379678041</v>
      </c>
      <c r="AN70" s="13">
        <f>(AL69*Population!$B$16*Population!M$43)+(AN69*Population!$B$15*Population!M$45)</f>
        <v>8.0448341379678041</v>
      </c>
      <c r="AO70" s="15">
        <f>(AM69+AN69)*Population!$B$16*Population!$M$45+AO69*Population!$B$15*Population!$M$47</f>
        <v>15.23798283948954</v>
      </c>
      <c r="AP70" s="5">
        <f>AO69*Population!M$47*Population!$B$16+AP69*Population!$B$15*Population!M$48</f>
        <v>15.055642439273319</v>
      </c>
      <c r="AQ70" s="5">
        <f>AP69*Population!M$48*Population!$B$16+AQ69*Population!$B$15*Population!M$49</f>
        <v>12.149866307672307</v>
      </c>
      <c r="AR70" s="5">
        <f>(AQ69*Population!$B$16+AR69)*Population!M$50</f>
        <v>32.56505046957313</v>
      </c>
      <c r="AS70">
        <f>AS69*(1-Population!$B$12)+M70</f>
        <v>60</v>
      </c>
    </row>
    <row r="71" spans="1:45">
      <c r="A71">
        <f>A70+Population!$B$2</f>
        <v>68</v>
      </c>
      <c r="B71" s="117">
        <f t="shared" si="35"/>
        <v>284</v>
      </c>
      <c r="C71" s="59">
        <f t="shared" si="36"/>
        <v>147</v>
      </c>
      <c r="D71" s="12">
        <f>AD70*Population!$P$36*Population!$C$2+AF70*Population!$P$38*Population!$C$2+AH70*Population!$P$40*Population!$C$2+AJ70*Population!$P$42*Population!$C$2+AL70*Population!$P$44*Population!$C$2+AN69*Population!$P$46*Population!$C$2</f>
        <v>3.0748854054928523</v>
      </c>
      <c r="E71" s="12">
        <f>IF(B70&gt;Population!$B$6*Population!$B$19,Population!$B$11,IF(Population!$J$6=1,D71,Population!$B$11*Population!$B$6*0.9/B70))</f>
        <v>2.8514203965783622</v>
      </c>
      <c r="F71" s="12">
        <f>IF(B70&gt;Population!$B$6*0.75,Population!$B$11,E71)</f>
        <v>2.8514203965783622</v>
      </c>
      <c r="G71" s="15">
        <f>IF(Population!$J$6=1,IF(E71&gt;H70,H70,E71),IF(E71&gt;X70,X70,E71))</f>
        <v>2.8514203965783622</v>
      </c>
      <c r="H71" s="15">
        <f t="shared" si="37"/>
        <v>44</v>
      </c>
      <c r="I71" s="15">
        <f t="shared" si="38"/>
        <v>59</v>
      </c>
      <c r="J71" s="12">
        <f t="shared" si="33"/>
        <v>1.3409090909090908</v>
      </c>
      <c r="K71" s="12">
        <f>AA71*Population!$O$33+AB71*Population!$O$34+AC71*Population!$O$35+AD71*Population!$O$36+AE71*Population!$O$37+AF71*Population!$O$38+AG71*Population!$O$39+AH71*Population!$O$40+AI71*Population!$O$41+AJ71*Population!$O$42+AK71*Population!$O$41+AL71*Population!$O$42+AM71*Population!$O$43+AN71*Population!$O$44+AO71*Population!$O$45+AP71*Population!$O$46+AQ71*Population!$O$47+AR71*Population!$O$48</f>
        <v>0.56621115837134983</v>
      </c>
      <c r="L71" s="12">
        <f t="shared" si="39"/>
        <v>6.4805009013144593E-2</v>
      </c>
      <c r="M71" s="12">
        <f>Population!$C$12</f>
        <v>3.0312000000000006</v>
      </c>
      <c r="N71" s="12">
        <f t="shared" si="40"/>
        <v>1.3447707249037775</v>
      </c>
      <c r="O71" s="12">
        <f>I71/B71</f>
        <v>0.20774647887323944</v>
      </c>
      <c r="P71" s="12">
        <f>B71-I71-Q71*2</f>
        <v>146.64643202747774</v>
      </c>
      <c r="Q71" s="12">
        <f t="shared" si="41"/>
        <v>39.176783986261128</v>
      </c>
      <c r="R71" s="12">
        <f t="shared" si="42"/>
        <v>32.56505046957313</v>
      </c>
      <c r="S71" s="12">
        <f>SUM(AR71:AR71)/B71</f>
        <v>0.11467560558388369</v>
      </c>
      <c r="T71" s="12">
        <f t="shared" si="34"/>
        <v>0.89038145423320747</v>
      </c>
      <c r="U71" s="12">
        <f>Population!$B$17*MIN(Y70:Z70)</f>
        <v>1.4244891370115109</v>
      </c>
      <c r="V71" s="12">
        <f>X70*Population!$B$18</f>
        <v>0.23403074085680312</v>
      </c>
      <c r="W71" s="12">
        <f>AN70*T70*Population!$B$16</f>
        <v>1.0187978860274385</v>
      </c>
      <c r="X71" s="12">
        <f t="shared" si="24"/>
        <v>39.176783986261128</v>
      </c>
      <c r="Y71" s="14">
        <f t="shared" si="43"/>
        <v>5.7089589269060568</v>
      </c>
      <c r="Z71" s="13">
        <f t="shared" si="44"/>
        <v>5.7089589269060568</v>
      </c>
      <c r="AA71" s="18">
        <f>(G71+Population!$B$15*AA70)*Population!M$33</f>
        <v>19.902811965989905</v>
      </c>
      <c r="AB71" s="18">
        <f>AA70*Population!$B$16*Population!$M$33+AB70*Population!$B$15*Population!$M$34</f>
        <v>19.861716962700594</v>
      </c>
      <c r="AC71" s="14">
        <f>(AB70*Population!$B$16*0.5*Population!$M$34)+(AC70*Population!$B$15*Population!M$35)</f>
        <v>9.8551986544649708</v>
      </c>
      <c r="AD71" s="13">
        <f>(AB70*Population!$B$16*0.5*Population!$M$34)+(AD70*Population!$B$15*Population!M$35)</f>
        <v>9.8551986544649708</v>
      </c>
      <c r="AE71" s="14">
        <f>(AC70*Population!$B$16*Population!M$35)+(AE70*Population!$B$15*Population!M$37)</f>
        <v>9.7292632014778011</v>
      </c>
      <c r="AF71" s="13">
        <f>(AD70*Population!$B$16*Population!M$35)+(AF70*Population!$B$15*Population!M$37)</f>
        <v>9.7292632014778011</v>
      </c>
      <c r="AG71" s="14">
        <f>(AE70*Population!$B$16*Population!M$37)+(AG70*Population!$B$15*Population!M$39)</f>
        <v>9.4582806810177225</v>
      </c>
      <c r="AH71" s="13">
        <f>(AF70*Population!$B$16*Population!M$37)+(AH70*Population!$B$15*Population!M$39)</f>
        <v>9.4582806810177225</v>
      </c>
      <c r="AI71" s="14">
        <f>(AG70*Population!$B$16*Population!M$39)+(AI70*Population!$B$15*Population!M$41)</f>
        <v>9.0526413404837989</v>
      </c>
      <c r="AJ71" s="13">
        <f>(AH70*Population!$B$16*Population!M$39)+(AJ70*Population!$B$15*Population!M$41)</f>
        <v>9.0526413404837989</v>
      </c>
      <c r="AK71" s="14">
        <f>(AI70*Population!$B$16*Population!M$41)+(AK70*Population!$B$15*Population!M$43)</f>
        <v>8.551989556338869</v>
      </c>
      <c r="AL71" s="13">
        <f>(AJ70*Population!$B$16*Population!M$41)+(AL70*Population!$B$15*Population!M$43)</f>
        <v>8.551989556338869</v>
      </c>
      <c r="AM71" s="14">
        <f>(AK70*Population!$B$16*Population!M$43)+(AM70*Population!$B$15*Population!M$45)</f>
        <v>8.09356813384899</v>
      </c>
      <c r="AN71" s="13">
        <f>(AL70*Population!$B$16*Population!M$43)+(AN70*Population!$B$15*Population!M$45)</f>
        <v>8.09356813384899</v>
      </c>
      <c r="AO71" s="15">
        <f>(AM70+AN70)*Population!$B$16*Population!$M$45+AO70*Population!$B$15*Population!$M$47</f>
        <v>15.260545842323609</v>
      </c>
      <c r="AP71" s="5">
        <f>AO70*Population!M$47*Population!$B$16+AP70*Population!$B$15*Population!M$48</f>
        <v>14.972348807633537</v>
      </c>
      <c r="AQ71" s="5">
        <f>AP70*Population!M$48*Population!$B$16+AQ70*Population!$B$15*Population!M$49</f>
        <v>12.0232599146344</v>
      </c>
      <c r="AR71" s="5">
        <f>(AQ70*Population!$B$16+AR70)*Population!M$50</f>
        <v>32.567871985822968</v>
      </c>
      <c r="AS71">
        <f>AS70*(1-Population!$B$12)+M71</f>
        <v>60</v>
      </c>
    </row>
    <row r="72" spans="1:45">
      <c r="A72">
        <f>A71+Population!$B$2</f>
        <v>69</v>
      </c>
      <c r="B72" s="117">
        <f t="shared" si="35"/>
        <v>284</v>
      </c>
      <c r="C72" s="59">
        <f t="shared" si="36"/>
        <v>147</v>
      </c>
      <c r="D72" s="12">
        <f>AD71*Population!$P$36*Population!$C$2+AF71*Population!$P$38*Population!$C$2+AH71*Population!$P$40*Population!$C$2+AJ71*Population!$P$42*Population!$C$2+AL71*Population!$P$44*Population!$C$2+AN70*Population!$P$46*Population!$C$2</f>
        <v>3.084706570610654</v>
      </c>
      <c r="E72" s="12">
        <f>IF(B71&gt;Population!$B$6*Population!$B$19,Population!$B$11,IF(Population!$J$6=1,D72,Population!$B$11*Population!$B$6*0.9/B71))</f>
        <v>2.8514203965783622</v>
      </c>
      <c r="F72" s="12">
        <f>IF(B71&gt;Population!$B$6*0.75,Population!$B$11,E72)</f>
        <v>2.8514203965783622</v>
      </c>
      <c r="G72" s="15">
        <f>IF(Population!$J$6=1,IF(E72&gt;H71,H71,E72),IF(E72&gt;X71,X71,E72))</f>
        <v>2.8514203965783622</v>
      </c>
      <c r="H72" s="15">
        <f t="shared" si="37"/>
        <v>45</v>
      </c>
      <c r="I72" s="15">
        <f t="shared" si="38"/>
        <v>59</v>
      </c>
      <c r="J72" s="12">
        <f t="shared" si="33"/>
        <v>1.3111111111111111</v>
      </c>
      <c r="K72" s="12">
        <f>AA72*Population!$O$33+AB72*Population!$O$34+AC72*Population!$O$35+AD72*Population!$O$36+AE72*Population!$O$37+AF72*Population!$O$38+AG72*Population!$O$39+AH72*Population!$O$40+AI72*Population!$O$41+AJ72*Population!$O$42+AK72*Population!$O$41+AL72*Population!$O$42+AM72*Population!$O$43+AN72*Population!$O$44+AO72*Population!$O$45+AP72*Population!$O$46+AQ72*Population!$O$47+AR72*Population!$O$48</f>
        <v>0.56587001685248695</v>
      </c>
      <c r="L72" s="12">
        <f t="shared" si="39"/>
        <v>6.3364897701741377E-2</v>
      </c>
      <c r="M72" s="12">
        <f>Population!$C$12</f>
        <v>3.0312000000000006</v>
      </c>
      <c r="N72" s="12">
        <f t="shared" si="40"/>
        <v>1.3481506954769145</v>
      </c>
      <c r="O72" s="12">
        <f>I72/B72</f>
        <v>0.20774647887323944</v>
      </c>
      <c r="P72" s="12">
        <f>B72-I72-Q72*2</f>
        <v>146.32103481898901</v>
      </c>
      <c r="Q72" s="12">
        <f t="shared" si="41"/>
        <v>39.339482590505504</v>
      </c>
      <c r="R72" s="12">
        <f t="shared" si="42"/>
        <v>32.567871985822968</v>
      </c>
      <c r="S72" s="12">
        <f>SUM(AR72:AR72)/B72</f>
        <v>0.11462457066169085</v>
      </c>
      <c r="T72" s="12">
        <f t="shared" si="34"/>
        <v>0.87421072423345569</v>
      </c>
      <c r="U72" s="12">
        <f>Population!$B$17*MIN(Y71:Z71)</f>
        <v>1.4272397317265142</v>
      </c>
      <c r="V72" s="12">
        <f>X71*Population!$B$18</f>
        <v>0.23506070391756678</v>
      </c>
      <c r="W72" s="12">
        <f>AN71*T71*Population!$B$16</f>
        <v>1.0294804235645729</v>
      </c>
      <c r="X72" s="12">
        <f t="shared" si="24"/>
        <v>39.339482590505504</v>
      </c>
      <c r="Y72" s="14">
        <f t="shared" si="43"/>
        <v>5.722027631943547</v>
      </c>
      <c r="Z72" s="13">
        <f t="shared" si="44"/>
        <v>5.722027631943547</v>
      </c>
      <c r="AA72" s="18">
        <f>(G72+Population!$B$15*AA71)*Population!M$33</f>
        <v>19.90288965503882</v>
      </c>
      <c r="AB72" s="18">
        <f>AA71*Population!$B$16*Population!$M$33+AB71*Population!$B$15*Population!$M$34</f>
        <v>19.862602840376518</v>
      </c>
      <c r="AC72" s="14">
        <f>(AB71*Population!$B$16*0.5*Population!$M$34)+(AC71*Population!$B$15*Population!M$35)</f>
        <v>9.8576377055822277</v>
      </c>
      <c r="AD72" s="13">
        <f>(AB71*Population!$B$16*0.5*Population!$M$34)+(AD71*Population!$B$15*Population!M$35)</f>
        <v>9.8576377055822277</v>
      </c>
      <c r="AE72" s="14">
        <f>(AC71*Population!$B$16*Population!M$35)+(AE71*Population!$B$15*Population!M$37)</f>
        <v>9.7379648474325755</v>
      </c>
      <c r="AF72" s="13">
        <f>(AD71*Population!$B$16*Population!M$35)+(AF71*Population!$B$15*Population!M$37)</f>
        <v>9.7379648474325755</v>
      </c>
      <c r="AG72" s="14">
        <f>(AE71*Population!$B$16*Population!M$37)+(AG71*Population!$B$15*Population!M$39)</f>
        <v>9.4801022723296864</v>
      </c>
      <c r="AH72" s="13">
        <f>(AF71*Population!$B$16*Population!M$37)+(AH71*Population!$B$15*Population!M$39)</f>
        <v>9.4801022723296864</v>
      </c>
      <c r="AI72" s="14">
        <f>(AG71*Population!$B$16*Population!M$39)+(AI71*Population!$B$15*Population!M$41)</f>
        <v>9.093097485252942</v>
      </c>
      <c r="AJ72" s="13">
        <f>(AH71*Population!$B$16*Population!M$39)+(AJ71*Population!$B$15*Population!M$41)</f>
        <v>9.093097485252942</v>
      </c>
      <c r="AK72" s="14">
        <f>(AI71*Population!$B$16*Population!M$41)+(AK71*Population!$B$15*Population!M$43)</f>
        <v>8.606954098207753</v>
      </c>
      <c r="AL72" s="13">
        <f>(AJ71*Population!$B$16*Population!M$41)+(AL71*Population!$B$15*Population!M$43)</f>
        <v>8.606954098207753</v>
      </c>
      <c r="AM72" s="14">
        <f>(AK71*Population!$B$16*Population!M$43)+(AM71*Population!$B$15*Population!M$45)</f>
        <v>8.1433915192260997</v>
      </c>
      <c r="AN72" s="13">
        <f>(AL71*Population!$B$16*Population!M$43)+(AN71*Population!$B$15*Population!M$45)</f>
        <v>8.1433915192260997</v>
      </c>
      <c r="AO72" s="15">
        <f>(AM71+AN71)*Population!$B$16*Population!$M$45+AO71*Population!$B$15*Population!$M$47</f>
        <v>15.293642610837798</v>
      </c>
      <c r="AP72" s="5">
        <f>AO71*Population!M$47*Population!$B$16+AP71*Population!$B$15*Population!M$48</f>
        <v>14.90467179394799</v>
      </c>
      <c r="AQ72" s="5">
        <f>AP71*Population!M$48*Population!$B$16+AQ71*Population!$B$15*Population!M$49</f>
        <v>11.908409745894375</v>
      </c>
      <c r="AR72" s="5">
        <f>(AQ71*Population!$B$16+AR71)*Population!M$50</f>
        <v>32.5533780679202</v>
      </c>
      <c r="AS72">
        <f>AS71*(1-Population!$B$12)+M72</f>
        <v>60</v>
      </c>
    </row>
    <row r="73" spans="1:45">
      <c r="A73">
        <f>A72+Population!$B$2</f>
        <v>70</v>
      </c>
      <c r="B73" s="117">
        <f t="shared" si="35"/>
        <v>284</v>
      </c>
      <c r="C73" s="59">
        <f t="shared" si="36"/>
        <v>147</v>
      </c>
      <c r="D73" s="12">
        <f>AD72*Population!$P$36*Population!$C$2+AF72*Population!$P$38*Population!$C$2+AH72*Population!$P$40*Population!$C$2+AJ72*Population!$P$42*Population!$C$2+AL72*Population!$P$44*Population!$C$2+AN71*Population!$P$46*Population!$C$2</f>
        <v>3.09398928243797</v>
      </c>
      <c r="E73" s="12">
        <f>IF(B72&gt;Population!$B$6*Population!$B$19,Population!$B$11,IF(Population!$J$6=1,D73,Population!$B$11*Population!$B$6*0.9/B72))</f>
        <v>2.8514203965783622</v>
      </c>
      <c r="F73" s="12">
        <f>IF(B72&gt;Population!$B$6*0.75,Population!$B$11,E73)</f>
        <v>2.8514203965783622</v>
      </c>
      <c r="G73" s="15">
        <f>IF(Population!$J$6=1,IF(E73&gt;H72,H72,E73),IF(E73&gt;X72,X72,E73))</f>
        <v>2.8514203965783622</v>
      </c>
      <c r="H73" s="15">
        <f t="shared" si="37"/>
        <v>45</v>
      </c>
      <c r="I73" s="15">
        <f t="shared" si="38"/>
        <v>59</v>
      </c>
      <c r="J73" s="12">
        <f t="shared" si="33"/>
        <v>1.3111111111111111</v>
      </c>
      <c r="K73" s="12">
        <f>AA73*Population!$O$33+AB73*Population!$O$34+AC73*Population!$O$35+AD73*Population!$O$36+AE73*Population!$O$37+AF73*Population!$O$38+AG73*Population!$O$39+AH73*Population!$O$40+AI73*Population!$O$41+AJ73*Population!$O$42+AK73*Population!$O$41+AL73*Population!$O$42+AM73*Population!$O$43+AN73*Population!$O$44+AO73*Population!$O$45+AP73*Population!$O$46+AQ73*Population!$O$47+AR73*Population!$O$48</f>
        <v>0.56552681385501913</v>
      </c>
      <c r="L73" s="12">
        <f t="shared" si="39"/>
        <v>6.3364897701741377E-2</v>
      </c>
      <c r="M73" s="12">
        <f>Population!$C$12</f>
        <v>3.0312000000000006</v>
      </c>
      <c r="N73" s="12">
        <f t="shared" si="40"/>
        <v>1.3512664701063593</v>
      </c>
      <c r="O73" s="12">
        <f>I73/B73</f>
        <v>0.20774647887323944</v>
      </c>
      <c r="P73" s="12">
        <f>B73-I73-Q73*2</f>
        <v>145.96610627917164</v>
      </c>
      <c r="Q73" s="12">
        <f t="shared" si="41"/>
        <v>39.516946860414187</v>
      </c>
      <c r="R73" s="12">
        <f t="shared" si="42"/>
        <v>32.5533780679202</v>
      </c>
      <c r="S73" s="12">
        <f>SUM(AR73:AR73)/B73</f>
        <v>0.11452126093613374</v>
      </c>
      <c r="T73" s="12">
        <f t="shared" si="34"/>
        <v>0.87815437467587087</v>
      </c>
      <c r="U73" s="12">
        <f>Population!$B$17*MIN(Y72:Z72)</f>
        <v>1.4305069079858868</v>
      </c>
      <c r="V73" s="12">
        <f>X72*Population!$B$18</f>
        <v>0.23603689554303303</v>
      </c>
      <c r="W73" s="12">
        <f>AN72*T72*Population!$B$16</f>
        <v>1.0170057425341756</v>
      </c>
      <c r="X73" s="12">
        <f t="shared" si="24"/>
        <v>39.516946860414187</v>
      </c>
      <c r="Y73" s="14">
        <f t="shared" si="43"/>
        <v>5.7132457557494618</v>
      </c>
      <c r="Z73" s="13">
        <f t="shared" si="44"/>
        <v>5.7132457557494618</v>
      </c>
      <c r="AA73" s="18">
        <f>(G73+Population!$B$15*AA72)*Population!M$33</f>
        <v>19.902956218616389</v>
      </c>
      <c r="AB73" s="18">
        <f>AA72*Population!$B$16*Population!$M$33+AB72*Population!$B$15*Population!$M$34</f>
        <v>19.863373087180495</v>
      </c>
      <c r="AC73" s="14">
        <f>(AB72*Population!$B$16*0.5*Population!$M$34)+(AC72*Population!$B$15*Population!M$35)</f>
        <v>9.8597895912087949</v>
      </c>
      <c r="AD73" s="13">
        <f>(AB72*Population!$B$16*0.5*Population!$M$34)+(AD72*Population!$B$15*Population!M$35)</f>
        <v>9.8597895912087949</v>
      </c>
      <c r="AE73" s="14">
        <f>(AC72*Population!$B$16*Population!M$35)+(AE72*Population!$B$15*Population!M$37)</f>
        <v>9.7457643969209471</v>
      </c>
      <c r="AF73" s="13">
        <f>(AD72*Population!$B$16*Population!M$35)+(AF72*Population!$B$15*Population!M$37)</f>
        <v>9.7457643969209471</v>
      </c>
      <c r="AG73" s="14">
        <f>(AE72*Population!$B$16*Population!M$37)+(AG72*Population!$B$15*Population!M$39)</f>
        <v>9.5000124889619784</v>
      </c>
      <c r="AH73" s="13">
        <f>(AF72*Population!$B$16*Population!M$37)+(AH72*Population!$B$15*Population!M$39)</f>
        <v>9.5000124889619784</v>
      </c>
      <c r="AI73" s="14">
        <f>(AG72*Population!$B$16*Population!M$39)+(AI72*Population!$B$15*Population!M$41)</f>
        <v>9.1308189863506222</v>
      </c>
      <c r="AJ73" s="13">
        <f>(AH72*Population!$B$16*Population!M$39)+(AJ72*Population!$B$15*Population!M$41)</f>
        <v>9.1308189863506222</v>
      </c>
      <c r="AK73" s="14">
        <f>(AI72*Population!$B$16*Population!M$41)+(AK72*Population!$B$15*Population!M$43)</f>
        <v>8.6597444594452035</v>
      </c>
      <c r="AL73" s="13">
        <f>(AJ72*Population!$B$16*Population!M$41)+(AL72*Population!$B$15*Population!M$43)</f>
        <v>8.6597444594452035</v>
      </c>
      <c r="AM73" s="14">
        <f>(AK72*Population!$B$16*Population!M$43)+(AM72*Population!$B$15*Population!M$45)</f>
        <v>8.1938522844849011</v>
      </c>
      <c r="AN73" s="13">
        <f>(AL72*Population!$B$16*Population!M$43)+(AN72*Population!$B$15*Population!M$45)</f>
        <v>8.1938522844849011</v>
      </c>
      <c r="AO73" s="15">
        <f>(AM72+AN72)*Population!$B$16*Population!$M$45+AO72*Population!$B$15*Population!$M$47</f>
        <v>15.336013518067675</v>
      </c>
      <c r="AP73" s="5">
        <f>AO72*Population!M$47*Population!$B$16+AP72*Population!$B$15*Population!M$48</f>
        <v>14.851777320365777</v>
      </c>
      <c r="AQ73" s="5">
        <f>AP72*Population!M$48*Population!$B$16+AQ72*Population!$B$15*Population!M$49</f>
        <v>11.805342033804658</v>
      </c>
      <c r="AR73" s="5">
        <f>(AQ72*Population!$B$16+AR72)*Population!M$50</f>
        <v>32.524038105861983</v>
      </c>
      <c r="AS73">
        <f>AS72*(1-Population!$B$12)+M73</f>
        <v>60</v>
      </c>
    </row>
    <row r="74" spans="1:45">
      <c r="A74">
        <f>A73+Population!$B$2</f>
        <v>71</v>
      </c>
      <c r="B74" s="117">
        <f t="shared" si="35"/>
        <v>284</v>
      </c>
      <c r="C74" s="59">
        <f t="shared" si="36"/>
        <v>147</v>
      </c>
      <c r="D74" s="12">
        <f>AD73*Population!$P$36*Population!$C$2+AF73*Population!$P$38*Population!$C$2+AH73*Population!$P$40*Population!$C$2+AJ73*Population!$P$42*Population!$C$2+AL73*Population!$P$44*Population!$C$2+AN72*Population!$P$46*Population!$C$2</f>
        <v>3.1027488552325253</v>
      </c>
      <c r="E74" s="12">
        <f>IF(B73&gt;Population!$B$6*Population!$B$19,Population!$B$11,IF(Population!$J$6=1,D74,Population!$B$11*Population!$B$6*0.9/B73))</f>
        <v>2.8514203965783622</v>
      </c>
      <c r="F74" s="12">
        <f>IF(B73&gt;Population!$B$6*0.75,Population!$B$11,E74)</f>
        <v>2.8514203965783622</v>
      </c>
      <c r="G74" s="15">
        <f>IF(Population!$J$6=1,IF(E74&gt;H73,H73,E74),IF(E74&gt;X73,X73,E74))</f>
        <v>2.8514203965783622</v>
      </c>
      <c r="H74" s="15">
        <f t="shared" si="37"/>
        <v>45</v>
      </c>
      <c r="I74" s="15">
        <f t="shared" si="38"/>
        <v>59</v>
      </c>
      <c r="J74" s="12">
        <f t="shared" si="33"/>
        <v>1.3111111111111111</v>
      </c>
      <c r="K74" s="12">
        <f>AA74*Population!$O$33+AB74*Population!$O$34+AC74*Population!$O$35+AD74*Population!$O$36+AE74*Population!$O$37+AF74*Population!$O$38+AG74*Population!$O$39+AH74*Population!$O$40+AI74*Population!$O$41+AJ74*Population!$O$42+AK74*Population!$O$41+AL74*Population!$O$42+AM74*Population!$O$43+AN74*Population!$O$44+AO74*Population!$O$45+AP74*Population!$O$46+AQ74*Population!$O$47+AR74*Population!$O$48</f>
        <v>0.56519329787204498</v>
      </c>
      <c r="L74" s="12">
        <f t="shared" si="39"/>
        <v>6.3364897701741377E-2</v>
      </c>
      <c r="M74" s="12">
        <f>Population!$C$12</f>
        <v>3.0312000000000006</v>
      </c>
      <c r="N74" s="12">
        <f t="shared" si="40"/>
        <v>1.3541351301642608</v>
      </c>
      <c r="O74" s="12">
        <f>I74/B74</f>
        <v>0.20774647887323944</v>
      </c>
      <c r="P74" s="12">
        <f>B74-I74-Q74*2</f>
        <v>145.63953454335567</v>
      </c>
      <c r="Q74" s="12">
        <f t="shared" si="41"/>
        <v>39.680232728322167</v>
      </c>
      <c r="R74" s="12">
        <f t="shared" si="42"/>
        <v>32.524038105861983</v>
      </c>
      <c r="S74" s="12">
        <f>SUM(AR74:AR74)/B74</f>
        <v>0.11437394469795459</v>
      </c>
      <c r="T74" s="12">
        <f t="shared" si="34"/>
        <v>0.88178294951827041</v>
      </c>
      <c r="U74" s="12">
        <f>Population!$B$17*MIN(Y73:Z73)</f>
        <v>1.4283114389373655</v>
      </c>
      <c r="V74" s="12">
        <f>X73*Population!$B$18</f>
        <v>0.23710168116248512</v>
      </c>
      <c r="W74" s="12">
        <f>AN73*T73*Population!$B$16</f>
        <v>1.027923889866899</v>
      </c>
      <c r="X74" s="12">
        <f t="shared" si="24"/>
        <v>39.680232728322167</v>
      </c>
      <c r="Y74" s="14">
        <f t="shared" si="43"/>
        <v>5.7114382327088009</v>
      </c>
      <c r="Z74" s="13">
        <f t="shared" si="44"/>
        <v>5.7114382327088009</v>
      </c>
      <c r="AA74" s="18">
        <f>(G74+Population!$B$15*AA73)*Population!M$33</f>
        <v>19.903013249947321</v>
      </c>
      <c r="AB74" s="18">
        <f>AA73*Population!$B$16*Population!$M$33+AB73*Population!$B$15*Population!$M$34</f>
        <v>19.864042655400986</v>
      </c>
      <c r="AC74" s="14">
        <f>(AB73*Population!$B$16*0.5*Population!$M$34)+(AC73*Population!$B$15*Population!M$35)</f>
        <v>9.8616873120697406</v>
      </c>
      <c r="AD74" s="13">
        <f>(AB73*Population!$B$16*0.5*Population!$M$34)+(AD73*Population!$B$15*Population!M$35)</f>
        <v>9.8616873120697406</v>
      </c>
      <c r="AE74" s="14">
        <f>(AC73*Population!$B$16*Population!M$35)+(AE73*Population!$B$15*Population!M$37)</f>
        <v>9.7527504732046388</v>
      </c>
      <c r="AF74" s="13">
        <f>(AD73*Population!$B$16*Population!M$35)+(AF73*Population!$B$15*Population!M$37)</f>
        <v>9.7527504732046388</v>
      </c>
      <c r="AG74" s="14">
        <f>(AE73*Population!$B$16*Population!M$37)+(AG73*Population!$B$15*Population!M$39)</f>
        <v>9.5181587819071023</v>
      </c>
      <c r="AH74" s="13">
        <f>(AF73*Population!$B$16*Population!M$37)+(AH73*Population!$B$15*Population!M$39)</f>
        <v>9.5181587819071023</v>
      </c>
      <c r="AI74" s="14">
        <f>(AG73*Population!$B$16*Population!M$39)+(AI73*Population!$B$15*Population!M$41)</f>
        <v>9.1659284783377348</v>
      </c>
      <c r="AJ74" s="13">
        <f>(AH73*Population!$B$16*Population!M$39)+(AJ73*Population!$B$15*Population!M$41)</f>
        <v>9.1659284783377348</v>
      </c>
      <c r="AK74" s="14">
        <f>(AI73*Population!$B$16*Population!M$41)+(AK73*Population!$B$15*Population!M$43)</f>
        <v>8.710284902056463</v>
      </c>
      <c r="AL74" s="13">
        <f>(AJ73*Population!$B$16*Population!M$41)+(AL73*Population!$B$15*Population!M$43)</f>
        <v>8.710284902056463</v>
      </c>
      <c r="AM74" s="14">
        <f>(AK73*Population!$B$16*Population!M$43)+(AM73*Population!$B$15*Population!M$45)</f>
        <v>8.2445483255250291</v>
      </c>
      <c r="AN74" s="13">
        <f>(AL73*Population!$B$16*Population!M$43)+(AN73*Population!$B$15*Population!M$45)</f>
        <v>8.2445483255250291</v>
      </c>
      <c r="AO74" s="15">
        <f>(AM73+AN73)*Population!$B$16*Population!$M$45+AO73*Population!$B$15*Population!$M$47</f>
        <v>15.386457813795356</v>
      </c>
      <c r="AP74" s="5">
        <f>AO73*Population!M$47*Population!$B$16+AP73*Population!$B$15*Population!M$48</f>
        <v>14.812777004117205</v>
      </c>
      <c r="AQ74" s="5">
        <f>AP73*Population!M$48*Population!$B$16+AQ73*Population!$B$15*Population!M$49</f>
        <v>11.713959837190602</v>
      </c>
      <c r="AR74" s="5">
        <f>(AQ73*Population!$B$16+AR73)*Population!M$50</f>
        <v>32.482200294219105</v>
      </c>
      <c r="AS74">
        <f>AS73*(1-Population!$B$12)+M74</f>
        <v>60</v>
      </c>
    </row>
    <row r="75" spans="1:45">
      <c r="A75">
        <f>A74+Population!$B$2</f>
        <v>72</v>
      </c>
      <c r="B75" s="117">
        <f t="shared" si="35"/>
        <v>284</v>
      </c>
      <c r="C75" s="59">
        <f t="shared" si="36"/>
        <v>147</v>
      </c>
      <c r="D75" s="12">
        <f>AD74*Population!$P$36*Population!$C$2+AF74*Population!$P$38*Population!$C$2+AH74*Population!$P$40*Population!$C$2+AJ74*Population!$P$42*Population!$C$2+AL74*Population!$P$44*Population!$C$2+AN73*Population!$P$46*Population!$C$2</f>
        <v>3.1110019466980905</v>
      </c>
      <c r="E75" s="12">
        <f>IF(B74&gt;Population!$B$6*Population!$B$19,Population!$B$11,IF(Population!$J$6=1,D75,Population!$B$11*Population!$B$6*0.9/B74))</f>
        <v>2.8514203965783622</v>
      </c>
      <c r="F75" s="12">
        <f>IF(B74&gt;Population!$B$6*0.75,Population!$B$11,E75)</f>
        <v>2.8514203965783622</v>
      </c>
      <c r="G75" s="15">
        <f>IF(Population!$J$6=1,IF(E75&gt;H74,H74,E75),IF(E75&gt;X74,X74,E75))</f>
        <v>2.8514203965783622</v>
      </c>
      <c r="H75" s="15">
        <f t="shared" si="37"/>
        <v>45</v>
      </c>
      <c r="I75" s="15">
        <f t="shared" si="38"/>
        <v>59</v>
      </c>
      <c r="J75" s="12">
        <f t="shared" si="33"/>
        <v>1.3111111111111111</v>
      </c>
      <c r="K75" s="12">
        <f>AA75*Population!$O$33+AB75*Population!$O$34+AC75*Population!$O$35+AD75*Population!$O$36+AE75*Population!$O$37+AF75*Population!$O$38+AG75*Population!$O$39+AH75*Population!$O$40+AI75*Population!$O$41+AJ75*Population!$O$42+AK75*Population!$O$41+AL75*Population!$O$42+AM75*Population!$O$43+AN75*Population!$O$44+AO75*Population!$O$45+AP75*Population!$O$46+AQ75*Population!$O$47+AR75*Population!$O$48</f>
        <v>0.56487977766030295</v>
      </c>
      <c r="L75" s="12">
        <f t="shared" si="39"/>
        <v>6.3364897701741377E-2</v>
      </c>
      <c r="M75" s="12">
        <f>Population!$C$12</f>
        <v>3.0312000000000006</v>
      </c>
      <c r="N75" s="12">
        <f t="shared" si="40"/>
        <v>1.3567731199412509</v>
      </c>
      <c r="O75" s="12">
        <f>I75/B75</f>
        <v>0.20774647887323944</v>
      </c>
      <c r="P75" s="12">
        <f>B75-I75-Q75*2</f>
        <v>145.33709311686323</v>
      </c>
      <c r="Q75" s="12">
        <f t="shared" si="41"/>
        <v>39.831453441568385</v>
      </c>
      <c r="R75" s="12">
        <f t="shared" si="42"/>
        <v>32.482200294219105</v>
      </c>
      <c r="S75" s="12">
        <f>SUM(AR75:AR75)/B75</f>
        <v>0.1141904262241961</v>
      </c>
      <c r="T75" s="12">
        <f t="shared" si="34"/>
        <v>0.88514340981263073</v>
      </c>
      <c r="U75" s="12">
        <f>Population!$B$17*MIN(Y74:Z74)</f>
        <v>1.4278595581772002</v>
      </c>
      <c r="V75" s="12">
        <f>X74*Population!$B$18</f>
        <v>0.238081396369933</v>
      </c>
      <c r="W75" s="12">
        <f>AN74*T74*Population!$B$16</f>
        <v>1.0385574485610538</v>
      </c>
      <c r="X75" s="12">
        <f t="shared" si="24"/>
        <v>39.831453441568385</v>
      </c>
      <c r="Y75" s="14">
        <f t="shared" si="43"/>
        <v>5.7144350396851848</v>
      </c>
      <c r="Z75" s="13">
        <f t="shared" si="44"/>
        <v>5.7144350396851848</v>
      </c>
      <c r="AA75" s="18">
        <f>(G75+Population!$B$15*AA74)*Population!M$33</f>
        <v>19.903062114098361</v>
      </c>
      <c r="AB75" s="18">
        <f>AA74*Population!$B$16*Population!$M$33+AB74*Population!$B$15*Population!$M$34</f>
        <v>19.864624585912711</v>
      </c>
      <c r="AC75" s="14">
        <f>(AB74*Population!$B$16*0.5*Population!$M$34)+(AC74*Population!$B$15*Population!M$35)</f>
        <v>9.8633601953242565</v>
      </c>
      <c r="AD75" s="13">
        <f>(AB74*Population!$B$16*0.5*Population!$M$34)+(AD74*Population!$B$15*Population!M$35)</f>
        <v>9.8633601953242565</v>
      </c>
      <c r="AE75" s="14">
        <f>(AC74*Population!$B$16*Population!M$35)+(AE74*Population!$B$15*Population!M$37)</f>
        <v>9.7590036765833403</v>
      </c>
      <c r="AF75" s="13">
        <f>(AD74*Population!$B$16*Population!M$35)+(AF74*Population!$B$15*Population!M$37)</f>
        <v>9.7590036765833403</v>
      </c>
      <c r="AG75" s="14">
        <f>(AE74*Population!$B$16*Population!M$37)+(AG74*Population!$B$15*Population!M$39)</f>
        <v>9.5346799434683902</v>
      </c>
      <c r="AH75" s="13">
        <f>(AF74*Population!$B$16*Population!M$37)+(AH74*Population!$B$15*Population!M$39)</f>
        <v>9.5346799434683902</v>
      </c>
      <c r="AI75" s="14">
        <f>(AG74*Population!$B$16*Population!M$39)+(AI74*Population!$B$15*Population!M$41)</f>
        <v>9.1985518987145429</v>
      </c>
      <c r="AJ75" s="13">
        <f>(AH74*Population!$B$16*Population!M$39)+(AJ74*Population!$B$15*Population!M$41)</f>
        <v>9.1985518987145429</v>
      </c>
      <c r="AK75" s="14">
        <f>(AI74*Population!$B$16*Population!M$41)+(AK74*Population!$B$15*Population!M$43)</f>
        <v>8.7585281179894885</v>
      </c>
      <c r="AL75" s="13">
        <f>(AJ74*Population!$B$16*Population!M$41)+(AL74*Population!$B$15*Population!M$43)</f>
        <v>8.7585281179894885</v>
      </c>
      <c r="AM75" s="14">
        <f>(AK74*Population!$B$16*Population!M$43)+(AM74*Population!$B$15*Population!M$45)</f>
        <v>8.2951248444978063</v>
      </c>
      <c r="AN75" s="13">
        <f>(AL74*Population!$B$16*Population!M$43)+(AN74*Population!$B$15*Population!M$45)</f>
        <v>8.2951248444978063</v>
      </c>
      <c r="AO75" s="15">
        <f>(AM74+AN74)*Population!$B$16*Population!$M$45+AO74*Population!$B$15*Population!$M$47</f>
        <v>15.443839079050299</v>
      </c>
      <c r="AP75" s="5">
        <f>AO74*Population!M$47*Population!$B$16+AP74*Population!$B$15*Population!M$48</f>
        <v>14.786744602809925</v>
      </c>
      <c r="AQ75" s="5">
        <f>AP74*Population!M$48*Population!$B$16+AQ74*Population!$B$15*Population!M$49</f>
        <v>11.634058269733107</v>
      </c>
      <c r="AR75" s="5">
        <f>(AQ74*Population!$B$16+AR74)*Population!M$50</f>
        <v>32.430081047671692</v>
      </c>
      <c r="AS75">
        <f>AS74*(1-Population!$B$12)+M75</f>
        <v>60</v>
      </c>
    </row>
    <row r="76" spans="1:45">
      <c r="A76">
        <f>A75+Population!$B$2</f>
        <v>73</v>
      </c>
      <c r="B76" s="117">
        <f t="shared" si="35"/>
        <v>285</v>
      </c>
      <c r="C76" s="59">
        <f t="shared" si="36"/>
        <v>148</v>
      </c>
      <c r="D76" s="12">
        <f>AD75*Population!$P$36*Population!$C$2+AF75*Population!$P$38*Population!$C$2+AH75*Population!$P$40*Population!$C$2+AJ75*Population!$P$42*Population!$C$2+AL75*Population!$P$44*Population!$C$2+AN74*Population!$P$46*Population!$C$2</f>
        <v>3.1187662648572436</v>
      </c>
      <c r="E76" s="12">
        <f>IF(B75&gt;Population!$B$6*Population!$B$19,Population!$B$11,IF(Population!$J$6=1,D76,Population!$B$11*Population!$B$6*0.9/B75))</f>
        <v>2.8514203965783622</v>
      </c>
      <c r="F76" s="12">
        <f>IF(B75&gt;Population!$B$6*0.75,Population!$B$11,E76)</f>
        <v>2.8514203965783622</v>
      </c>
      <c r="G76" s="15">
        <f>IF(Population!$J$6=1,IF(E76&gt;H75,H75,E76),IF(E76&gt;X75,X75,E76))</f>
        <v>2.8514203965783622</v>
      </c>
      <c r="H76" s="15">
        <f t="shared" si="37"/>
        <v>45</v>
      </c>
      <c r="I76" s="15">
        <f t="shared" si="38"/>
        <v>59</v>
      </c>
      <c r="J76" s="12">
        <f t="shared" si="33"/>
        <v>1.3111111111111111</v>
      </c>
      <c r="K76" s="12">
        <f>AA76*Population!$O$33+AB76*Population!$O$34+AC76*Population!$O$35+AD76*Population!$O$36+AE76*Population!$O$37+AF76*Population!$O$38+AG76*Population!$O$39+AH76*Population!$O$40+AI76*Population!$O$41+AJ76*Population!$O$42+AK76*Population!$O$41+AL76*Population!$O$42+AM76*Population!$O$43+AN76*Population!$O$44+AO76*Population!$O$45+AP76*Population!$O$46+AQ76*Population!$O$47+AR76*Population!$O$48</f>
        <v>0.56459517815249149</v>
      </c>
      <c r="L76" s="12">
        <f t="shared" si="39"/>
        <v>6.3364897701741377E-2</v>
      </c>
      <c r="M76" s="12">
        <f>Population!$C$12</f>
        <v>3.0312000000000006</v>
      </c>
      <c r="N76" s="12">
        <f t="shared" si="40"/>
        <v>1.359196200107943</v>
      </c>
      <c r="O76" s="12">
        <f>I76/B76</f>
        <v>0.20701754385964913</v>
      </c>
      <c r="P76" s="12">
        <f>B76-I76-Q76*2</f>
        <v>146.05567449251382</v>
      </c>
      <c r="Q76" s="12">
        <f t="shared" si="41"/>
        <v>39.972162753743092</v>
      </c>
      <c r="R76" s="12">
        <f t="shared" si="42"/>
        <v>32.430081047671692</v>
      </c>
      <c r="S76" s="12">
        <f>SUM(AR76:AR76)/B76</f>
        <v>0.11357809479596462</v>
      </c>
      <c r="T76" s="12">
        <f t="shared" si="34"/>
        <v>0.88827028341651315</v>
      </c>
      <c r="U76" s="12">
        <f>Population!$B$17*MIN(Y75:Z75)</f>
        <v>1.4286087599212962</v>
      </c>
      <c r="V76" s="12">
        <f>X75*Population!$B$18</f>
        <v>0.23898872064941032</v>
      </c>
      <c r="W76" s="12">
        <f>AN75*T75*Population!$B$16</f>
        <v>1.0489107270971794</v>
      </c>
      <c r="X76" s="12">
        <f t="shared" si="24"/>
        <v>39.972162753743092</v>
      </c>
      <c r="Y76" s="14">
        <f t="shared" si="43"/>
        <v>5.7206806079334029</v>
      </c>
      <c r="Z76" s="13">
        <f t="shared" si="44"/>
        <v>5.7206806079334029</v>
      </c>
      <c r="AA76" s="18">
        <f>(G76+Population!$B$15*AA75)*Population!M$33</f>
        <v>19.903103980651668</v>
      </c>
      <c r="AB76" s="18">
        <f>AA75*Population!$B$16*Population!$M$33+AB75*Population!$B$15*Population!$M$34</f>
        <v>19.865130249023618</v>
      </c>
      <c r="AC76" s="14">
        <f>(AB75*Population!$B$16*0.5*Population!$M$34)+(AC75*Population!$B$15*Population!M$35)</f>
        <v>9.8648342858627309</v>
      </c>
      <c r="AD76" s="13">
        <f>(AB75*Population!$B$16*0.5*Population!$M$34)+(AD75*Population!$B$15*Population!M$35)</f>
        <v>9.8648342858627309</v>
      </c>
      <c r="AE76" s="14">
        <f>(AC75*Population!$B$16*Population!M$35)+(AE75*Population!$B$15*Population!M$37)</f>
        <v>9.7645972127907807</v>
      </c>
      <c r="AF76" s="13">
        <f>(AD75*Population!$B$16*Population!M$35)+(AF75*Population!$B$15*Population!M$37)</f>
        <v>9.7645972127907807</v>
      </c>
      <c r="AG76" s="14">
        <f>(AE75*Population!$B$16*Population!M$37)+(AG75*Population!$B$15*Population!M$39)</f>
        <v>9.5497062134201638</v>
      </c>
      <c r="AH76" s="13">
        <f>(AF75*Population!$B$16*Population!M$37)+(AH75*Population!$B$15*Population!M$39)</f>
        <v>9.5497062134201638</v>
      </c>
      <c r="AI76" s="14">
        <f>(AG75*Population!$B$16*Population!M$39)+(AI75*Population!$B$15*Population!M$41)</f>
        <v>9.2288167760558562</v>
      </c>
      <c r="AJ76" s="13">
        <f>(AH75*Population!$B$16*Population!M$39)+(AJ75*Population!$B$15*Population!M$41)</f>
        <v>9.2288167760558562</v>
      </c>
      <c r="AK76" s="14">
        <f>(AI75*Population!$B$16*Population!M$41)+(AK75*Population!$B$15*Population!M$43)</f>
        <v>8.8044515918695296</v>
      </c>
      <c r="AL76" s="13">
        <f>(AJ75*Population!$B$16*Population!M$41)+(AL75*Population!$B$15*Population!M$43)</f>
        <v>8.8044515918695296</v>
      </c>
      <c r="AM76" s="14">
        <f>(AK75*Population!$B$16*Population!M$43)+(AM75*Population!$B$15*Population!M$45)</f>
        <v>8.3452715675401681</v>
      </c>
      <c r="AN76" s="13">
        <f>(AL75*Population!$B$16*Population!M$43)+(AN75*Population!$B$15*Population!M$45)</f>
        <v>8.3452715675401681</v>
      </c>
      <c r="AO76" s="15">
        <f>(AM75+AN75)*Population!$B$16*Population!$M$45+AO75*Population!$B$15*Population!$M$47</f>
        <v>15.507089126279409</v>
      </c>
      <c r="AP76" s="5">
        <f>AO75*Population!M$47*Population!$B$16+AP75*Population!$B$15*Population!M$48</f>
        <v>14.772730781766358</v>
      </c>
      <c r="AQ76" s="5">
        <f>AP75*Population!M$48*Population!$B$16+AQ75*Population!$B$15*Population!M$49</f>
        <v>11.565339225730957</v>
      </c>
      <c r="AR76" s="5">
        <f>(AQ75*Population!$B$16+AR75)*Population!M$50</f>
        <v>32.369757016849917</v>
      </c>
      <c r="AS76">
        <f>AS75*(1-Population!$B$12)+M76</f>
        <v>60</v>
      </c>
    </row>
    <row r="77" spans="1:45">
      <c r="A77">
        <f>A76+Population!$B$2</f>
        <v>74</v>
      </c>
      <c r="B77" s="117">
        <f t="shared" si="35"/>
        <v>285</v>
      </c>
      <c r="C77" s="59">
        <f t="shared" si="36"/>
        <v>148</v>
      </c>
      <c r="D77" s="12">
        <f>AD76*Population!$P$36*Population!$C$2+AF76*Population!$P$38*Population!$C$2+AH76*Population!$P$40*Population!$C$2+AJ76*Population!$P$42*Population!$C$2+AL76*Population!$P$44*Population!$C$2+AN75*Population!$P$46*Population!$C$2</f>
        <v>3.1260603058844838</v>
      </c>
      <c r="E77" s="12">
        <f>IF(B76&gt;Population!$B$6*Population!$B$19,Population!$B$11,IF(Population!$J$6=1,D77,Population!$B$11*Population!$B$6*0.9/B76))</f>
        <v>2.8514203965783622</v>
      </c>
      <c r="F77" s="12">
        <f>IF(B76&gt;Population!$B$6*0.75,Population!$B$11,E77)</f>
        <v>2.8514203965783622</v>
      </c>
      <c r="G77" s="15">
        <f>IF(Population!$J$6=1,IF(E77&gt;H76,H76,E77),IF(E77&gt;X76,X76,E77))</f>
        <v>2.8514203965783622</v>
      </c>
      <c r="H77" s="15">
        <f t="shared" si="37"/>
        <v>45</v>
      </c>
      <c r="I77" s="15">
        <f t="shared" si="38"/>
        <v>59</v>
      </c>
      <c r="J77" s="12">
        <f t="shared" si="33"/>
        <v>1.3111111111111111</v>
      </c>
      <c r="K77" s="12">
        <f>AA77*Population!$O$33+AB77*Population!$O$34+AC77*Population!$O$35+AD77*Population!$O$36+AE77*Population!$O$37+AF77*Population!$O$38+AG77*Population!$O$39+AH77*Population!$O$40+AI77*Population!$O$41+AJ77*Population!$O$42+AK77*Population!$O$41+AL77*Population!$O$42+AM77*Population!$O$43+AN77*Population!$O$44+AO77*Population!$O$45+AP77*Population!$O$46+AQ77*Population!$O$47+AR77*Population!$O$48</f>
        <v>0.56434710505819152</v>
      </c>
      <c r="L77" s="12">
        <f t="shared" si="39"/>
        <v>6.3364897701741377E-2</v>
      </c>
      <c r="M77" s="12">
        <f>Population!$C$12</f>
        <v>3.0312000000000006</v>
      </c>
      <c r="N77" s="12">
        <f t="shared" si="40"/>
        <v>1.3614194155770412</v>
      </c>
      <c r="O77" s="12">
        <f>I77/B77</f>
        <v>0.20701754385964913</v>
      </c>
      <c r="P77" s="12">
        <f>B77-I77-Q77*2</f>
        <v>145.79295921030251</v>
      </c>
      <c r="Q77" s="12">
        <f t="shared" si="41"/>
        <v>40.103520394848744</v>
      </c>
      <c r="R77" s="12">
        <f t="shared" si="42"/>
        <v>32.369757016849917</v>
      </c>
      <c r="S77" s="12">
        <f>SUM(AR77:AR77)/B77</f>
        <v>0.11334441931556774</v>
      </c>
      <c r="T77" s="12">
        <f t="shared" si="34"/>
        <v>0.8911893421077498</v>
      </c>
      <c r="U77" s="12">
        <f>Population!$B$17*MIN(Y76:Z76)</f>
        <v>1.4301701519833507</v>
      </c>
      <c r="V77" s="12">
        <f>X76*Population!$B$18</f>
        <v>0.23983297652245855</v>
      </c>
      <c r="W77" s="12">
        <f>AN76*T76*Population!$B$16</f>
        <v>1.0589795343552391</v>
      </c>
      <c r="X77" s="12">
        <f t="shared" ref="X77:X103" si="45">X76+U77-W77-V77</f>
        <v>40.103520394848744</v>
      </c>
      <c r="Y77" s="14">
        <f t="shared" si="43"/>
        <v>5.7290614234578001</v>
      </c>
      <c r="Z77" s="13">
        <f t="shared" si="44"/>
        <v>5.7290614234578001</v>
      </c>
      <c r="AA77" s="18">
        <f>(G77+Population!$B$15*AA76)*Population!M$33</f>
        <v>19.903139851699226</v>
      </c>
      <c r="AB77" s="18">
        <f>AA76*Population!$B$16*Population!$M$33+AB76*Population!$B$15*Population!$M$34</f>
        <v>19.865569555534435</v>
      </c>
      <c r="AC77" s="14">
        <f>(AB76*Population!$B$16*0.5*Population!$M$34)+(AC76*Population!$B$15*Population!M$35)</f>
        <v>9.8661326985840887</v>
      </c>
      <c r="AD77" s="13">
        <f>(AB76*Population!$B$16*0.5*Population!$M$34)+(AD76*Population!$B$15*Population!M$35)</f>
        <v>9.8661326985840887</v>
      </c>
      <c r="AE77" s="14">
        <f>(AC76*Population!$B$16*Population!M$35)+(AE76*Population!$B$15*Population!M$37)</f>
        <v>9.769597486952895</v>
      </c>
      <c r="AF77" s="13">
        <f>(AD76*Population!$B$16*Population!M$35)+(AF76*Population!$B$15*Population!M$37)</f>
        <v>9.769597486952895</v>
      </c>
      <c r="AG77" s="14">
        <f>(AE76*Population!$B$16*Population!M$37)+(AG76*Population!$B$15*Population!M$39)</f>
        <v>9.5633594595127676</v>
      </c>
      <c r="AH77" s="13">
        <f>(AF76*Population!$B$16*Population!M$37)+(AH76*Population!$B$15*Population!M$39)</f>
        <v>9.5633594595127676</v>
      </c>
      <c r="AI77" s="14">
        <f>(AG76*Population!$B$16*Population!M$39)+(AI76*Population!$B$15*Population!M$41)</f>
        <v>9.2568507806521971</v>
      </c>
      <c r="AJ77" s="13">
        <f>(AH76*Population!$B$16*Population!M$39)+(AJ76*Population!$B$15*Population!M$41)</f>
        <v>9.2568507806521971</v>
      </c>
      <c r="AK77" s="14">
        <f>(AI76*Population!$B$16*Population!M$41)+(AK76*Population!$B$15*Population!M$43)</f>
        <v>8.8480542452463826</v>
      </c>
      <c r="AL77" s="13">
        <f>(AJ76*Population!$B$16*Population!M$41)+(AL76*Population!$B$15*Population!M$43)</f>
        <v>8.8480542452463826</v>
      </c>
      <c r="AM77" s="14">
        <f>(AK76*Population!$B$16*Population!M$43)+(AM76*Population!$B$15*Population!M$45)</f>
        <v>8.3947198459422978</v>
      </c>
      <c r="AN77" s="13">
        <f>(AL76*Population!$B$16*Population!M$43)+(AN76*Population!$B$15*Population!M$45)</f>
        <v>8.3947198459422978</v>
      </c>
      <c r="AO77" s="15">
        <f>(AM76+AN76)*Population!$B$16*Population!$M$45+AO76*Population!$B$15*Population!$M$47</f>
        <v>15.575210524706328</v>
      </c>
      <c r="AP77" s="5">
        <f>AO76*Population!M$47*Population!$B$16+AP76*Population!$B$15*Population!M$48</f>
        <v>14.769776233100743</v>
      </c>
      <c r="AQ77" s="5">
        <f>AP76*Population!M$48*Population!$B$16+AQ76*Population!$B$15*Population!M$49</f>
        <v>11.507425458840105</v>
      </c>
      <c r="AR77" s="5">
        <f>(AQ76*Population!$B$16+AR76)*Population!M$50</f>
        <v>32.303159504936808</v>
      </c>
      <c r="AS77">
        <f>AS76*(1-Population!$B$12)+M77</f>
        <v>60</v>
      </c>
    </row>
    <row r="78" spans="1:45">
      <c r="A78">
        <f>A77+Population!$B$2</f>
        <v>75</v>
      </c>
      <c r="B78" s="117">
        <f t="shared" si="35"/>
        <v>285</v>
      </c>
      <c r="C78" s="59">
        <f t="shared" si="36"/>
        <v>149</v>
      </c>
      <c r="D78" s="12">
        <f>AD77*Population!$P$36*Population!$C$2+AF77*Population!$P$38*Population!$C$2+AH77*Population!$P$40*Population!$C$2+AJ77*Population!$P$42*Population!$C$2+AL77*Population!$P$44*Population!$C$2+AN76*Population!$P$46*Population!$C$2</f>
        <v>3.1329031209401905</v>
      </c>
      <c r="E78" s="12">
        <f>IF(B77&gt;Population!$B$6*Population!$B$19,Population!$B$11,IF(Population!$J$6=1,D78,Population!$B$11*Population!$B$6*0.9/B77))</f>
        <v>2.8514203965783622</v>
      </c>
      <c r="F78" s="12">
        <f>IF(B77&gt;Population!$B$6*0.75,Population!$B$11,E78)</f>
        <v>2.8514203965783622</v>
      </c>
      <c r="G78" s="15">
        <f>IF(Population!$J$6=1,IF(E78&gt;H77,H77,E78),IF(E78&gt;X77,X77,E78))</f>
        <v>2.8514203965783622</v>
      </c>
      <c r="H78" s="15">
        <f t="shared" si="37"/>
        <v>45</v>
      </c>
      <c r="I78" s="15">
        <f t="shared" si="38"/>
        <v>59</v>
      </c>
      <c r="J78" s="12">
        <f t="shared" si="33"/>
        <v>1.3111111111111111</v>
      </c>
      <c r="K78" s="12">
        <f>AA78*Population!$O$33+AB78*Population!$O$34+AC78*Population!$O$35+AD78*Population!$O$36+AE78*Population!$O$37+AF78*Population!$O$38+AG78*Population!$O$39+AH78*Population!$O$40+AI78*Population!$O$41+AJ78*Population!$O$42+AK78*Population!$O$41+AL78*Population!$O$42+AM78*Population!$O$43+AN78*Population!$O$44+AO78*Population!$O$45+AP78*Population!$O$46+AQ78*Population!$O$47+AR78*Population!$O$48</f>
        <v>0.56414191629114785</v>
      </c>
      <c r="L78" s="12">
        <f t="shared" si="39"/>
        <v>6.3364897701741377E-2</v>
      </c>
      <c r="M78" s="12">
        <f>Population!$C$12</f>
        <v>3.0312000000000006</v>
      </c>
      <c r="N78" s="12">
        <f t="shared" si="40"/>
        <v>1.3634570756893247</v>
      </c>
      <c r="O78" s="12">
        <f>I78/B78</f>
        <v>0.20701754385964913</v>
      </c>
      <c r="P78" s="12">
        <f>B78-I78-Q78*2</f>
        <v>145.54718070236441</v>
      </c>
      <c r="Q78" s="12">
        <f t="shared" si="41"/>
        <v>40.226409648817793</v>
      </c>
      <c r="R78" s="12">
        <f t="shared" si="42"/>
        <v>32.303159504936808</v>
      </c>
      <c r="S78" s="12">
        <f>SUM(AR78:AR78)/B78</f>
        <v>0.11309498623152446</v>
      </c>
      <c r="T78" s="12">
        <f t="shared" si="34"/>
        <v>0.89392021441817315</v>
      </c>
      <c r="U78" s="12">
        <f>Population!$B$17*MIN(Y77:Z77)</f>
        <v>1.43226535586445</v>
      </c>
      <c r="V78" s="12">
        <f>X77*Population!$B$18</f>
        <v>0.24062112236909247</v>
      </c>
      <c r="W78" s="12">
        <f>AN77*T77*Population!$B$16</f>
        <v>1.0687549795263125</v>
      </c>
      <c r="X78" s="12">
        <f t="shared" si="45"/>
        <v>40.226409648817793</v>
      </c>
      <c r="Y78" s="14">
        <f t="shared" si="43"/>
        <v>5.7387819974938097</v>
      </c>
      <c r="Z78" s="13">
        <f t="shared" si="44"/>
        <v>5.7387819974938097</v>
      </c>
      <c r="AA78" s="18">
        <f>(G78+Population!$B$15*AA77)*Population!M$33</f>
        <v>19.903170585828295</v>
      </c>
      <c r="AB78" s="18">
        <f>AA77*Population!$B$16*Population!$M$33+AB77*Population!$B$15*Population!$M$34</f>
        <v>19.865951141603727</v>
      </c>
      <c r="AC78" s="14">
        <f>(AB77*Population!$B$16*0.5*Population!$M$34)+(AC77*Population!$B$15*Population!M$35)</f>
        <v>9.8672759351323212</v>
      </c>
      <c r="AD78" s="13">
        <f>(AB77*Population!$B$16*0.5*Population!$M$34)+(AD77*Population!$B$15*Population!M$35)</f>
        <v>9.8672759351323212</v>
      </c>
      <c r="AE78" s="14">
        <f>(AC77*Population!$B$16*Population!M$35)+(AE77*Population!$B$15*Population!M$37)</f>
        <v>9.7740646624870458</v>
      </c>
      <c r="AF78" s="13">
        <f>(AD77*Population!$B$16*Population!M$35)+(AF77*Population!$B$15*Population!M$37)</f>
        <v>9.7740646624870458</v>
      </c>
      <c r="AG78" s="14">
        <f>(AE77*Population!$B$16*Population!M$37)+(AG77*Population!$B$15*Population!M$39)</f>
        <v>9.5757534166644067</v>
      </c>
      <c r="AH78" s="13">
        <f>(AF77*Population!$B$16*Population!M$37)+(AH77*Population!$B$15*Population!M$39)</f>
        <v>9.5757534166644067</v>
      </c>
      <c r="AI78" s="14">
        <f>(AG77*Population!$B$16*Population!M$39)+(AI77*Population!$B$15*Population!M$41)</f>
        <v>9.2827805103243684</v>
      </c>
      <c r="AJ78" s="13">
        <f>(AH77*Population!$B$16*Population!M$39)+(AJ77*Population!$B$15*Population!M$41)</f>
        <v>9.2827805103243684</v>
      </c>
      <c r="AK78" s="14">
        <f>(AI77*Population!$B$16*Population!M$41)+(AK77*Population!$B$15*Population!M$43)</f>
        <v>8.8893533591037723</v>
      </c>
      <c r="AL78" s="13">
        <f>(AJ77*Population!$B$16*Population!M$41)+(AL77*Population!$B$15*Population!M$43)</f>
        <v>8.8893533591037723</v>
      </c>
      <c r="AM78" s="14">
        <f>(AK77*Population!$B$16*Population!M$43)+(AM77*Population!$B$15*Population!M$45)</f>
        <v>8.4432396977320057</v>
      </c>
      <c r="AN78" s="13">
        <f>(AL77*Population!$B$16*Population!M$43)+(AN77*Population!$B$15*Population!M$45)</f>
        <v>8.4432396977320057</v>
      </c>
      <c r="AO78" s="15">
        <f>(AM77+AN77)*Population!$B$16*Population!$M$45+AO77*Population!$B$15*Population!$M$47</f>
        <v>15.647277922584205</v>
      </c>
      <c r="AP78" s="5">
        <f>AO77*Population!M$47*Population!$B$16+AP77*Population!$B$15*Population!M$48</f>
        <v>14.776923197266685</v>
      </c>
      <c r="AQ78" s="5">
        <f>AP77*Population!M$48*Population!$B$16+AQ77*Population!$B$15*Population!M$49</f>
        <v>11.459873900481112</v>
      </c>
      <c r="AR78" s="5">
        <f>(AQ77*Population!$B$16+AR77)*Population!M$50</f>
        <v>32.232071075984472</v>
      </c>
      <c r="AS78">
        <f>AS77*(1-Population!$B$12)+M78</f>
        <v>60</v>
      </c>
    </row>
    <row r="79" spans="1:45">
      <c r="A79">
        <f>A78+Population!$B$2</f>
        <v>76</v>
      </c>
      <c r="B79" s="117">
        <f t="shared" si="35"/>
        <v>285</v>
      </c>
      <c r="C79" s="59">
        <f t="shared" si="36"/>
        <v>149</v>
      </c>
      <c r="D79" s="12">
        <f>AD78*Population!$P$36*Population!$C$2+AF78*Population!$P$38*Population!$C$2+AH78*Population!$P$40*Population!$C$2+AJ78*Population!$P$42*Population!$C$2+AL78*Population!$P$44*Population!$C$2+AN77*Population!$P$46*Population!$C$2</f>
        <v>3.1393141100417963</v>
      </c>
      <c r="E79" s="12">
        <f>IF(B78&gt;Population!$B$6*Population!$B$19,Population!$B$11,IF(Population!$J$6=1,D79,Population!$B$11*Population!$B$6*0.9/B78))</f>
        <v>2.8514203965783622</v>
      </c>
      <c r="F79" s="12">
        <f>IF(B78&gt;Population!$B$6*0.75,Population!$B$11,E79)</f>
        <v>2.8514203965783622</v>
      </c>
      <c r="G79" s="15">
        <f>IF(Population!$J$6=1,IF(E79&gt;H78,H78,E79),IF(E79&gt;X78,X78,E79))</f>
        <v>2.8514203965783622</v>
      </c>
      <c r="H79" s="15">
        <f t="shared" si="37"/>
        <v>46</v>
      </c>
      <c r="I79" s="15">
        <f t="shared" si="38"/>
        <v>59</v>
      </c>
      <c r="J79" s="12">
        <f t="shared" si="33"/>
        <v>1.2826086956521738</v>
      </c>
      <c r="K79" s="12">
        <f>AA79*Population!$O$33+AB79*Population!$O$34+AC79*Population!$O$35+AD79*Population!$O$36+AE79*Population!$O$37+AF79*Population!$O$38+AG79*Population!$O$39+AH79*Population!$O$40+AI79*Population!$O$41+AJ79*Population!$O$42+AK79*Population!$O$41+AL79*Population!$O$42+AM79*Population!$O$43+AN79*Population!$O$44+AO79*Population!$O$45+AP79*Population!$O$46+AQ79*Population!$O$47+AR79*Population!$O$48</f>
        <v>0.56398479851409444</v>
      </c>
      <c r="L79" s="12">
        <f t="shared" si="39"/>
        <v>6.1987399925616568E-2</v>
      </c>
      <c r="M79" s="12">
        <f>Population!$C$12</f>
        <v>3.0312000000000006</v>
      </c>
      <c r="N79" s="12">
        <f t="shared" si="40"/>
        <v>1.365322744859933</v>
      </c>
      <c r="O79" s="12">
        <f>I79/B79</f>
        <v>0.20701754385964913</v>
      </c>
      <c r="P79" s="12">
        <f>B79-I79-Q79*2</f>
        <v>145.31695880254063</v>
      </c>
      <c r="Q79" s="12">
        <f t="shared" si="41"/>
        <v>40.34152059872968</v>
      </c>
      <c r="R79" s="12">
        <f t="shared" si="42"/>
        <v>32.232071075984472</v>
      </c>
      <c r="S79" s="12">
        <f>SUM(AR79:AR79)/B79</f>
        <v>0.11283552330205962</v>
      </c>
      <c r="T79" s="12">
        <f t="shared" si="34"/>
        <v>0.87698957823325396</v>
      </c>
      <c r="U79" s="12">
        <f>Population!$B$17*MIN(Y78:Z78)</f>
        <v>1.4346954993734524</v>
      </c>
      <c r="V79" s="12">
        <f>X78*Population!$B$18</f>
        <v>0.24135845789290677</v>
      </c>
      <c r="W79" s="12">
        <f>AN78*T78*Population!$B$16</f>
        <v>1.0782260915686608</v>
      </c>
      <c r="X79" s="12">
        <f t="shared" si="45"/>
        <v>40.34152059872968</v>
      </c>
      <c r="Y79" s="14">
        <f t="shared" si="43"/>
        <v>5.7492756492430246</v>
      </c>
      <c r="Z79" s="13">
        <f t="shared" si="44"/>
        <v>5.7492756492430246</v>
      </c>
      <c r="AA79" s="18">
        <f>(G79+Population!$B$15*AA78)*Population!M$33</f>
        <v>19.903196918672023</v>
      </c>
      <c r="AB79" s="18">
        <f>AA78*Population!$B$16*Population!$M$33+AB78*Population!$B$15*Population!$M$34</f>
        <v>19.866282530593093</v>
      </c>
      <c r="AC79" s="14">
        <f>(AB78*Population!$B$16*0.5*Population!$M$34)+(AC78*Population!$B$15*Population!M$35)</f>
        <v>9.8682821683278981</v>
      </c>
      <c r="AD79" s="13">
        <f>(AB78*Population!$B$16*0.5*Population!$M$34)+(AD78*Population!$B$15*Population!M$35)</f>
        <v>9.8682821683278981</v>
      </c>
      <c r="AE79" s="14">
        <f>(AC78*Population!$B$16*Population!M$35)+(AE78*Population!$B$15*Population!M$37)</f>
        <v>9.7780531849069021</v>
      </c>
      <c r="AF79" s="13">
        <f>(AD78*Population!$B$16*Population!M$35)+(AF78*Population!$B$15*Population!M$37)</f>
        <v>9.7780531849069021</v>
      </c>
      <c r="AG79" s="14">
        <f>(AE78*Population!$B$16*Population!M$37)+(AG78*Population!$B$15*Population!M$39)</f>
        <v>9.5869939713557368</v>
      </c>
      <c r="AH79" s="13">
        <f>(AF78*Population!$B$16*Population!M$37)+(AH78*Population!$B$15*Population!M$39)</f>
        <v>9.5869939713557368</v>
      </c>
      <c r="AI79" s="14">
        <f>(AG78*Population!$B$16*Population!M$39)+(AI78*Population!$B$15*Population!M$41)</f>
        <v>9.3067304857959563</v>
      </c>
      <c r="AJ79" s="13">
        <f>(AH78*Population!$B$16*Population!M$39)+(AJ78*Population!$B$15*Population!M$41)</f>
        <v>9.3067304857959563</v>
      </c>
      <c r="AK79" s="14">
        <f>(AI78*Population!$B$16*Population!M$41)+(AK78*Population!$B$15*Population!M$43)</f>
        <v>8.9283817679529012</v>
      </c>
      <c r="AL79" s="13">
        <f>(AJ78*Population!$B$16*Population!M$41)+(AL78*Population!$B$15*Population!M$43)</f>
        <v>8.9283817679529012</v>
      </c>
      <c r="AM79" s="14">
        <f>(AK78*Population!$B$16*Population!M$43)+(AM78*Population!$B$15*Population!M$45)</f>
        <v>8.4906368379612083</v>
      </c>
      <c r="AN79" s="13">
        <f>(AL78*Population!$B$16*Population!M$43)+(AN78*Population!$B$15*Population!M$45)</f>
        <v>8.4906368379612083</v>
      </c>
      <c r="AO79" s="15">
        <f>(AM78+AN78)*Population!$B$16*Population!$M$45+AO78*Population!$B$15*Population!$M$47</f>
        <v>15.722438328699651</v>
      </c>
      <c r="AP79" s="5">
        <f>AO78*Population!M$47*Population!$B$16+AP78*Population!$B$15*Population!M$48</f>
        <v>14.793225454594927</v>
      </c>
      <c r="AQ79" s="5">
        <f>AP78*Population!M$48*Population!$B$16+AQ78*Population!$B$15*Population!M$49</f>
        <v>11.422188132894192</v>
      </c>
      <c r="AR79" s="5">
        <f>(AQ78*Population!$B$16+AR78)*Population!M$50</f>
        <v>32.158124141086994</v>
      </c>
      <c r="AS79">
        <f>AS78*(1-Population!$B$12)+M79</f>
        <v>60</v>
      </c>
    </row>
    <row r="80" spans="1:45">
      <c r="A80">
        <f>A79+Population!$B$2</f>
        <v>77</v>
      </c>
      <c r="B80" s="117">
        <f t="shared" si="35"/>
        <v>286</v>
      </c>
      <c r="C80" s="59">
        <f t="shared" si="36"/>
        <v>150</v>
      </c>
      <c r="D80" s="12">
        <f>AD79*Population!$P$36*Population!$C$2+AF79*Population!$P$38*Population!$C$2+AH79*Population!$P$40*Population!$C$2+AJ79*Population!$P$42*Population!$C$2+AL79*Population!$P$44*Population!$C$2+AN78*Population!$P$46*Population!$C$2</f>
        <v>3.1453128410259534</v>
      </c>
      <c r="E80" s="12">
        <f>IF(B79&gt;Population!$B$6*Population!$B$19,Population!$B$11,IF(Population!$J$6=1,D80,Population!$B$11*Population!$B$6*0.9/B79))</f>
        <v>2.8514203965783622</v>
      </c>
      <c r="F80" s="12">
        <f>IF(B79&gt;Population!$B$6*0.75,Population!$B$11,E80)</f>
        <v>2.8514203965783622</v>
      </c>
      <c r="G80" s="15">
        <f>IF(Population!$J$6=1,IF(E80&gt;H79,H79,E80),IF(E80&gt;X79,X79,E80))</f>
        <v>2.8514203965783622</v>
      </c>
      <c r="H80" s="15">
        <f t="shared" si="37"/>
        <v>46</v>
      </c>
      <c r="I80" s="15">
        <f t="shared" si="38"/>
        <v>59</v>
      </c>
      <c r="J80" s="12">
        <f t="shared" si="33"/>
        <v>1.2826086956521738</v>
      </c>
      <c r="K80" s="12">
        <f>AA80*Population!$O$33+AB80*Population!$O$34+AC80*Population!$O$35+AD80*Population!$O$36+AE80*Population!$O$37+AF80*Population!$O$38+AG80*Population!$O$39+AH80*Population!$O$40+AI80*Population!$O$41+AJ80*Population!$O$42+AK80*Population!$O$41+AL80*Population!$O$42+AM80*Population!$O$43+AN80*Population!$O$44+AO80*Population!$O$45+AP80*Population!$O$46+AQ80*Population!$O$47+AR80*Population!$O$48</f>
        <v>0.56387984724989182</v>
      </c>
      <c r="L80" s="12">
        <f t="shared" si="39"/>
        <v>6.1987399925616568E-2</v>
      </c>
      <c r="M80" s="12">
        <f>Population!$C$12</f>
        <v>3.0312000000000006</v>
      </c>
      <c r="N80" s="12">
        <f t="shared" si="40"/>
        <v>1.3670292420208692</v>
      </c>
      <c r="O80" s="12">
        <f>I80/B80</f>
        <v>0.2062937062937063</v>
      </c>
      <c r="P80" s="12">
        <f>B80-I80-Q80*2</f>
        <v>146.05390494494827</v>
      </c>
      <c r="Q80" s="12">
        <f t="shared" si="41"/>
        <v>40.473047527525864</v>
      </c>
      <c r="R80" s="12">
        <f t="shared" si="42"/>
        <v>32.158124141086994</v>
      </c>
      <c r="S80" s="12">
        <f>SUM(AR80:AR80)/B80</f>
        <v>0.11217762695043725</v>
      </c>
      <c r="T80" s="12">
        <f t="shared" si="34"/>
        <v>0.87984885929404055</v>
      </c>
      <c r="U80" s="12">
        <f>Population!$B$17*MIN(Y79:Z79)</f>
        <v>1.4373189123107561</v>
      </c>
      <c r="V80" s="12">
        <f>X79*Population!$B$18</f>
        <v>0.2420491235923781</v>
      </c>
      <c r="W80" s="12">
        <f>AN79*T79*Population!$B$16</f>
        <v>1.0637428599221899</v>
      </c>
      <c r="X80" s="12">
        <f t="shared" si="45"/>
        <v>40.473047527525864</v>
      </c>
      <c r="Y80" s="14">
        <f t="shared" si="43"/>
        <v>5.7365016091075631</v>
      </c>
      <c r="Z80" s="13">
        <f t="shared" si="44"/>
        <v>5.7365016091075631</v>
      </c>
      <c r="AA80" s="18">
        <f>(G80+Population!$B$15*AA79)*Population!M$33</f>
        <v>19.903219480517102</v>
      </c>
      <c r="AB80" s="18">
        <f>AA79*Population!$B$16*Population!$M$33+AB79*Population!$B$15*Population!$M$34</f>
        <v>19.866570274695047</v>
      </c>
      <c r="AC80" s="14">
        <f>(AB79*Population!$B$16*0.5*Population!$M$34)+(AC79*Population!$B$15*Population!M$35)</f>
        <v>9.8691674972915351</v>
      </c>
      <c r="AD80" s="13">
        <f>(AB79*Population!$B$16*0.5*Population!$M$34)+(AD79*Population!$B$15*Population!M$35)</f>
        <v>9.8691674972915351</v>
      </c>
      <c r="AE80" s="14">
        <f>(AC79*Population!$B$16*Population!M$35)+(AE79*Population!$B$15*Population!M$37)</f>
        <v>9.7816122709645139</v>
      </c>
      <c r="AF80" s="13">
        <f>(AD79*Population!$B$16*Population!M$35)+(AF79*Population!$B$15*Population!M$37)</f>
        <v>9.7816122709645139</v>
      </c>
      <c r="AG80" s="14">
        <f>(AE79*Population!$B$16*Population!M$37)+(AG79*Population!$B$15*Population!M$39)</f>
        <v>9.5971794796865844</v>
      </c>
      <c r="AH80" s="13">
        <f>(AF79*Population!$B$16*Population!M$37)+(AH79*Population!$B$15*Population!M$39)</f>
        <v>9.5971794796865844</v>
      </c>
      <c r="AI80" s="14">
        <f>(AG79*Population!$B$16*Population!M$39)+(AI79*Population!$B$15*Population!M$41)</f>
        <v>9.3288223317871584</v>
      </c>
      <c r="AJ80" s="13">
        <f>(AH79*Population!$B$16*Population!M$39)+(AJ79*Population!$B$15*Population!M$41)</f>
        <v>9.3288223317871584</v>
      </c>
      <c r="AK80" s="14">
        <f>(AI79*Population!$B$16*Population!M$41)+(AK79*Population!$B$15*Population!M$43)</f>
        <v>8.9651853161448312</v>
      </c>
      <c r="AL80" s="13">
        <f>(AJ79*Population!$B$16*Population!M$41)+(AL79*Population!$B$15*Population!M$43)</f>
        <v>8.9651853161448312</v>
      </c>
      <c r="AM80" s="14">
        <f>(AK79*Population!$B$16*Population!M$43)+(AM79*Population!$B$15*Population!M$45)</f>
        <v>8.5367497380503377</v>
      </c>
      <c r="AN80" s="13">
        <f>(AL79*Population!$B$16*Population!M$43)+(AN79*Population!$B$15*Population!M$45)</f>
        <v>8.5367497380503377</v>
      </c>
      <c r="AO80" s="15">
        <f>(AM79+AN79)*Population!$B$16*Population!$M$45+AO79*Population!$B$15*Population!$M$47</f>
        <v>15.799910505052019</v>
      </c>
      <c r="AP80" s="5">
        <f>AO79*Population!M$47*Population!$B$16+AP79*Population!$B$15*Population!M$48</f>
        <v>14.817756867301611</v>
      </c>
      <c r="AQ80" s="5">
        <f>AP79*Population!M$48*Population!$B$16+AQ79*Population!$B$15*Population!M$49</f>
        <v>11.393829957224483</v>
      </c>
      <c r="AR80" s="5">
        <f>(AQ79*Population!$B$16+AR79)*Population!M$50</f>
        <v>32.082801307825051</v>
      </c>
      <c r="AS80">
        <f>AS79*(1-Population!$B$12)+M80</f>
        <v>60</v>
      </c>
    </row>
    <row r="81" spans="1:45">
      <c r="A81">
        <f>A80+Population!$B$2</f>
        <v>78</v>
      </c>
      <c r="B81" s="117">
        <f t="shared" si="35"/>
        <v>286</v>
      </c>
      <c r="C81" s="59">
        <f t="shared" si="36"/>
        <v>150</v>
      </c>
      <c r="D81" s="12">
        <f>AD80*Population!$P$36*Population!$C$2+AF80*Population!$P$38*Population!$C$2+AH80*Population!$P$40*Population!$C$2+AJ80*Population!$P$42*Population!$C$2+AL80*Population!$P$44*Population!$C$2+AN79*Population!$P$46*Population!$C$2</f>
        <v>3.1509188916911399</v>
      </c>
      <c r="E81" s="12">
        <f>IF(B80&gt;Population!$B$6*Population!$B$19,Population!$B$11,IF(Population!$J$6=1,D81,Population!$B$11*Population!$B$6*0.9/B80))</f>
        <v>2.8514203965783622</v>
      </c>
      <c r="F81" s="12">
        <f>IF(B80&gt;Population!$B$6*0.75,Population!$B$11,E81)</f>
        <v>2.8514203965783622</v>
      </c>
      <c r="G81" s="15">
        <f>IF(Population!$J$6=1,IF(E81&gt;H80,H80,E81),IF(E81&gt;X80,X80,E81))</f>
        <v>2.8514203965783622</v>
      </c>
      <c r="H81" s="15">
        <f t="shared" si="37"/>
        <v>46</v>
      </c>
      <c r="I81" s="15">
        <f t="shared" si="38"/>
        <v>59</v>
      </c>
      <c r="J81" s="12">
        <f t="shared" si="33"/>
        <v>1.2826086956521738</v>
      </c>
      <c r="K81" s="12">
        <f>AA81*Population!$O$33+AB81*Population!$O$34+AC81*Population!$O$35+AD81*Population!$O$36+AE81*Population!$O$37+AF81*Population!$O$38+AG81*Population!$O$39+AH81*Population!$O$40+AI81*Population!$O$41+AJ81*Population!$O$42+AK81*Population!$O$41+AL81*Population!$O$42+AM81*Population!$O$43+AN81*Population!$O$44+AO81*Population!$O$45+AP81*Population!$O$46+AQ81*Population!$O$47+AR81*Population!$O$48</f>
        <v>0.56383014916620522</v>
      </c>
      <c r="L81" s="12">
        <f t="shared" si="39"/>
        <v>6.1987399925616568E-2</v>
      </c>
      <c r="M81" s="12">
        <f>Population!$C$12</f>
        <v>3.0312000000000006</v>
      </c>
      <c r="N81" s="12">
        <f t="shared" si="40"/>
        <v>1.3685886473810782</v>
      </c>
      <c r="O81" s="12">
        <f>I81/B81</f>
        <v>0.2062937062937063</v>
      </c>
      <c r="P81" s="12">
        <f>B81-I81-Q81*2</f>
        <v>145.81734485903974</v>
      </c>
      <c r="Q81" s="12">
        <f t="shared" si="41"/>
        <v>40.591327570480132</v>
      </c>
      <c r="R81" s="12">
        <f t="shared" si="42"/>
        <v>32.082801307825051</v>
      </c>
      <c r="S81" s="12">
        <f>SUM(AR81:AR81)/B81</f>
        <v>0.11191411636766314</v>
      </c>
      <c r="T81" s="12">
        <f t="shared" si="34"/>
        <v>0.88242016457565509</v>
      </c>
      <c r="U81" s="12">
        <f>Population!$B$17*MIN(Y80:Z80)</f>
        <v>1.4341254022768908</v>
      </c>
      <c r="V81" s="12">
        <f>X80*Population!$B$18</f>
        <v>0.24283828516515518</v>
      </c>
      <c r="W81" s="12">
        <f>AN80*T80*Population!$B$16</f>
        <v>1.0730070741574698</v>
      </c>
      <c r="X81" s="12">
        <f t="shared" si="45"/>
        <v>40.591327570480132</v>
      </c>
      <c r="Y81" s="14">
        <f t="shared" si="43"/>
        <v>5.7303013368931701</v>
      </c>
      <c r="Z81" s="13">
        <f t="shared" si="44"/>
        <v>5.7303013368931701</v>
      </c>
      <c r="AA81" s="18">
        <f>(G81+Population!$B$15*AA80)*Population!M$33</f>
        <v>19.903238811389933</v>
      </c>
      <c r="AB81" s="18">
        <f>AA80*Population!$B$16*Population!$M$33+AB80*Population!$B$15*Population!$M$34</f>
        <v>19.866820078815351</v>
      </c>
      <c r="AC81" s="14">
        <f>(AB80*Population!$B$16*0.5*Population!$M$34)+(AC80*Population!$B$15*Population!M$35)</f>
        <v>9.8699461760273319</v>
      </c>
      <c r="AD81" s="13">
        <f>(AB80*Population!$B$16*0.5*Population!$M$34)+(AD80*Population!$B$15*Population!M$35)</f>
        <v>9.8699461760273319</v>
      </c>
      <c r="AE81" s="14">
        <f>(AC80*Population!$B$16*Population!M$35)+(AE80*Population!$B$15*Population!M$37)</f>
        <v>9.784786363926905</v>
      </c>
      <c r="AF81" s="13">
        <f>(AD80*Population!$B$16*Population!M$35)+(AF80*Population!$B$15*Population!M$37)</f>
        <v>9.784786363926905</v>
      </c>
      <c r="AG81" s="14">
        <f>(AE80*Population!$B$16*Population!M$37)+(AG80*Population!$B$15*Population!M$39)</f>
        <v>9.6064011092834001</v>
      </c>
      <c r="AH81" s="13">
        <f>(AF80*Population!$B$16*Population!M$37)+(AH80*Population!$B$15*Population!M$39)</f>
        <v>9.6064011092834001</v>
      </c>
      <c r="AI81" s="14">
        <f>(AG80*Population!$B$16*Population!M$39)+(AI80*Population!$B$15*Population!M$41)</f>
        <v>9.3491741217923359</v>
      </c>
      <c r="AJ81" s="13">
        <f>(AH80*Population!$B$16*Population!M$39)+(AJ80*Population!$B$15*Population!M$41)</f>
        <v>9.3491741217923359</v>
      </c>
      <c r="AK81" s="14">
        <f>(AI80*Population!$B$16*Population!M$41)+(AK80*Population!$B$15*Population!M$43)</f>
        <v>8.999820564991019</v>
      </c>
      <c r="AL81" s="13">
        <f>(AJ80*Population!$B$16*Population!M$41)+(AL80*Population!$B$15*Population!M$43)</f>
        <v>8.999820564991019</v>
      </c>
      <c r="AM81" s="14">
        <f>(AK80*Population!$B$16*Population!M$43)+(AM80*Population!$B$15*Population!M$45)</f>
        <v>8.5814467473796459</v>
      </c>
      <c r="AN81" s="13">
        <f>(AL80*Population!$B$16*Population!M$43)+(AN80*Population!$B$15*Population!M$45)</f>
        <v>8.5814467473796459</v>
      </c>
      <c r="AO81" s="15">
        <f>(AM80+AN80)*Population!$B$16*Population!$M$45+AO80*Population!$B$15*Population!$M$47</f>
        <v>15.878983611492702</v>
      </c>
      <c r="AP81" s="5">
        <f>AO80*Population!M$47*Population!$B$16+AP80*Population!$B$15*Population!M$48</f>
        <v>14.849618561996063</v>
      </c>
      <c r="AQ81" s="5">
        <f>AP80*Population!M$48*Population!$B$16+AQ80*Population!$B$15*Population!M$49</f>
        <v>11.374230019532385</v>
      </c>
      <c r="AR81" s="5">
        <f>(AQ80*Population!$B$16+AR80)*Population!M$50</f>
        <v>32.00743728115166</v>
      </c>
      <c r="AS81">
        <f>AS80*(1-Population!$B$12)+M81</f>
        <v>60</v>
      </c>
    </row>
    <row r="82" spans="1:45">
      <c r="A82">
        <f>A81+Population!$B$2</f>
        <v>79</v>
      </c>
      <c r="B82" s="117">
        <f t="shared" si="35"/>
        <v>286</v>
      </c>
      <c r="C82" s="59">
        <f t="shared" si="36"/>
        <v>150</v>
      </c>
      <c r="D82" s="12">
        <f>AD81*Population!$P$36*Population!$C$2+AF81*Population!$P$38*Population!$C$2+AH81*Population!$P$40*Population!$C$2+AJ81*Population!$P$42*Population!$C$2+AL81*Population!$P$44*Population!$C$2+AN80*Population!$P$46*Population!$C$2</f>
        <v>3.1561517132607597</v>
      </c>
      <c r="E82" s="12">
        <f>IF(B81&gt;Population!$B$6*Population!$B$19,Population!$B$11,IF(Population!$J$6=1,D82,Population!$B$11*Population!$B$6*0.9/B81))</f>
        <v>2.8514203965783622</v>
      </c>
      <c r="F82" s="12">
        <f>IF(B81&gt;Population!$B$6*0.75,Population!$B$11,E82)</f>
        <v>2.8514203965783622</v>
      </c>
      <c r="G82" s="15">
        <f>IF(Population!$J$6=1,IF(E82&gt;H81,H81,E82),IF(E82&gt;X81,X81,E82))</f>
        <v>2.8514203965783622</v>
      </c>
      <c r="H82" s="15">
        <f t="shared" si="37"/>
        <v>46</v>
      </c>
      <c r="I82" s="15">
        <f t="shared" si="38"/>
        <v>59</v>
      </c>
      <c r="J82" s="12">
        <f t="shared" si="33"/>
        <v>1.2826086956521738</v>
      </c>
      <c r="K82" s="12">
        <f>AA82*Population!$O$33+AB82*Population!$O$34+AC82*Population!$O$35+AD82*Population!$O$36+AE82*Population!$O$37+AF82*Population!$O$38+AG82*Population!$O$39+AH82*Population!$O$40+AI82*Population!$O$41+AJ82*Population!$O$42+AK82*Population!$O$41+AL82*Population!$O$42+AM82*Population!$O$43+AN82*Population!$O$44+AO82*Population!$O$45+AP82*Population!$O$46+AQ82*Population!$O$47+AR82*Population!$O$48</f>
        <v>0.56383786529750268</v>
      </c>
      <c r="L82" s="12">
        <f t="shared" si="39"/>
        <v>6.1987399925616568E-2</v>
      </c>
      <c r="M82" s="12">
        <f>Population!$C$12</f>
        <v>3.0312000000000006</v>
      </c>
      <c r="N82" s="12">
        <f t="shared" si="40"/>
        <v>1.3700123151967494</v>
      </c>
      <c r="O82" s="12">
        <f>I82/B82</f>
        <v>0.2062937062937063</v>
      </c>
      <c r="P82" s="12">
        <f>B82-I82-Q82*2</f>
        <v>145.60284487890175</v>
      </c>
      <c r="Q82" s="12">
        <f t="shared" si="41"/>
        <v>40.698577560549118</v>
      </c>
      <c r="R82" s="12">
        <f t="shared" si="42"/>
        <v>32.00743728115166</v>
      </c>
      <c r="S82" s="12">
        <f>SUM(AR82:AR82)/B82</f>
        <v>0.11165462276068967</v>
      </c>
      <c r="T82" s="12">
        <f t="shared" si="34"/>
        <v>0.88475168609889387</v>
      </c>
      <c r="U82" s="12">
        <f>Population!$B$17*MIN(Y81:Z81)</f>
        <v>1.4325753342232925</v>
      </c>
      <c r="V82" s="12">
        <f>X81*Population!$B$18</f>
        <v>0.24354796542288079</v>
      </c>
      <c r="W82" s="12">
        <f>AN81*T81*Population!$B$16</f>
        <v>1.0817773787314238</v>
      </c>
      <c r="X82" s="12">
        <f t="shared" si="45"/>
        <v>40.698577560549118</v>
      </c>
      <c r="Y82" s="14">
        <f t="shared" si="43"/>
        <v>5.7286571002640798</v>
      </c>
      <c r="Z82" s="13">
        <f t="shared" si="44"/>
        <v>5.7286571002640798</v>
      </c>
      <c r="AA82" s="18">
        <f>(G82+Population!$B$15*AA81)*Population!M$33</f>
        <v>19.903255373982361</v>
      </c>
      <c r="AB82" s="18">
        <f>AA81*Population!$B$16*Population!$M$33+AB81*Population!$B$15*Population!$M$34</f>
        <v>19.867036908888316</v>
      </c>
      <c r="AC82" s="14">
        <f>(AB81*Population!$B$16*0.5*Population!$M$34)+(AC81*Population!$B$15*Population!M$35)</f>
        <v>9.8706308180111826</v>
      </c>
      <c r="AD82" s="13">
        <f>(AB81*Population!$B$16*0.5*Population!$M$34)+(AD81*Population!$B$15*Population!M$35)</f>
        <v>9.8706308180111826</v>
      </c>
      <c r="AE82" s="14">
        <f>(AC81*Population!$B$16*Population!M$35)+(AE81*Population!$B$15*Population!M$37)</f>
        <v>9.7876155560648694</v>
      </c>
      <c r="AF82" s="13">
        <f>(AD81*Population!$B$16*Population!M$35)+(AF81*Population!$B$15*Population!M$37)</f>
        <v>9.7876155560648694</v>
      </c>
      <c r="AG82" s="14">
        <f>(AE81*Population!$B$16*Population!M$37)+(AG81*Population!$B$15*Population!M$39)</f>
        <v>9.6147431967776473</v>
      </c>
      <c r="AH82" s="13">
        <f>(AF81*Population!$B$16*Population!M$37)+(AH81*Population!$B$15*Population!M$39)</f>
        <v>9.6147431967776473</v>
      </c>
      <c r="AI82" s="14">
        <f>(AG81*Population!$B$16*Population!M$39)+(AI81*Population!$B$15*Population!M$41)</f>
        <v>9.3678998662892212</v>
      </c>
      <c r="AJ82" s="13">
        <f>(AH81*Population!$B$16*Population!M$39)+(AJ81*Population!$B$15*Population!M$41)</f>
        <v>9.3678998662892212</v>
      </c>
      <c r="AK82" s="14">
        <f>(AI81*Population!$B$16*Population!M$41)+(AK81*Population!$B$15*Population!M$43)</f>
        <v>9.0323527377879866</v>
      </c>
      <c r="AL82" s="13">
        <f>(AJ81*Population!$B$16*Population!M$41)+(AL81*Population!$B$15*Population!M$43)</f>
        <v>9.0323527377879866</v>
      </c>
      <c r="AM82" s="14">
        <f>(AK81*Population!$B$16*Population!M$43)+(AM81*Population!$B$15*Population!M$45)</f>
        <v>8.6246233038934719</v>
      </c>
      <c r="AN82" s="13">
        <f>(AL81*Population!$B$16*Population!M$43)+(AN81*Population!$B$15*Population!M$45)</f>
        <v>8.6246233038934719</v>
      </c>
      <c r="AO82" s="15">
        <f>(AM81+AN81)*Population!$B$16*Population!$M$45+AO81*Population!$B$15*Population!$M$47</f>
        <v>15.95901523158652</v>
      </c>
      <c r="AP82" s="5">
        <f>AO81*Population!M$47*Population!$B$16+AP81*Population!$B$15*Population!M$48</f>
        <v>14.887944849262706</v>
      </c>
      <c r="AQ82" s="5">
        <f>AP81*Population!M$48*Population!$B$16+AQ81*Population!$B$15*Population!M$49</f>
        <v>11.362797477299324</v>
      </c>
      <c r="AR82" s="5">
        <f>(AQ81*Population!$B$16+AR81)*Population!M$50</f>
        <v>31.933222109557246</v>
      </c>
      <c r="AS82">
        <f>AS81*(1-Population!$B$12)+M82</f>
        <v>60</v>
      </c>
    </row>
    <row r="83" spans="1:45">
      <c r="A83">
        <f>A82+Population!$B$2</f>
        <v>80</v>
      </c>
      <c r="B83" s="117">
        <f t="shared" si="35"/>
        <v>286</v>
      </c>
      <c r="C83" s="59">
        <f t="shared" si="36"/>
        <v>149</v>
      </c>
      <c r="D83" s="12">
        <f>AD82*Population!$P$36*Population!$C$2+AF82*Population!$P$38*Population!$C$2+AH82*Population!$P$40*Population!$C$2+AJ82*Population!$P$42*Population!$C$2+AL82*Population!$P$44*Population!$C$2+AN81*Population!$P$46*Population!$C$2</f>
        <v>3.1610305133695888</v>
      </c>
      <c r="E83" s="12">
        <f>IF(B82&gt;Population!$B$6*Population!$B$19,Population!$B$11,IF(Population!$J$6=1,D83,Population!$B$11*Population!$B$6*0.9/B82))</f>
        <v>2.8514203965783622</v>
      </c>
      <c r="F83" s="12">
        <f>IF(B82&gt;Population!$B$6*0.75,Population!$B$11,E83)</f>
        <v>2.8514203965783622</v>
      </c>
      <c r="G83" s="15">
        <f>IF(Population!$J$6=1,IF(E83&gt;H82,H82,E83),IF(E83&gt;X82,X82,E83))</f>
        <v>2.8514203965783622</v>
      </c>
      <c r="H83" s="15">
        <f t="shared" si="37"/>
        <v>46</v>
      </c>
      <c r="I83" s="15">
        <f t="shared" si="38"/>
        <v>59</v>
      </c>
      <c r="J83" s="12">
        <f t="shared" si="33"/>
        <v>1.2826086956521738</v>
      </c>
      <c r="K83" s="12">
        <f>AA83*Population!$O$33+AB83*Population!$O$34+AC83*Population!$O$35+AD83*Population!$O$36+AE83*Population!$O$37+AF83*Population!$O$38+AG83*Population!$O$39+AH83*Population!$O$40+AI83*Population!$O$41+AJ83*Population!$O$42+AK83*Population!$O$41+AL83*Population!$O$42+AM83*Population!$O$43+AN83*Population!$O$44+AO83*Population!$O$45+AP83*Population!$O$46+AQ83*Population!$O$47+AR83*Population!$O$48</f>
        <v>0.56390431412052122</v>
      </c>
      <c r="L83" s="12">
        <f t="shared" si="39"/>
        <v>6.1987399925616568E-2</v>
      </c>
      <c r="M83" s="12">
        <f>Population!$C$12</f>
        <v>3.0312000000000006</v>
      </c>
      <c r="N83" s="12">
        <f t="shared" si="40"/>
        <v>1.3713108914018757</v>
      </c>
      <c r="O83" s="12">
        <f>I83/B83</f>
        <v>0.2062937062937063</v>
      </c>
      <c r="P83" s="12">
        <f>B83-I83-Q83*2</f>
        <v>145.40708497666418</v>
      </c>
      <c r="Q83" s="12">
        <f t="shared" si="41"/>
        <v>40.79645751166791</v>
      </c>
      <c r="R83" s="12">
        <f t="shared" si="42"/>
        <v>31.933222109557246</v>
      </c>
      <c r="S83" s="12">
        <f>SUM(AR83:AR83)/B83</f>
        <v>0.11140281670770384</v>
      </c>
      <c r="T83" s="12">
        <f t="shared" si="34"/>
        <v>0.88687951112321539</v>
      </c>
      <c r="U83" s="12">
        <f>Population!$B$17*MIN(Y82:Z82)</f>
        <v>1.43216427506602</v>
      </c>
      <c r="V83" s="12">
        <f>X82*Population!$B$18</f>
        <v>0.24419146536329472</v>
      </c>
      <c r="W83" s="12">
        <f>AN82*T82*Population!$B$16</f>
        <v>1.0900928585839373</v>
      </c>
      <c r="X83" s="12">
        <f t="shared" si="45"/>
        <v>40.79645751166791</v>
      </c>
      <c r="Y83" s="14">
        <f t="shared" si="43"/>
        <v>5.7301243513666194</v>
      </c>
      <c r="Z83" s="13">
        <f t="shared" si="44"/>
        <v>5.7301243513666194</v>
      </c>
      <c r="AA83" s="18">
        <f>(G83+Population!$B$15*AA82)*Population!M$33</f>
        <v>19.903269564726372</v>
      </c>
      <c r="AB83" s="18">
        <f>AA82*Population!$B$16*Population!$M$33+AB82*Population!$B$15*Population!$M$34</f>
        <v>19.867225086543346</v>
      </c>
      <c r="AC83" s="14">
        <f>(AB82*Population!$B$16*0.5*Population!$M$34)+(AC82*Population!$B$15*Population!M$35)</f>
        <v>9.8712325791202318</v>
      </c>
      <c r="AD83" s="13">
        <f>(AB82*Population!$B$16*0.5*Population!$M$34)+(AD82*Population!$B$15*Population!M$35)</f>
        <v>9.8712325791202318</v>
      </c>
      <c r="AE83" s="14">
        <f>(AC82*Population!$B$16*Population!M$35)+(AE82*Population!$B$15*Population!M$37)</f>
        <v>9.7901359796401799</v>
      </c>
      <c r="AF83" s="13">
        <f>(AD82*Population!$B$16*Population!M$35)+(AF82*Population!$B$15*Population!M$37)</f>
        <v>9.7901359796401799</v>
      </c>
      <c r="AG83" s="14">
        <f>(AE82*Population!$B$16*Population!M$37)+(AG82*Population!$B$15*Population!M$39)</f>
        <v>9.6222836139255641</v>
      </c>
      <c r="AH83" s="13">
        <f>(AF82*Population!$B$16*Population!M$37)+(AH82*Population!$B$15*Population!M$39)</f>
        <v>9.6222836139255641</v>
      </c>
      <c r="AI83" s="14">
        <f>(AG82*Population!$B$16*Population!M$39)+(AI82*Population!$B$15*Population!M$41)</f>
        <v>9.3851091258736457</v>
      </c>
      <c r="AJ83" s="13">
        <f>(AH82*Population!$B$16*Population!M$39)+(AJ82*Population!$B$15*Population!M$41)</f>
        <v>9.3851091258736457</v>
      </c>
      <c r="AK83" s="14">
        <f>(AI82*Population!$B$16*Population!M$41)+(AK82*Population!$B$15*Population!M$43)</f>
        <v>9.0628538888192214</v>
      </c>
      <c r="AL83" s="13">
        <f>(AJ82*Population!$B$16*Population!M$41)+(AL82*Population!$B$15*Population!M$43)</f>
        <v>9.0628538888192214</v>
      </c>
      <c r="AM83" s="14">
        <f>(AK82*Population!$B$16*Population!M$43)+(AM82*Population!$B$15*Population!M$45)</f>
        <v>8.6661992547759166</v>
      </c>
      <c r="AN83" s="13">
        <f>(AL82*Population!$B$16*Population!M$43)+(AN82*Population!$B$15*Population!M$45)</f>
        <v>8.6661992547759166</v>
      </c>
      <c r="AO83" s="15">
        <f>(AM82+AN82)*Population!$B$16*Population!$M$45+AO82*Population!$B$15*Population!$M$47</f>
        <v>16.039428897320732</v>
      </c>
      <c r="AP83" s="5">
        <f>AO82*Population!M$47*Population!$B$16+AP82*Population!$B$15*Population!M$48</f>
        <v>14.93190798082726</v>
      </c>
      <c r="AQ83" s="5">
        <f>AP82*Population!M$48*Population!$B$16+AQ82*Population!$B$15*Population!M$49</f>
        <v>11.358928705940361</v>
      </c>
      <c r="AR83" s="5">
        <f>(AQ82*Population!$B$16+AR82)*Population!M$50</f>
        <v>31.861205578403297</v>
      </c>
      <c r="AS83">
        <f>AS82*(1-Population!$B$12)+M83</f>
        <v>60</v>
      </c>
    </row>
    <row r="84" spans="1:45">
      <c r="A84">
        <f>A83+Population!$B$2</f>
        <v>81</v>
      </c>
      <c r="B84" s="117">
        <f t="shared" si="35"/>
        <v>287</v>
      </c>
      <c r="C84" s="59">
        <f t="shared" si="36"/>
        <v>150</v>
      </c>
      <c r="D84" s="12">
        <f>AD83*Population!$P$36*Population!$C$2+AF83*Population!$P$38*Population!$C$2+AH83*Population!$P$40*Population!$C$2+AJ83*Population!$P$42*Population!$C$2+AL83*Population!$P$44*Population!$C$2+AN82*Population!$P$46*Population!$C$2</f>
        <v>3.1655741568487774</v>
      </c>
      <c r="E84" s="12">
        <f>IF(B83&gt;Population!$B$6*Population!$B$19,Population!$B$11,IF(Population!$J$6=1,D84,Population!$B$11*Population!$B$6*0.9/B83))</f>
        <v>2.8514203965783622</v>
      </c>
      <c r="F84" s="12">
        <f>IF(B83&gt;Population!$B$6*0.75,Population!$B$11,E84)</f>
        <v>2.8514203965783622</v>
      </c>
      <c r="G84" s="15">
        <f>IF(Population!$J$6=1,IF(E84&gt;H83,H83,E84),IF(E84&gt;X83,X83,E84))</f>
        <v>2.8514203965783622</v>
      </c>
      <c r="H84" s="15">
        <f t="shared" si="37"/>
        <v>46</v>
      </c>
      <c r="I84" s="15">
        <f t="shared" si="38"/>
        <v>59</v>
      </c>
      <c r="J84" s="12">
        <f t="shared" si="33"/>
        <v>1.2826086956521738</v>
      </c>
      <c r="K84" s="12">
        <f>AA84*Population!$O$33+AB84*Population!$O$34+AC84*Population!$O$35+AD84*Population!$O$36+AE84*Population!$O$37+AF84*Population!$O$38+AG84*Population!$O$39+AH84*Population!$O$40+AI84*Population!$O$41+AJ84*Population!$O$42+AK84*Population!$O$41+AL84*Population!$O$42+AM84*Population!$O$43+AN84*Population!$O$44+AO84*Population!$O$45+AP84*Population!$O$46+AQ84*Population!$O$47+AR84*Population!$O$48</f>
        <v>0.56403005354570568</v>
      </c>
      <c r="L84" s="12">
        <f t="shared" si="39"/>
        <v>6.1987399925616568E-2</v>
      </c>
      <c r="M84" s="12">
        <f>Population!$C$12</f>
        <v>3.0312000000000006</v>
      </c>
      <c r="N84" s="12">
        <f t="shared" si="40"/>
        <v>1.3724943350928778</v>
      </c>
      <c r="O84" s="12">
        <f>I84/B84</f>
        <v>0.20557491289198607</v>
      </c>
      <c r="P84" s="12">
        <f>B84-I84-Q84*2</f>
        <v>146.22754445065576</v>
      </c>
      <c r="Q84" s="12">
        <f t="shared" si="41"/>
        <v>40.886227774672122</v>
      </c>
      <c r="R84" s="12">
        <f t="shared" si="42"/>
        <v>31.861205578403297</v>
      </c>
      <c r="S84" s="12">
        <f>SUM(AR84:AR84)/B84</f>
        <v>0.11077457338765197</v>
      </c>
      <c r="T84" s="12">
        <f t="shared" si="34"/>
        <v>0.8888310385798287</v>
      </c>
      <c r="U84" s="12">
        <f>Population!$B$17*MIN(Y83:Z83)</f>
        <v>1.4325310878416548</v>
      </c>
      <c r="V84" s="12">
        <f>X83*Population!$B$18</f>
        <v>0.24477874507000746</v>
      </c>
      <c r="W84" s="12">
        <f>AN83*T83*Population!$B$16</f>
        <v>1.097982079767434</v>
      </c>
      <c r="X84" s="12">
        <f t="shared" si="45"/>
        <v>40.886227774672122</v>
      </c>
      <c r="Y84" s="14">
        <f t="shared" si="43"/>
        <v>5.7336708472870654</v>
      </c>
      <c r="Z84" s="13">
        <f t="shared" si="44"/>
        <v>5.7336708472870654</v>
      </c>
      <c r="AA84" s="18">
        <f>(G84+Population!$B$15*AA83)*Population!M$33</f>
        <v>19.903281723282859</v>
      </c>
      <c r="AB84" s="18">
        <f>AA83*Population!$B$16*Population!$M$33+AB83*Population!$B$15*Population!$M$34</f>
        <v>19.867388371810907</v>
      </c>
      <c r="AC84" s="14">
        <f>(AB83*Population!$B$16*0.5*Population!$M$34)+(AC83*Population!$B$15*Population!M$35)</f>
        <v>9.8717613210404895</v>
      </c>
      <c r="AD84" s="13">
        <f>(AB83*Population!$B$16*0.5*Population!$M$34)+(AD83*Population!$B$15*Population!M$35)</f>
        <v>9.8717613210404895</v>
      </c>
      <c r="AE84" s="14">
        <f>(AC83*Population!$B$16*Population!M$35)+(AE83*Population!$B$15*Population!M$37)</f>
        <v>9.7923801678259768</v>
      </c>
      <c r="AF84" s="13">
        <f>(AD83*Population!$B$16*Population!M$35)+(AF83*Population!$B$15*Population!M$37)</f>
        <v>9.7923801678259768</v>
      </c>
      <c r="AG84" s="14">
        <f>(AE83*Population!$B$16*Population!M$37)+(AG83*Population!$B$15*Population!M$39)</f>
        <v>9.6290941366246496</v>
      </c>
      <c r="AH84" s="13">
        <f>(AF83*Population!$B$16*Population!M$37)+(AH83*Population!$B$15*Population!M$39)</f>
        <v>9.6290941366246496</v>
      </c>
      <c r="AI84" s="14">
        <f>(AG83*Population!$B$16*Population!M$39)+(AI83*Population!$B$15*Population!M$41)</f>
        <v>9.4009067324998057</v>
      </c>
      <c r="AJ84" s="13">
        <f>(AH83*Population!$B$16*Population!M$39)+(AJ83*Population!$B$15*Population!M$41)</f>
        <v>9.4009067324998057</v>
      </c>
      <c r="AK84" s="14">
        <f>(AI83*Population!$B$16*Population!M$41)+(AK83*Population!$B$15*Population!M$43)</f>
        <v>9.091401281781156</v>
      </c>
      <c r="AL84" s="13">
        <f>(AJ83*Population!$B$16*Population!M$41)+(AL83*Population!$B$15*Population!M$43)</f>
        <v>9.091401281781156</v>
      </c>
      <c r="AM84" s="14">
        <f>(AK83*Population!$B$16*Population!M$43)+(AM83*Population!$B$15*Population!M$45)</f>
        <v>8.7061163032275957</v>
      </c>
      <c r="AN84" s="13">
        <f>(AL83*Population!$B$16*Population!M$43)+(AN83*Population!$B$15*Population!M$45)</f>
        <v>8.7061163032275957</v>
      </c>
      <c r="AO84" s="15">
        <f>(AM83+AN83)*Population!$B$16*Population!$M$45+AO83*Population!$B$15*Population!$M$47</f>
        <v>16.119711218757779</v>
      </c>
      <c r="AP84" s="5">
        <f>AO83*Population!M$47*Population!$B$16+AP83*Population!$B$15*Population!M$48</f>
        <v>14.980721846516106</v>
      </c>
      <c r="AQ84" s="5">
        <f>AP83*Population!M$48*Population!$B$16+AQ83*Population!$B$15*Population!M$49</f>
        <v>11.362015059180541</v>
      </c>
      <c r="AR84" s="5">
        <f>(AQ83*Population!$B$16+AR83)*Population!M$50</f>
        <v>31.792302562256115</v>
      </c>
      <c r="AS84">
        <f>AS83*(1-Population!$B$12)+M84</f>
        <v>60</v>
      </c>
    </row>
    <row r="85" spans="1:45">
      <c r="A85">
        <f>A84+Population!$B$2</f>
        <v>82</v>
      </c>
      <c r="B85" s="117">
        <f t="shared" si="35"/>
        <v>287</v>
      </c>
      <c r="C85" s="59">
        <f t="shared" si="36"/>
        <v>150</v>
      </c>
      <c r="D85" s="12">
        <f>AD84*Population!$P$36*Population!$C$2+AF84*Population!$P$38*Population!$C$2+AH84*Population!$P$40*Population!$C$2+AJ84*Population!$P$42*Population!$C$2+AL84*Population!$P$44*Population!$C$2+AN83*Population!$P$46*Population!$C$2</f>
        <v>3.1698010826642791</v>
      </c>
      <c r="E85" s="12">
        <f>IF(B84&gt;Population!$B$6*Population!$B$19,Population!$B$11,IF(Population!$J$6=1,D85,Population!$B$11*Population!$B$6*0.9/B84))</f>
        <v>2.8514203965783622</v>
      </c>
      <c r="F85" s="12">
        <f>IF(B84&gt;Population!$B$6*0.75,Population!$B$11,E85)</f>
        <v>2.8514203965783622</v>
      </c>
      <c r="G85" s="15">
        <f>IF(Population!$J$6=1,IF(E85&gt;H84,H84,E85),IF(E85&gt;X84,X84,E85))</f>
        <v>2.8514203965783622</v>
      </c>
      <c r="H85" s="15">
        <f t="shared" si="37"/>
        <v>46</v>
      </c>
      <c r="I85" s="15">
        <f t="shared" si="38"/>
        <v>59</v>
      </c>
      <c r="J85" s="12">
        <f t="shared" si="33"/>
        <v>1.2826086956521738</v>
      </c>
      <c r="K85" s="12">
        <f>AA85*Population!$O$33+AB85*Population!$O$34+AC85*Population!$O$35+AD85*Population!$O$36+AE85*Population!$O$37+AF85*Population!$O$38+AG85*Population!$O$39+AH85*Population!$O$40+AI85*Population!$O$41+AJ85*Population!$O$42+AK85*Population!$O$41+AL85*Population!$O$42+AM85*Population!$O$43+AN85*Population!$O$44+AO85*Population!$O$45+AP85*Population!$O$46+AQ85*Population!$O$47+AR85*Population!$O$48</f>
        <v>0.56421496102604285</v>
      </c>
      <c r="L85" s="12">
        <f t="shared" si="39"/>
        <v>6.1987399925616568E-2</v>
      </c>
      <c r="M85" s="12">
        <f>Population!$C$12</f>
        <v>3.0312000000000006</v>
      </c>
      <c r="N85" s="12">
        <f t="shared" si="40"/>
        <v>1.3735719429918407</v>
      </c>
      <c r="O85" s="12">
        <f>I85/B85</f>
        <v>0.20557491289198607</v>
      </c>
      <c r="P85" s="12">
        <f>B85-I85-Q85*2</f>
        <v>146.0622770162496</v>
      </c>
      <c r="Q85" s="12">
        <f t="shared" si="41"/>
        <v>40.968861491875209</v>
      </c>
      <c r="R85" s="12">
        <f t="shared" si="42"/>
        <v>31.792302562256115</v>
      </c>
      <c r="S85" s="12">
        <f>SUM(AR85:AR85)/B85</f>
        <v>0.11054808069490656</v>
      </c>
      <c r="T85" s="12">
        <f t="shared" si="34"/>
        <v>0.89062742373641757</v>
      </c>
      <c r="U85" s="12">
        <f>Population!$B$17*MIN(Y84:Z84)</f>
        <v>1.4334177118217664</v>
      </c>
      <c r="V85" s="12">
        <f>X84*Population!$B$18</f>
        <v>0.24531736664803275</v>
      </c>
      <c r="W85" s="12">
        <f>AN84*T84*Population!$B$16</f>
        <v>1.1054666279706518</v>
      </c>
      <c r="X85" s="12">
        <f t="shared" si="45"/>
        <v>40.968861491875209</v>
      </c>
      <c r="Y85" s="14">
        <f t="shared" si="43"/>
        <v>5.7385608667201211</v>
      </c>
      <c r="Z85" s="13">
        <f t="shared" si="44"/>
        <v>5.7385608667201211</v>
      </c>
      <c r="AA85" s="18">
        <f>(G85+Population!$B$15*AA84)*Population!M$33</f>
        <v>19.903292140671532</v>
      </c>
      <c r="AB85" s="18">
        <f>AA84*Population!$B$16*Population!$M$33+AB84*Population!$B$15*Population!$M$34</f>
        <v>19.867530035352388</v>
      </c>
      <c r="AC85" s="14">
        <f>(AB84*Population!$B$16*0.5*Population!$M$34)+(AC84*Population!$B$15*Population!M$35)</f>
        <v>9.8722257571032657</v>
      </c>
      <c r="AD85" s="13">
        <f>(AB84*Population!$B$16*0.5*Population!$M$34)+(AD84*Population!$B$15*Population!M$35)</f>
        <v>9.8722257571032657</v>
      </c>
      <c r="AE85" s="14">
        <f>(AC84*Population!$B$16*Population!M$35)+(AE84*Population!$B$15*Population!M$37)</f>
        <v>9.7943773870939683</v>
      </c>
      <c r="AF85" s="13">
        <f>(AD84*Population!$B$16*Population!M$35)+(AF84*Population!$B$15*Population!M$37)</f>
        <v>9.7943773870939683</v>
      </c>
      <c r="AG85" s="14">
        <f>(AE84*Population!$B$16*Population!M$37)+(AG84*Population!$B$15*Population!M$39)</f>
        <v>9.6352408121171447</v>
      </c>
      <c r="AH85" s="13">
        <f>(AF84*Population!$B$16*Population!M$37)+(AH84*Population!$B$15*Population!M$39)</f>
        <v>9.6352408121171447</v>
      </c>
      <c r="AI85" s="14">
        <f>(AG84*Population!$B$16*Population!M$39)+(AI84*Population!$B$15*Population!M$41)</f>
        <v>9.4153926036175388</v>
      </c>
      <c r="AJ85" s="13">
        <f>(AH84*Population!$B$16*Population!M$39)+(AJ84*Population!$B$15*Population!M$41)</f>
        <v>9.4153926036175388</v>
      </c>
      <c r="AK85" s="14">
        <f>(AI84*Population!$B$16*Population!M$41)+(AK84*Population!$B$15*Population!M$43)</f>
        <v>9.1180759627848893</v>
      </c>
      <c r="AL85" s="13">
        <f>(AJ84*Population!$B$16*Population!M$41)+(AL84*Population!$B$15*Population!M$43)</f>
        <v>9.1180759627848893</v>
      </c>
      <c r="AM85" s="14">
        <f>(AK84*Population!$B$16*Population!M$43)+(AM84*Population!$B$15*Population!M$45)</f>
        <v>8.7443355929817894</v>
      </c>
      <c r="AN85" s="13">
        <f>(AL84*Population!$B$16*Population!M$43)+(AN84*Population!$B$15*Population!M$45)</f>
        <v>8.7443355929817894</v>
      </c>
      <c r="AO85" s="15">
        <f>(AM84+AN84)*Population!$B$16*Population!$M$45+AO84*Population!$B$15*Population!$M$47</f>
        <v>16.199408713483074</v>
      </c>
      <c r="AP85" s="5">
        <f>AO84*Population!M$47*Population!$B$16+AP84*Population!$B$15*Population!M$48</f>
        <v>15.033644713027856</v>
      </c>
      <c r="AQ85" s="5">
        <f>AP84*Population!M$48*Population!$B$16+AQ84*Population!$B$15*Population!M$49</f>
        <v>11.371449709067615</v>
      </c>
      <c r="AR85" s="5">
        <f>(AQ84*Population!$B$16+AR84)*Population!M$50</f>
        <v>31.727299159438182</v>
      </c>
      <c r="AS85">
        <f>AS84*(1-Population!$B$12)+M85</f>
        <v>60</v>
      </c>
    </row>
    <row r="86" spans="1:45">
      <c r="A86">
        <f>A85+Population!$B$2</f>
        <v>83</v>
      </c>
      <c r="B86" s="117">
        <f t="shared" si="35"/>
        <v>287</v>
      </c>
      <c r="C86" s="59">
        <f t="shared" si="36"/>
        <v>150</v>
      </c>
      <c r="D86" s="12">
        <f>AD85*Population!$P$36*Population!$C$2+AF85*Population!$P$38*Population!$C$2+AH85*Population!$P$40*Population!$C$2+AJ85*Population!$P$42*Population!$C$2+AL85*Population!$P$44*Population!$C$2+AN84*Population!$P$46*Population!$C$2</f>
        <v>3.1737292354485227</v>
      </c>
      <c r="E86" s="12">
        <f>IF(B85&gt;Population!$B$6*Population!$B$19,Population!$B$11,IF(Population!$J$6=1,D86,Population!$B$11*Population!$B$6*0.9/B85))</f>
        <v>2.8514203965783622</v>
      </c>
      <c r="F86" s="12">
        <f>IF(B85&gt;Population!$B$6*0.75,Population!$B$11,E86)</f>
        <v>2.8514203965783622</v>
      </c>
      <c r="G86" s="15">
        <f>IF(Population!$J$6=1,IF(E86&gt;H85,H85,E86),IF(E86&gt;X85,X85,E86))</f>
        <v>2.8514203965783622</v>
      </c>
      <c r="H86" s="15">
        <f t="shared" si="37"/>
        <v>46</v>
      </c>
      <c r="I86" s="15">
        <f t="shared" si="38"/>
        <v>59</v>
      </c>
      <c r="J86" s="12">
        <f t="shared" si="33"/>
        <v>1.2826086956521738</v>
      </c>
      <c r="K86" s="12">
        <f>AA86*Population!$O$33+AB86*Population!$O$34+AC86*Population!$O$35+AD86*Population!$O$36+AE86*Population!$O$37+AF86*Population!$O$38+AG86*Population!$O$39+AH86*Population!$O$40+AI86*Population!$O$41+AJ86*Population!$O$42+AK86*Population!$O$41+AL86*Population!$O$42+AM86*Population!$O$43+AN86*Population!$O$44+AO86*Population!$O$45+AP86*Population!$O$46+AQ86*Population!$O$47+AR86*Population!$O$48</f>
        <v>0.56445831111513867</v>
      </c>
      <c r="L86" s="12">
        <f t="shared" si="39"/>
        <v>6.1987399925616568E-2</v>
      </c>
      <c r="M86" s="12">
        <f>Population!$C$12</f>
        <v>3.0312000000000006</v>
      </c>
      <c r="N86" s="12">
        <f t="shared" si="40"/>
        <v>1.3745523761311695</v>
      </c>
      <c r="O86" s="12">
        <f>I86/B86</f>
        <v>0.20557491289198607</v>
      </c>
      <c r="P86" s="12">
        <f>B86-I86-Q86*2</f>
        <v>145.90975008692459</v>
      </c>
      <c r="Q86" s="12">
        <f t="shared" si="41"/>
        <v>41.045124956537698</v>
      </c>
      <c r="R86" s="12">
        <f t="shared" si="42"/>
        <v>31.727299159438182</v>
      </c>
      <c r="S86" s="12">
        <f>SUM(AR86:AR86)/B86</f>
        <v>0.11033748935345399</v>
      </c>
      <c r="T86" s="12">
        <f t="shared" si="34"/>
        <v>0.89228532514212389</v>
      </c>
      <c r="U86" s="12">
        <f>Population!$B$17*MIN(Y85:Z85)</f>
        <v>1.4346402166800303</v>
      </c>
      <c r="V86" s="12">
        <f>X85*Population!$B$18</f>
        <v>0.24581316895125127</v>
      </c>
      <c r="W86" s="12">
        <f>AN85*T85*Population!$B$16</f>
        <v>1.1125635830662901</v>
      </c>
      <c r="X86" s="12">
        <f t="shared" si="45"/>
        <v>41.045124956537698</v>
      </c>
      <c r="Y86" s="14">
        <f t="shared" si="43"/>
        <v>5.7442718936786648</v>
      </c>
      <c r="Z86" s="13">
        <f t="shared" si="44"/>
        <v>5.7442718936786648</v>
      </c>
      <c r="AA86" s="18">
        <f>(G86+Population!$B$15*AA85)*Population!M$33</f>
        <v>19.903301066236569</v>
      </c>
      <c r="AB86" s="18">
        <f>AA85*Population!$B$16*Population!$M$33+AB85*Population!$B$15*Population!$M$34</f>
        <v>19.867652921518431</v>
      </c>
      <c r="AC86" s="14">
        <f>(AB85*Population!$B$16*0.5*Population!$M$34)+(AC85*Population!$B$15*Population!M$35)</f>
        <v>9.872633582326813</v>
      </c>
      <c r="AD86" s="13">
        <f>(AB85*Population!$B$16*0.5*Population!$M$34)+(AD85*Population!$B$15*Population!M$35)</f>
        <v>9.872633582326813</v>
      </c>
      <c r="AE86" s="14">
        <f>(AC85*Population!$B$16*Population!M$35)+(AE85*Population!$B$15*Population!M$37)</f>
        <v>9.7961539426601654</v>
      </c>
      <c r="AF86" s="13">
        <f>(AD85*Population!$B$16*Population!M$35)+(AF85*Population!$B$15*Population!M$37)</f>
        <v>9.7961539426601654</v>
      </c>
      <c r="AG86" s="14">
        <f>(AE85*Population!$B$16*Population!M$37)+(AG85*Population!$B$15*Population!M$39)</f>
        <v>9.6407843205701909</v>
      </c>
      <c r="AH86" s="13">
        <f>(AF85*Population!$B$16*Population!M$37)+(AH85*Population!$B$15*Population!M$39)</f>
        <v>9.6407843205701909</v>
      </c>
      <c r="AI86" s="14">
        <f>(AG85*Population!$B$16*Population!M$39)+(AI85*Population!$B$15*Population!M$41)</f>
        <v>9.4286616355242039</v>
      </c>
      <c r="AJ86" s="13">
        <f>(AH85*Population!$B$16*Population!M$39)+(AJ85*Population!$B$15*Population!M$41)</f>
        <v>9.4286616355242039</v>
      </c>
      <c r="AK86" s="14">
        <f>(AI85*Population!$B$16*Population!M$41)+(AK85*Population!$B$15*Population!M$43)</f>
        <v>9.142961513062378</v>
      </c>
      <c r="AL86" s="13">
        <f>(AJ85*Population!$B$16*Population!M$41)+(AL85*Population!$B$15*Population!M$43)</f>
        <v>9.142961513062378</v>
      </c>
      <c r="AM86" s="14">
        <f>(AK85*Population!$B$16*Population!M$43)+(AM85*Population!$B$15*Population!M$45)</f>
        <v>8.7808354383994178</v>
      </c>
      <c r="AN86" s="13">
        <f>(AL85*Population!$B$16*Population!M$43)+(AN85*Population!$B$15*Population!M$45)</f>
        <v>8.7808354383994178</v>
      </c>
      <c r="AO86" s="15">
        <f>(AM85+AN85)*Population!$B$16*Population!$M$45+AO85*Population!$B$15*Population!$M$47</f>
        <v>16.278124419878353</v>
      </c>
      <c r="AP86" s="5">
        <f>AO85*Population!M$47*Population!$B$16+AP85*Population!$B$15*Population!M$48</f>
        <v>15.089981104780108</v>
      </c>
      <c r="AQ86" s="5">
        <f>AP85*Population!M$48*Population!$B$16+AQ85*Population!$B$15*Population!M$49</f>
        <v>11.386633601064503</v>
      </c>
      <c r="AR86" s="5">
        <f>(AQ85*Population!$B$16+AR85)*Population!M$50</f>
        <v>31.666859444441293</v>
      </c>
      <c r="AS86">
        <f>AS85*(1-Population!$B$12)+M86</f>
        <v>60</v>
      </c>
    </row>
    <row r="87" spans="1:45">
      <c r="A87">
        <f>A86+Population!$B$2</f>
        <v>84</v>
      </c>
      <c r="B87" s="117">
        <f t="shared" si="35"/>
        <v>287</v>
      </c>
      <c r="C87" s="59">
        <f t="shared" si="36"/>
        <v>150</v>
      </c>
      <c r="D87" s="12">
        <f>AD86*Population!$P$36*Population!$C$2+AF86*Population!$P$38*Population!$C$2+AH86*Population!$P$40*Population!$C$2+AJ86*Population!$P$42*Population!$C$2+AL86*Population!$P$44*Population!$C$2+AN85*Population!$P$46*Population!$C$2</f>
        <v>3.1773760101536039</v>
      </c>
      <c r="E87" s="12">
        <f>IF(B86&gt;Population!$B$6*Population!$B$19,Population!$B$11,IF(Population!$J$6=1,D87,Population!$B$11*Population!$B$6*0.9/B86))</f>
        <v>2.8514203965783622</v>
      </c>
      <c r="F87" s="12">
        <f>IF(B86&gt;Population!$B$6*0.75,Population!$B$11,E87)</f>
        <v>2.8514203965783622</v>
      </c>
      <c r="G87" s="15">
        <f>IF(Population!$J$6=1,IF(E87&gt;H86,H86,E87),IF(E87&gt;X86,X86,E87))</f>
        <v>2.8514203965783622</v>
      </c>
      <c r="H87" s="15">
        <f t="shared" si="37"/>
        <v>46</v>
      </c>
      <c r="I87" s="15">
        <f t="shared" si="38"/>
        <v>59</v>
      </c>
      <c r="J87" s="12">
        <f t="shared" si="33"/>
        <v>1.2826086956521738</v>
      </c>
      <c r="K87" s="12">
        <f>AA87*Population!$O$33+AB87*Population!$O$34+AC87*Population!$O$35+AD87*Population!$O$36+AE87*Population!$O$37+AF87*Population!$O$38+AG87*Population!$O$39+AH87*Population!$O$40+AI87*Population!$O$41+AJ87*Population!$O$42+AK87*Population!$O$41+AL87*Population!$O$42+AM87*Population!$O$43+AN87*Population!$O$44+AO87*Population!$O$45+AP87*Population!$O$46+AQ87*Population!$O$47+AR87*Population!$O$48</f>
        <v>0.5647588499275692</v>
      </c>
      <c r="L87" s="12">
        <f t="shared" si="39"/>
        <v>6.1987399925616568E-2</v>
      </c>
      <c r="M87" s="12">
        <f>Population!$C$12</f>
        <v>3.0312000000000006</v>
      </c>
      <c r="N87" s="12">
        <f t="shared" si="40"/>
        <v>1.3754436881089755</v>
      </c>
      <c r="O87" s="12">
        <f>I87/B87</f>
        <v>0.20557491289198607</v>
      </c>
      <c r="P87" s="12">
        <f>B87-I87-Q87*2</f>
        <v>145.76873009789847</v>
      </c>
      <c r="Q87" s="12">
        <f t="shared" si="41"/>
        <v>41.115634951050758</v>
      </c>
      <c r="R87" s="12">
        <f t="shared" si="42"/>
        <v>31.666859444441293</v>
      </c>
      <c r="S87" s="12">
        <f>SUM(AR87:AR87)/B87</f>
        <v>0.11014471319497042</v>
      </c>
      <c r="T87" s="12">
        <f t="shared" si="34"/>
        <v>0.89381815110979912</v>
      </c>
      <c r="U87" s="12">
        <f>Population!$B$17*MIN(Y86:Z86)</f>
        <v>1.4360679734196662</v>
      </c>
      <c r="V87" s="12">
        <f>X86*Population!$B$18</f>
        <v>0.24627074973922619</v>
      </c>
      <c r="W87" s="12">
        <f>AN86*T86*Population!$B$16</f>
        <v>1.119287229167387</v>
      </c>
      <c r="X87" s="12">
        <f t="shared" si="45"/>
        <v>41.115634951050758</v>
      </c>
      <c r="Y87" s="14">
        <f t="shared" si="43"/>
        <v>5.7504346706707565</v>
      </c>
      <c r="Z87" s="13">
        <f t="shared" si="44"/>
        <v>5.7504346706707565</v>
      </c>
      <c r="AA87" s="18">
        <f>(G87+Population!$B$15*AA86)*Population!M$33</f>
        <v>19.903308713614791</v>
      </c>
      <c r="AB87" s="18">
        <f>AA86*Population!$B$16*Population!$M$33+AB86*Population!$B$15*Population!$M$34</f>
        <v>19.867759503381464</v>
      </c>
      <c r="AC87" s="14">
        <f>(AB86*Population!$B$16*0.5*Population!$M$34)+(AC86*Population!$B$15*Population!M$35)</f>
        <v>9.8729915892775253</v>
      </c>
      <c r="AD87" s="13">
        <f>(AB86*Population!$B$16*0.5*Population!$M$34)+(AD86*Population!$B$15*Population!M$35)</f>
        <v>9.8729915892775253</v>
      </c>
      <c r="AE87" s="14">
        <f>(AC86*Population!$B$16*Population!M$35)+(AE86*Population!$B$15*Population!M$37)</f>
        <v>9.7977334586056752</v>
      </c>
      <c r="AF87" s="13">
        <f>(AD86*Population!$B$16*Population!M$35)+(AF86*Population!$B$15*Population!M$37)</f>
        <v>9.7977334586056752</v>
      </c>
      <c r="AG87" s="14">
        <f>(AE86*Population!$B$16*Population!M$37)+(AG86*Population!$B$15*Population!M$39)</f>
        <v>9.6457803280001411</v>
      </c>
      <c r="AH87" s="13">
        <f>(AF86*Population!$B$16*Population!M$37)+(AH86*Population!$B$15*Population!M$39)</f>
        <v>9.6457803280001411</v>
      </c>
      <c r="AI87" s="14">
        <f>(AG86*Population!$B$16*Population!M$39)+(AI86*Population!$B$15*Population!M$41)</f>
        <v>9.4408036636826687</v>
      </c>
      <c r="AJ87" s="13">
        <f>(AH86*Population!$B$16*Population!M$39)+(AJ86*Population!$B$15*Population!M$41)</f>
        <v>9.4408036636826687</v>
      </c>
      <c r="AK87" s="14">
        <f>(AI86*Population!$B$16*Population!M$41)+(AK86*Population!$B$15*Population!M$43)</f>
        <v>9.1661429667039691</v>
      </c>
      <c r="AL87" s="13">
        <f>(AJ86*Population!$B$16*Population!M$41)+(AL86*Population!$B$15*Population!M$43)</f>
        <v>9.1661429667039691</v>
      </c>
      <c r="AM87" s="14">
        <f>(AK86*Population!$B$16*Population!M$43)+(AM86*Population!$B$15*Population!M$45)</f>
        <v>8.8156092047290642</v>
      </c>
      <c r="AN87" s="13">
        <f>(AL86*Population!$B$16*Population!M$43)+(AN86*Population!$B$15*Population!M$45)</f>
        <v>8.8156092047290642</v>
      </c>
      <c r="AO87" s="15">
        <f>(AM86+AN86)*Population!$B$16*Population!$M$45+AO86*Population!$B$15*Population!$M$47</f>
        <v>16.355514367960112</v>
      </c>
      <c r="AP87" s="5">
        <f>AO86*Population!M$47*Population!$B$16+AP86*Population!$B$15*Population!M$48</f>
        <v>15.149082924065279</v>
      </c>
      <c r="AQ87" s="5">
        <f>AP86*Population!M$48*Population!$B$16+AQ86*Population!$B$15*Population!M$49</f>
        <v>11.406980567286114</v>
      </c>
      <c r="AR87" s="5">
        <f>(AQ86*Population!$B$16+AR86)*Population!M$50</f>
        <v>31.611532686956512</v>
      </c>
      <c r="AS87">
        <f>AS86*(1-Population!$B$12)+M87</f>
        <v>60</v>
      </c>
    </row>
    <row r="88" spans="1:45">
      <c r="A88">
        <f>A87+Population!$B$2</f>
        <v>85</v>
      </c>
      <c r="B88" s="117">
        <f t="shared" si="35"/>
        <v>288</v>
      </c>
      <c r="C88" s="59">
        <f t="shared" si="36"/>
        <v>151</v>
      </c>
      <c r="D88" s="12">
        <f>AD87*Population!$P$36*Population!$C$2+AF87*Population!$P$38*Population!$C$2+AH87*Population!$P$40*Population!$C$2+AJ87*Population!$P$42*Population!$C$2+AL87*Population!$P$44*Population!$C$2+AN86*Population!$P$46*Population!$C$2</f>
        <v>3.1807582084447152</v>
      </c>
      <c r="E88" s="12">
        <f>IF(B87&gt;Population!$B$6*Population!$B$19,Population!$B$11,IF(Population!$J$6=1,D88,Population!$B$11*Population!$B$6*0.9/B87))</f>
        <v>2.8514203965783622</v>
      </c>
      <c r="F88" s="12">
        <f>IF(B87&gt;Population!$B$6*0.75,Population!$B$11,E88)</f>
        <v>2.8514203965783622</v>
      </c>
      <c r="G88" s="15">
        <f>IF(Population!$J$6=1,IF(E88&gt;H87,H87,E88),IF(E88&gt;X87,X87,E88))</f>
        <v>2.8514203965783622</v>
      </c>
      <c r="H88" s="15">
        <f t="shared" si="37"/>
        <v>46</v>
      </c>
      <c r="I88" s="15">
        <f t="shared" si="38"/>
        <v>59</v>
      </c>
      <c r="J88" s="12">
        <f t="shared" si="33"/>
        <v>1.2826086956521738</v>
      </c>
      <c r="K88" s="12">
        <f>AA88*Population!$O$33+AB88*Population!$O$34+AC88*Population!$O$35+AD88*Population!$O$36+AE88*Population!$O$37+AF88*Population!$O$38+AG88*Population!$O$39+AH88*Population!$O$40+AI88*Population!$O$41+AJ88*Population!$O$42+AK88*Population!$O$41+AL88*Population!$O$42+AM88*Population!$O$43+AN88*Population!$O$44+AO88*Population!$O$45+AP88*Population!$O$46+AQ88*Population!$O$47+AR88*Population!$O$48</f>
        <v>0.56511486606602346</v>
      </c>
      <c r="L88" s="12">
        <f t="shared" si="39"/>
        <v>6.1987399925616568E-2</v>
      </c>
      <c r="M88" s="12">
        <f>Population!$C$12</f>
        <v>3.0312000000000006</v>
      </c>
      <c r="N88" s="12">
        <f t="shared" si="40"/>
        <v>1.3762533543599549</v>
      </c>
      <c r="O88" s="12">
        <f>I88/B88</f>
        <v>0.2048611111111111</v>
      </c>
      <c r="P88" s="12">
        <f>B88-I88-Q88*2</f>
        <v>146.63820081634071</v>
      </c>
      <c r="Q88" s="12">
        <f t="shared" si="41"/>
        <v>41.180899591829643</v>
      </c>
      <c r="R88" s="12">
        <f t="shared" si="42"/>
        <v>31.611532686956512</v>
      </c>
      <c r="S88" s="12">
        <f>SUM(AR88:AR88)/B88</f>
        <v>0.10958944756860473</v>
      </c>
      <c r="T88" s="12">
        <f t="shared" si="34"/>
        <v>0.8952369476484705</v>
      </c>
      <c r="U88" s="12">
        <f>Population!$B$17*MIN(Y87:Z87)</f>
        <v>1.4376086676676891</v>
      </c>
      <c r="V88" s="12">
        <f>X87*Population!$B$18</f>
        <v>0.24669380970630456</v>
      </c>
      <c r="W88" s="12">
        <f>AN87*T87*Population!$B$16</f>
        <v>1.125650217182494</v>
      </c>
      <c r="X88" s="12">
        <f t="shared" si="45"/>
        <v>41.180899591829643</v>
      </c>
      <c r="Y88" s="14">
        <f t="shared" si="43"/>
        <v>5.7567900692207772</v>
      </c>
      <c r="Z88" s="13">
        <f t="shared" si="44"/>
        <v>5.7567900692207772</v>
      </c>
      <c r="AA88" s="18">
        <f>(G88+Population!$B$15*AA87)*Population!M$33</f>
        <v>19.903315265849123</v>
      </c>
      <c r="AB88" s="18">
        <f>AA87*Population!$B$16*Population!$M$33+AB87*Population!$B$15*Population!$M$34</f>
        <v>19.867851930748042</v>
      </c>
      <c r="AC88" s="14">
        <f>(AB87*Population!$B$16*0.5*Population!$M$34)+(AC87*Population!$B$15*Population!M$35)</f>
        <v>9.8733057712148948</v>
      </c>
      <c r="AD88" s="13">
        <f>(AB87*Population!$B$16*0.5*Population!$M$34)+(AD87*Population!$B$15*Population!M$35)</f>
        <v>9.8733057712148948</v>
      </c>
      <c r="AE88" s="14">
        <f>(AC87*Population!$B$16*Population!M$35)+(AE87*Population!$B$15*Population!M$37)</f>
        <v>9.7991371342872426</v>
      </c>
      <c r="AF88" s="13">
        <f>(AD87*Population!$B$16*Population!M$35)+(AF87*Population!$B$15*Population!M$37)</f>
        <v>9.7991371342872426</v>
      </c>
      <c r="AG88" s="14">
        <f>(AE87*Population!$B$16*Population!M$37)+(AG87*Population!$B$15*Population!M$39)</f>
        <v>9.650279828177414</v>
      </c>
      <c r="AH88" s="13">
        <f>(AF87*Population!$B$16*Population!M$37)+(AH87*Population!$B$15*Population!M$39)</f>
        <v>9.650279828177414</v>
      </c>
      <c r="AI88" s="14">
        <f>(AG87*Population!$B$16*Population!M$39)+(AI87*Population!$B$15*Population!M$41)</f>
        <v>9.4519034790943959</v>
      </c>
      <c r="AJ88" s="13">
        <f>(AH87*Population!$B$16*Population!M$39)+(AJ87*Population!$B$15*Population!M$41)</f>
        <v>9.4519034790943959</v>
      </c>
      <c r="AK88" s="14">
        <f>(AI87*Population!$B$16*Population!M$41)+(AK87*Population!$B$15*Population!M$43)</f>
        <v>9.1877058791279698</v>
      </c>
      <c r="AL88" s="13">
        <f>(AJ87*Population!$B$16*Population!M$41)+(AL87*Population!$B$15*Population!M$43)</f>
        <v>9.1877058791279698</v>
      </c>
      <c r="AM88" s="14">
        <f>(AK87*Population!$B$16*Population!M$43)+(AM87*Population!$B$15*Population!M$45)</f>
        <v>8.8486633403633999</v>
      </c>
      <c r="AN88" s="13">
        <f>(AL87*Population!$B$16*Population!M$43)+(AN87*Population!$B$15*Population!M$45)</f>
        <v>8.8486633403633999</v>
      </c>
      <c r="AO88" s="15">
        <f>(AM87+AN87)*Population!$B$16*Population!$M$45+AO87*Population!$B$15*Population!$M$47</f>
        <v>16.431283971838056</v>
      </c>
      <c r="AP88" s="5">
        <f>AO87*Population!M$47*Population!$B$16+AP87*Population!$B$15*Population!M$48</f>
        <v>15.210349903712464</v>
      </c>
      <c r="AQ88" s="5">
        <f>AP87*Population!M$48*Population!$B$16+AQ87*Population!$B$15*Population!M$49</f>
        <v>11.431921646718104</v>
      </c>
      <c r="AR88" s="5">
        <f>(AQ87*Population!$B$16+AR87)*Population!M$50</f>
        <v>31.561760899758159</v>
      </c>
      <c r="AS88">
        <f>AS87*(1-Population!$B$12)+M88</f>
        <v>60</v>
      </c>
    </row>
    <row r="89" spans="1:45">
      <c r="A89">
        <f>A88+Population!$B$2</f>
        <v>86</v>
      </c>
      <c r="B89" s="117">
        <f t="shared" si="35"/>
        <v>288</v>
      </c>
      <c r="C89" s="59">
        <f t="shared" si="36"/>
        <v>151</v>
      </c>
      <c r="D89" s="12">
        <f>AD88*Population!$P$36*Population!$C$2+AF88*Population!$P$38*Population!$C$2+AH88*Population!$P$40*Population!$C$2+AJ88*Population!$P$42*Population!$C$2+AL88*Population!$P$44*Population!$C$2+AN87*Population!$P$46*Population!$C$2</f>
        <v>3.1838920055436297</v>
      </c>
      <c r="E89" s="12">
        <f>IF(B88&gt;Population!$B$6*Population!$B$19,Population!$B$11,IF(Population!$J$6=1,D89,Population!$B$11*Population!$B$6*0.9/B88))</f>
        <v>2.8514203965783622</v>
      </c>
      <c r="F89" s="12">
        <f>IF(B88&gt;Population!$B$6*0.75,Population!$B$11,E89)</f>
        <v>2.8514203965783622</v>
      </c>
      <c r="G89" s="15">
        <f>IF(Population!$J$6=1,IF(E89&gt;H88,H88,E89),IF(E89&gt;X88,X88,E89))</f>
        <v>2.8514203965783622</v>
      </c>
      <c r="H89" s="15">
        <f t="shared" si="37"/>
        <v>47</v>
      </c>
      <c r="I89" s="15">
        <f t="shared" si="38"/>
        <v>59</v>
      </c>
      <c r="J89" s="12">
        <f t="shared" si="33"/>
        <v>1.2553191489361701</v>
      </c>
      <c r="K89" s="12">
        <f>AA89*Population!$O$33+AB89*Population!$O$34+AC89*Population!$O$35+AD89*Population!$O$36+AE89*Population!$O$37+AF89*Population!$O$38+AG89*Population!$O$39+AH89*Population!$O$40+AI89*Population!$O$41+AJ89*Population!$O$42+AK89*Population!$O$41+AL89*Population!$O$42+AM89*Population!$O$43+AN89*Population!$O$44+AO89*Population!$O$45+AP89*Population!$O$46+AQ89*Population!$O$47+AR89*Population!$O$48</f>
        <v>0.56552425768131598</v>
      </c>
      <c r="L89" s="12">
        <f t="shared" si="39"/>
        <v>6.0668519076135366E-2</v>
      </c>
      <c r="M89" s="12">
        <f>Population!$C$12</f>
        <v>3.0312000000000006</v>
      </c>
      <c r="N89" s="12">
        <f t="shared" si="40"/>
        <v>1.3769883019717089</v>
      </c>
      <c r="O89" s="12">
        <f>I89/B89</f>
        <v>0.2048611111111111</v>
      </c>
      <c r="P89" s="12">
        <f>B89-I89-Q89*2</f>
        <v>146.51730525100251</v>
      </c>
      <c r="Q89" s="12">
        <f t="shared" si="41"/>
        <v>41.241347374498744</v>
      </c>
      <c r="R89" s="12">
        <f t="shared" si="42"/>
        <v>31.561760899758159</v>
      </c>
      <c r="S89" s="12">
        <f>SUM(AR89:AR89)/B89</f>
        <v>0.10943710621966396</v>
      </c>
      <c r="T89" s="12">
        <f t="shared" si="34"/>
        <v>0.87747547605316478</v>
      </c>
      <c r="U89" s="12">
        <f>Population!$B$17*MIN(Y88:Z88)</f>
        <v>1.4391975173051943</v>
      </c>
      <c r="V89" s="12">
        <f>X88*Population!$B$18</f>
        <v>0.24708539755097786</v>
      </c>
      <c r="W89" s="12">
        <f>AN88*T88*Population!$B$16</f>
        <v>1.1316643370851212</v>
      </c>
      <c r="X89" s="12">
        <f t="shared" si="45"/>
        <v>41.241347374498744</v>
      </c>
      <c r="Y89" s="14">
        <f t="shared" si="43"/>
        <v>5.7631580600206078</v>
      </c>
      <c r="Z89" s="13">
        <f t="shared" si="44"/>
        <v>5.7631580600206078</v>
      </c>
      <c r="AA89" s="18">
        <f>(G89+Population!$B$15*AA88)*Population!M$33</f>
        <v>19.903320879769801</v>
      </c>
      <c r="AB89" s="18">
        <f>AA88*Population!$B$16*Population!$M$33+AB88*Population!$B$15*Population!$M$34</f>
        <v>19.867932072033277</v>
      </c>
      <c r="AC89" s="14">
        <f>(AB88*Population!$B$16*0.5*Population!$M$34)+(AC88*Population!$B$15*Population!M$35)</f>
        <v>9.8735814138459101</v>
      </c>
      <c r="AD89" s="13">
        <f>(AB88*Population!$B$16*0.5*Population!$M$34)+(AD88*Population!$B$15*Population!M$35)</f>
        <v>9.8735814138459101</v>
      </c>
      <c r="AE89" s="14">
        <f>(AC88*Population!$B$16*Population!M$35)+(AE88*Population!$B$15*Population!M$37)</f>
        <v>9.8003839786292186</v>
      </c>
      <c r="AF89" s="13">
        <f>(AD88*Population!$B$16*Population!M$35)+(AF88*Population!$B$15*Population!M$37)</f>
        <v>9.8003839786292186</v>
      </c>
      <c r="AG89" s="14">
        <f>(AE88*Population!$B$16*Population!M$37)+(AG88*Population!$B$15*Population!M$39)</f>
        <v>9.6543294717203061</v>
      </c>
      <c r="AH89" s="13">
        <f>(AF88*Population!$B$16*Population!M$37)+(AH88*Population!$B$15*Population!M$39)</f>
        <v>9.6543294717203061</v>
      </c>
      <c r="AI89" s="14">
        <f>(AG88*Population!$B$16*Population!M$39)+(AI88*Population!$B$15*Population!M$41)</f>
        <v>9.4620408910563611</v>
      </c>
      <c r="AJ89" s="13">
        <f>(AH88*Population!$B$16*Population!M$39)+(AJ88*Population!$B$15*Population!M$41)</f>
        <v>9.4620408910563611</v>
      </c>
      <c r="AK89" s="14">
        <f>(AI88*Population!$B$16*Population!M$41)+(AK88*Population!$B$15*Population!M$43)</f>
        <v>9.2077355324935439</v>
      </c>
      <c r="AL89" s="13">
        <f>(AJ88*Population!$B$16*Population!M$41)+(AL88*Population!$B$15*Population!M$43)</f>
        <v>9.2077355324935439</v>
      </c>
      <c r="AM89" s="14">
        <f>(AK88*Population!$B$16*Population!M$43)+(AM88*Population!$B$15*Population!M$45)</f>
        <v>8.8800155606199223</v>
      </c>
      <c r="AN89" s="13">
        <f>(AL88*Population!$B$16*Population!M$43)+(AN88*Population!$B$15*Population!M$45)</f>
        <v>8.8800155606199223</v>
      </c>
      <c r="AO89" s="15">
        <f>(AM88+AN88)*Population!$B$16*Population!$M$45+AO88*Population!$B$15*Population!$M$47</f>
        <v>16.505184398821886</v>
      </c>
      <c r="AP89" s="5">
        <f>AO88*Population!M$47*Population!$B$16+AP88*Population!$B$15*Population!M$48</f>
        <v>15.273229480643646</v>
      </c>
      <c r="AQ89" s="5">
        <f>AP88*Population!M$48*Population!$B$16+AQ88*Population!$B$15*Population!M$49</f>
        <v>11.460908665380856</v>
      </c>
      <c r="AR89" s="5">
        <f>(AQ88*Population!$B$16+AR88)*Population!M$50</f>
        <v>31.51788659126322</v>
      </c>
      <c r="AS89">
        <f>AS88*(1-Population!$B$12)+M89</f>
        <v>60</v>
      </c>
    </row>
    <row r="90" spans="1:45">
      <c r="A90">
        <f>A89+Population!$B$2</f>
        <v>87</v>
      </c>
      <c r="B90" s="117">
        <f t="shared" si="35"/>
        <v>288</v>
      </c>
      <c r="C90" s="59">
        <f t="shared" si="36"/>
        <v>151</v>
      </c>
      <c r="D90" s="12">
        <f>AD89*Population!$P$36*Population!$C$2+AF89*Population!$P$38*Population!$C$2+AH89*Population!$P$40*Population!$C$2+AJ89*Population!$P$42*Population!$C$2+AL89*Population!$P$44*Population!$C$2+AN88*Population!$P$46*Population!$C$2</f>
        <v>3.1867929263227204</v>
      </c>
      <c r="E90" s="12">
        <f>IF(B89&gt;Population!$B$6*Population!$B$19,Population!$B$11,IF(Population!$J$6=1,D90,Population!$B$11*Population!$B$6*0.9/B89))</f>
        <v>2.8514203965783622</v>
      </c>
      <c r="F90" s="12">
        <f>IF(B89&gt;Population!$B$6*0.75,Population!$B$11,E90)</f>
        <v>2.8514203965783622</v>
      </c>
      <c r="G90" s="15">
        <f>IF(Population!$J$6=1,IF(E90&gt;H89,H89,E90),IF(E90&gt;X89,X89,E90))</f>
        <v>2.8514203965783622</v>
      </c>
      <c r="H90" s="15">
        <f t="shared" si="37"/>
        <v>47</v>
      </c>
      <c r="I90" s="15">
        <f t="shared" si="38"/>
        <v>59</v>
      </c>
      <c r="J90" s="12">
        <f t="shared" si="33"/>
        <v>1.2553191489361701</v>
      </c>
      <c r="K90" s="12">
        <f>AA90*Population!$O$33+AB90*Population!$O$34+AC90*Population!$O$35+AD90*Population!$O$36+AE90*Population!$O$37+AF90*Population!$O$38+AG90*Population!$O$39+AH90*Population!$O$40+AI90*Population!$O$41+AJ90*Population!$O$42+AK90*Population!$O$41+AL90*Population!$O$42+AM90*Population!$O$43+AN90*Population!$O$44+AO90*Population!$O$45+AP90*Population!$O$46+AQ90*Population!$O$47+AR90*Population!$O$48</f>
        <v>0.56598459542296031</v>
      </c>
      <c r="L90" s="12">
        <f t="shared" si="39"/>
        <v>6.0668519076135366E-2</v>
      </c>
      <c r="M90" s="12">
        <f>Population!$C$12</f>
        <v>3.0312000000000006</v>
      </c>
      <c r="N90" s="12">
        <f t="shared" si="40"/>
        <v>1.3776549396520885</v>
      </c>
      <c r="O90" s="12">
        <f>I90/B90</f>
        <v>0.2048611111111111</v>
      </c>
      <c r="P90" s="12">
        <f>B90-I90-Q90*2</f>
        <v>146.35690692703318</v>
      </c>
      <c r="Q90" s="12">
        <f t="shared" si="41"/>
        <v>41.32154653648341</v>
      </c>
      <c r="R90" s="12">
        <f t="shared" si="42"/>
        <v>31.51788659126322</v>
      </c>
      <c r="S90" s="12">
        <f>SUM(AR90:AR90)/B90</f>
        <v>0.10930611323626688</v>
      </c>
      <c r="T90" s="12">
        <f t="shared" si="34"/>
        <v>0.87918184120177467</v>
      </c>
      <c r="U90" s="12">
        <f>Population!$B$17*MIN(Y89:Z89)</f>
        <v>1.440789515005152</v>
      </c>
      <c r="V90" s="12">
        <f>X89*Population!$B$18</f>
        <v>0.24744808424699247</v>
      </c>
      <c r="W90" s="12">
        <f>AN89*T89*Population!$B$16</f>
        <v>1.1131422687734966</v>
      </c>
      <c r="X90" s="12">
        <f t="shared" si="45"/>
        <v>41.32154653648341</v>
      </c>
      <c r="Y90" s="14">
        <f t="shared" si="43"/>
        <v>5.7452166417682804</v>
      </c>
      <c r="Z90" s="13">
        <f t="shared" si="44"/>
        <v>5.7452166417682804</v>
      </c>
      <c r="AA90" s="18">
        <f>(G90+Population!$B$15*AA89)*Population!M$33</f>
        <v>19.903325689748165</v>
      </c>
      <c r="AB90" s="18">
        <f>AA89*Population!$B$16*Population!$M$33+AB89*Population!$B$15*Population!$M$34</f>
        <v>19.868001550770721</v>
      </c>
      <c r="AC90" s="14">
        <f>(AB89*Population!$B$16*0.5*Population!$M$34)+(AC89*Population!$B$15*Population!M$35)</f>
        <v>9.8738231768870897</v>
      </c>
      <c r="AD90" s="13">
        <f>(AB89*Population!$B$16*0.5*Population!$M$34)+(AD89*Population!$B$15*Population!M$35)</f>
        <v>9.8738231768870897</v>
      </c>
      <c r="AE90" s="14">
        <f>(AC89*Population!$B$16*Population!M$35)+(AE89*Population!$B$15*Population!M$37)</f>
        <v>9.8014910238491471</v>
      </c>
      <c r="AF90" s="13">
        <f>(AD89*Population!$B$16*Population!M$35)+(AF89*Population!$B$15*Population!M$37)</f>
        <v>9.8014910238491471</v>
      </c>
      <c r="AG90" s="14">
        <f>(AE89*Population!$B$16*Population!M$37)+(AG89*Population!$B$15*Population!M$39)</f>
        <v>9.6579718810721715</v>
      </c>
      <c r="AH90" s="13">
        <f>(AF89*Population!$B$16*Population!M$37)+(AH89*Population!$B$15*Population!M$39)</f>
        <v>9.6579718810721715</v>
      </c>
      <c r="AI90" s="14">
        <f>(AG89*Population!$B$16*Population!M$39)+(AI89*Population!$B$15*Population!M$41)</f>
        <v>9.4712908277725436</v>
      </c>
      <c r="AJ90" s="13">
        <f>(AH89*Population!$B$16*Population!M$39)+(AJ89*Population!$B$15*Population!M$41)</f>
        <v>9.4712908277725436</v>
      </c>
      <c r="AK90" s="14">
        <f>(AI89*Population!$B$16*Population!M$41)+(AK89*Population!$B$15*Population!M$43)</f>
        <v>9.2263162648817811</v>
      </c>
      <c r="AL90" s="13">
        <f>(AJ89*Population!$B$16*Population!M$41)+(AL89*Population!$B$15*Population!M$43)</f>
        <v>9.2263162648817811</v>
      </c>
      <c r="AM90" s="14">
        <f>(AK89*Population!$B$16*Population!M$43)+(AM89*Population!$B$15*Population!M$45)</f>
        <v>8.9096931806760509</v>
      </c>
      <c r="AN90" s="13">
        <f>(AL89*Population!$B$16*Population!M$43)+(AN89*Population!$B$15*Population!M$45)</f>
        <v>8.9096931806760509</v>
      </c>
      <c r="AO90" s="15">
        <f>(AM89+AN89)*Population!$B$16*Population!$M$45+AO89*Population!$B$15*Population!$M$47</f>
        <v>16.57700896186709</v>
      </c>
      <c r="AP90" s="5">
        <f>AO89*Population!M$47*Population!$B$16+AP89*Population!$B$15*Population!M$48</f>
        <v>15.337216173340616</v>
      </c>
      <c r="AQ90" s="5">
        <f>AP89*Population!M$48*Population!$B$16+AQ89*Population!$B$15*Population!M$49</f>
        <v>11.493417132077697</v>
      </c>
      <c r="AR90" s="5">
        <f>(AQ89*Population!$B$16+AR89)*Population!M$50</f>
        <v>31.480160612044859</v>
      </c>
      <c r="AS90">
        <f>AS89*(1-Population!$B$12)+M90</f>
        <v>60</v>
      </c>
    </row>
    <row r="91" spans="1:45">
      <c r="A91">
        <f>A90+Population!$B$2</f>
        <v>88</v>
      </c>
      <c r="B91" s="117">
        <f t="shared" si="35"/>
        <v>288</v>
      </c>
      <c r="C91" s="59">
        <f t="shared" si="36"/>
        <v>151</v>
      </c>
      <c r="D91" s="12">
        <f>AD90*Population!$P$36*Population!$C$2+AF90*Population!$P$38*Population!$C$2+AH90*Population!$P$40*Population!$C$2+AJ90*Population!$P$42*Population!$C$2+AL90*Population!$P$44*Population!$C$2+AN89*Population!$P$46*Population!$C$2</f>
        <v>3.1894758295392545</v>
      </c>
      <c r="E91" s="12">
        <f>IF(B90&gt;Population!$B$6*Population!$B$19,Population!$B$11,IF(Population!$J$6=1,D91,Population!$B$11*Population!$B$6*0.9/B90))</f>
        <v>2.8514203965783622</v>
      </c>
      <c r="F91" s="12">
        <f>IF(B90&gt;Population!$B$6*0.75,Population!$B$11,E91)</f>
        <v>2.8514203965783622</v>
      </c>
      <c r="G91" s="15">
        <f>IF(Population!$J$6=1,IF(E91&gt;H90,H90,E91),IF(E91&gt;X90,X90,E91))</f>
        <v>2.8514203965783622</v>
      </c>
      <c r="H91" s="15">
        <f t="shared" si="37"/>
        <v>47</v>
      </c>
      <c r="I91" s="15">
        <f t="shared" si="38"/>
        <v>59</v>
      </c>
      <c r="J91" s="12">
        <f t="shared" si="33"/>
        <v>1.2553191489361701</v>
      </c>
      <c r="K91" s="12">
        <f>AA91*Population!$O$33+AB91*Population!$O$34+AC91*Population!$O$35+AD91*Population!$O$36+AE91*Population!$O$37+AF91*Population!$O$38+AG91*Population!$O$39+AH91*Population!$O$40+AI91*Population!$O$41+AJ91*Population!$O$42+AK91*Population!$O$41+AL91*Population!$O$42+AM91*Population!$O$43+AN91*Population!$O$44+AO91*Population!$O$45+AP91*Population!$O$46+AQ91*Population!$O$47+AR91*Population!$O$48</f>
        <v>0.56649318111980607</v>
      </c>
      <c r="L91" s="12">
        <f t="shared" si="39"/>
        <v>6.0668519076135366E-2</v>
      </c>
      <c r="M91" s="12">
        <f>Population!$C$12</f>
        <v>3.0312000000000006</v>
      </c>
      <c r="N91" s="12">
        <f t="shared" si="40"/>
        <v>1.3782591875200432</v>
      </c>
      <c r="O91" s="12">
        <f>I91/B91</f>
        <v>0.2048611111111111</v>
      </c>
      <c r="P91" s="12">
        <f>B91-I91-Q91*2</f>
        <v>146.21822586605248</v>
      </c>
      <c r="Q91" s="12">
        <f t="shared" si="41"/>
        <v>41.390887066973768</v>
      </c>
      <c r="R91" s="12">
        <f t="shared" si="42"/>
        <v>31.480160612044859</v>
      </c>
      <c r="S91" s="12">
        <f>SUM(AR91:AR91)/B91</f>
        <v>0.10919704860319228</v>
      </c>
      <c r="T91" s="12">
        <f t="shared" si="34"/>
        <v>0.88065717163773971</v>
      </c>
      <c r="U91" s="12">
        <f>Population!$B$17*MIN(Y90:Z90)</f>
        <v>1.4363041604420701</v>
      </c>
      <c r="V91" s="12">
        <f>X90*Population!$B$18</f>
        <v>0.24792927921890046</v>
      </c>
      <c r="W91" s="12">
        <f>AN90*T90*Population!$B$16</f>
        <v>1.1190343507328093</v>
      </c>
      <c r="X91" s="12">
        <f t="shared" si="45"/>
        <v>41.390887066973768</v>
      </c>
      <c r="Y91" s="14">
        <f t="shared" si="43"/>
        <v>5.7338183754572256</v>
      </c>
      <c r="Z91" s="13">
        <f t="shared" si="44"/>
        <v>5.7338183754572256</v>
      </c>
      <c r="AA91" s="18">
        <f>(G91+Population!$B$15*AA90)*Population!M$33</f>
        <v>19.90332981091289</v>
      </c>
      <c r="AB91" s="18">
        <f>AA90*Population!$B$16*Population!$M$33+AB90*Population!$B$15*Population!$M$34</f>
        <v>19.86806177743556</v>
      </c>
      <c r="AC91" s="14">
        <f>(AB90*Population!$B$16*0.5*Population!$M$34)+(AC90*Population!$B$15*Population!M$35)</f>
        <v>9.8740351665154282</v>
      </c>
      <c r="AD91" s="13">
        <f>(AB90*Population!$B$16*0.5*Population!$M$34)+(AD90*Population!$B$15*Population!M$35)</f>
        <v>9.8740351665154282</v>
      </c>
      <c r="AE91" s="14">
        <f>(AC90*Population!$B$16*Population!M$35)+(AE90*Population!$B$15*Population!M$37)</f>
        <v>9.8024735201171467</v>
      </c>
      <c r="AF91" s="13">
        <f>(AD90*Population!$B$16*Population!M$35)+(AF90*Population!$B$15*Population!M$37)</f>
        <v>9.8024735201171467</v>
      </c>
      <c r="AG91" s="14">
        <f>(AE90*Population!$B$16*Population!M$37)+(AG90*Population!$B$15*Population!M$39)</f>
        <v>9.6612459504666415</v>
      </c>
      <c r="AH91" s="13">
        <f>(AF90*Population!$B$16*Population!M$37)+(AH90*Population!$B$15*Population!M$39)</f>
        <v>9.6612459504666415</v>
      </c>
      <c r="AI91" s="14">
        <f>(AG90*Population!$B$16*Population!M$39)+(AI90*Population!$B$15*Population!M$41)</f>
        <v>9.4797234673371182</v>
      </c>
      <c r="AJ91" s="13">
        <f>(AH90*Population!$B$16*Population!M$39)+(AJ90*Population!$B$15*Population!M$41)</f>
        <v>9.4797234673371182</v>
      </c>
      <c r="AK91" s="14">
        <f>(AI90*Population!$B$16*Population!M$41)+(AK90*Population!$B$15*Population!M$43)</f>
        <v>9.2435309107574959</v>
      </c>
      <c r="AL91" s="13">
        <f>(AJ90*Population!$B$16*Population!M$41)+(AL90*Population!$B$15*Population!M$43)</f>
        <v>9.2435309107574959</v>
      </c>
      <c r="AM91" s="14">
        <f>(AK90*Population!$B$16*Population!M$43)+(AM90*Population!$B$15*Population!M$45)</f>
        <v>8.9377315937525896</v>
      </c>
      <c r="AN91" s="13">
        <f>(AL90*Population!$B$16*Population!M$43)+(AN90*Population!$B$15*Population!M$45)</f>
        <v>8.9377315937525896</v>
      </c>
      <c r="AO91" s="15">
        <f>(AM90+AN90)*Population!$B$16*Population!$M$45+AO90*Population!$B$15*Population!$M$47</f>
        <v>16.646589574414232</v>
      </c>
      <c r="AP91" s="5">
        <f>AO90*Population!M$47*Population!$B$16+AP90*Population!$B$15*Population!M$48</f>
        <v>15.401850540485277</v>
      </c>
      <c r="AQ91" s="5">
        <f>AP90*Population!M$48*Population!$B$16+AQ90*Population!$B$15*Population!M$49</f>
        <v>11.5289485067821</v>
      </c>
      <c r="AR91" s="5">
        <f>(AQ90*Population!$B$16+AR90)*Population!M$50</f>
        <v>31.448749997719375</v>
      </c>
      <c r="AS91">
        <f>AS90*(1-Population!$B$12)+M91</f>
        <v>60</v>
      </c>
    </row>
    <row r="92" spans="1:45">
      <c r="A92">
        <f>A91+Population!$B$2</f>
        <v>89</v>
      </c>
      <c r="B92" s="117">
        <f t="shared" si="35"/>
        <v>289</v>
      </c>
      <c r="C92" s="59">
        <f t="shared" si="36"/>
        <v>151</v>
      </c>
      <c r="D92" s="12">
        <f>AD91*Population!$P$36*Population!$C$2+AF91*Population!$P$38*Population!$C$2+AH91*Population!$P$40*Population!$C$2+AJ91*Population!$P$42*Population!$C$2+AL91*Population!$P$44*Population!$C$2+AN90*Population!$P$46*Population!$C$2</f>
        <v>3.1919548991867979</v>
      </c>
      <c r="E92" s="12">
        <f>IF(B91&gt;Population!$B$6*Population!$B$19,Population!$B$11,IF(Population!$J$6=1,D92,Population!$B$11*Population!$B$6*0.9/B91))</f>
        <v>2.8514203965783622</v>
      </c>
      <c r="F92" s="12">
        <f>IF(B91&gt;Population!$B$6*0.75,Population!$B$11,E92)</f>
        <v>2.8514203965783622</v>
      </c>
      <c r="G92" s="15">
        <f>IF(Population!$J$6=1,IF(E92&gt;H91,H91,E92),IF(E92&gt;X91,X91,E92))</f>
        <v>2.8514203965783622</v>
      </c>
      <c r="H92" s="15">
        <f t="shared" si="37"/>
        <v>47</v>
      </c>
      <c r="I92" s="15">
        <f t="shared" si="38"/>
        <v>59</v>
      </c>
      <c r="J92" s="12">
        <f t="shared" si="33"/>
        <v>1.2553191489361701</v>
      </c>
      <c r="K92" s="12">
        <f>AA92*Population!$O$33+AB92*Population!$O$34+AC92*Population!$O$35+AD92*Population!$O$36+AE92*Population!$O$37+AF92*Population!$O$38+AG92*Population!$O$39+AH92*Population!$O$40+AI92*Population!$O$41+AJ92*Population!$O$42+AK92*Population!$O$41+AL92*Population!$O$42+AM92*Population!$O$43+AN92*Population!$O$44+AO92*Population!$O$45+AP92*Population!$O$46+AQ92*Population!$O$47+AR92*Population!$O$48</f>
        <v>0.56704710210252662</v>
      </c>
      <c r="L92" s="12">
        <f t="shared" si="39"/>
        <v>6.0668519076135366E-2</v>
      </c>
      <c r="M92" s="12">
        <f>Population!$C$12</f>
        <v>3.0312000000000006</v>
      </c>
      <c r="N92" s="12">
        <f t="shared" si="40"/>
        <v>1.3788065064512944</v>
      </c>
      <c r="O92" s="12">
        <f>I92/B92</f>
        <v>0.20415224913494809</v>
      </c>
      <c r="P92" s="12">
        <f>B92-I92-Q92*2</f>
        <v>147.0968865877594</v>
      </c>
      <c r="Q92" s="12">
        <f t="shared" si="41"/>
        <v>41.451556706120307</v>
      </c>
      <c r="R92" s="12">
        <f t="shared" si="42"/>
        <v>31.448749997719375</v>
      </c>
      <c r="S92" s="12">
        <f>SUM(AR92:AR92)/B92</f>
        <v>0.10873268416364885</v>
      </c>
      <c r="T92" s="12">
        <f t="shared" si="34"/>
        <v>0.88194801502383635</v>
      </c>
      <c r="U92" s="12">
        <f>Population!$B$17*MIN(Y91:Z91)</f>
        <v>1.4334545938643064</v>
      </c>
      <c r="V92" s="12">
        <f>X91*Population!$B$18</f>
        <v>0.24834532240184262</v>
      </c>
      <c r="W92" s="12">
        <f>AN91*T91*Population!$B$16</f>
        <v>1.1244396323159176</v>
      </c>
      <c r="X92" s="12">
        <f t="shared" si="45"/>
        <v>41.451556706120307</v>
      </c>
      <c r="Y92" s="14">
        <f t="shared" si="43"/>
        <v>5.7270131597421923</v>
      </c>
      <c r="Z92" s="13">
        <f t="shared" si="44"/>
        <v>5.7270131597421923</v>
      </c>
      <c r="AA92" s="18">
        <f>(G92+Population!$B$15*AA91)*Population!M$33</f>
        <v>19.903333341905633</v>
      </c>
      <c r="AB92" s="18">
        <f>AA91*Population!$B$16*Population!$M$33+AB91*Population!$B$15*Population!$M$34</f>
        <v>19.868113977174783</v>
      </c>
      <c r="AC92" s="14">
        <f>(AB91*Population!$B$16*0.5*Population!$M$34)+(AC91*Population!$B$15*Population!M$35)</f>
        <v>9.874220999682608</v>
      </c>
      <c r="AD92" s="13">
        <f>(AB91*Population!$B$16*0.5*Population!$M$34)+(AD91*Population!$B$15*Population!M$35)</f>
        <v>9.874220999682608</v>
      </c>
      <c r="AE92" s="14">
        <f>(AC91*Population!$B$16*Population!M$35)+(AE91*Population!$B$15*Population!M$37)</f>
        <v>9.8033451125880831</v>
      </c>
      <c r="AF92" s="13">
        <f>(AD91*Population!$B$16*Population!M$35)+(AF91*Population!$B$15*Population!M$37)</f>
        <v>9.8033451125880831</v>
      </c>
      <c r="AG92" s="14">
        <f>(AE91*Population!$B$16*Population!M$37)+(AG91*Population!$B$15*Population!M$39)</f>
        <v>9.6641871303289939</v>
      </c>
      <c r="AH92" s="13">
        <f>(AF91*Population!$B$16*Population!M$37)+(AH91*Population!$B$15*Population!M$39)</f>
        <v>9.6641871303289939</v>
      </c>
      <c r="AI92" s="14">
        <f>(AG91*Population!$B$16*Population!M$39)+(AI91*Population!$B$15*Population!M$41)</f>
        <v>9.487404392560105</v>
      </c>
      <c r="AJ92" s="13">
        <f>(AH91*Population!$B$16*Population!M$39)+(AJ91*Population!$B$15*Population!M$41)</f>
        <v>9.487404392560105</v>
      </c>
      <c r="AK92" s="14">
        <f>(AI91*Population!$B$16*Population!M$41)+(AK91*Population!$B$15*Population!M$43)</f>
        <v>9.2594603409618408</v>
      </c>
      <c r="AL92" s="13">
        <f>(AJ91*Population!$B$16*Population!M$41)+(AL91*Population!$B$15*Population!M$43)</f>
        <v>9.2594603409618408</v>
      </c>
      <c r="AM92" s="14">
        <f>(AK91*Population!$B$16*Population!M$43)+(AM91*Population!$B$15*Population!M$45)</f>
        <v>8.9641728894234785</v>
      </c>
      <c r="AN92" s="13">
        <f>(AL91*Population!$B$16*Population!M$43)+(AN91*Population!$B$15*Population!M$45)</f>
        <v>8.9641728894234785</v>
      </c>
      <c r="AO92" s="15">
        <f>(AM91+AN91)*Population!$B$16*Population!$M$45+AO91*Population!$B$15*Population!$M$47</f>
        <v>16.713793299740509</v>
      </c>
      <c r="AP92" s="5">
        <f>AO91*Population!M$47*Population!$B$16+AP91*Population!$B$15*Population!M$48</f>
        <v>15.466717792057185</v>
      </c>
      <c r="AQ92" s="5">
        <f>AP91*Population!M$48*Population!$B$16+AQ91*Population!$B$15*Population!M$49</f>
        <v>11.567031899054797</v>
      </c>
      <c r="AR92" s="5">
        <f>(AQ91*Population!$B$16+AR91)*Population!M$50</f>
        <v>31.42374572329452</v>
      </c>
      <c r="AS92">
        <f>AS91*(1-Population!$B$12)+M92</f>
        <v>60</v>
      </c>
    </row>
    <row r="93" spans="1:45">
      <c r="A93">
        <f>A92+Population!$B$2</f>
        <v>90</v>
      </c>
      <c r="B93" s="117">
        <f t="shared" si="35"/>
        <v>289</v>
      </c>
      <c r="C93" s="59">
        <f t="shared" si="36"/>
        <v>151</v>
      </c>
      <c r="D93" s="12">
        <f>AD92*Population!$P$36*Population!$C$2+AF92*Population!$P$38*Population!$C$2+AH92*Population!$P$40*Population!$C$2+AJ92*Population!$P$42*Population!$C$2+AL92*Population!$P$44*Population!$C$2+AN91*Population!$P$46*Population!$C$2</f>
        <v>3.1942436420249019</v>
      </c>
      <c r="E93" s="12">
        <f>IF(B92&gt;Population!$B$6*Population!$B$19,Population!$B$11,IF(Population!$J$6=1,D93,Population!$B$11*Population!$B$6*0.9/B92))</f>
        <v>2.8514203965783622</v>
      </c>
      <c r="F93" s="12">
        <f>IF(B92&gt;Population!$B$6*0.75,Population!$B$11,E93)</f>
        <v>2.8514203965783622</v>
      </c>
      <c r="G93" s="15">
        <f>IF(Population!$J$6=1,IF(E93&gt;H92,H92,E93),IF(E93&gt;X92,X92,E93))</f>
        <v>2.8514203965783622</v>
      </c>
      <c r="H93" s="15">
        <f t="shared" si="37"/>
        <v>47</v>
      </c>
      <c r="I93" s="15">
        <f t="shared" si="38"/>
        <v>59</v>
      </c>
      <c r="J93" s="12">
        <f t="shared" si="33"/>
        <v>1.2553191489361701</v>
      </c>
      <c r="K93" s="12">
        <f>AA93*Population!$O$33+AB93*Population!$O$34+AC93*Population!$O$35+AD93*Population!$O$36+AE93*Population!$O$37+AF93*Population!$O$38+AG93*Population!$O$39+AH93*Population!$O$40+AI93*Population!$O$41+AJ93*Population!$O$42+AK93*Population!$O$41+AL93*Population!$O$42+AM93*Population!$O$43+AN93*Population!$O$44+AO93*Population!$O$45+AP93*Population!$O$46+AQ93*Population!$O$47+AR93*Population!$O$48</f>
        <v>0.56764328114290519</v>
      </c>
      <c r="L93" s="12">
        <f t="shared" si="39"/>
        <v>6.0668519076135366E-2</v>
      </c>
      <c r="M93" s="12">
        <f>Population!$C$12</f>
        <v>3.0312000000000006</v>
      </c>
      <c r="N93" s="12">
        <f t="shared" si="40"/>
        <v>1.3793019267617015</v>
      </c>
      <c r="O93" s="12">
        <f>I93/B93</f>
        <v>0.20415224913494809</v>
      </c>
      <c r="P93" s="12">
        <f>B93-I93-Q93*2</f>
        <v>146.98963711297819</v>
      </c>
      <c r="Q93" s="12">
        <f t="shared" si="41"/>
        <v>41.505181443510914</v>
      </c>
      <c r="R93" s="12">
        <f t="shared" si="42"/>
        <v>31.42374572329452</v>
      </c>
      <c r="S93" s="12">
        <f>SUM(AR93:AR93)/B93</f>
        <v>0.10866840932920924</v>
      </c>
      <c r="T93" s="12">
        <f t="shared" si="34"/>
        <v>0.88308896688321092</v>
      </c>
      <c r="U93" s="12">
        <f>Population!$B$17*MIN(Y92:Z92)</f>
        <v>1.4317532899355481</v>
      </c>
      <c r="V93" s="12">
        <f>X92*Population!$B$18</f>
        <v>0.24870934023672184</v>
      </c>
      <c r="W93" s="12">
        <f>AN92*T92*Population!$B$16</f>
        <v>1.1294192123082176</v>
      </c>
      <c r="X93" s="12">
        <f t="shared" si="45"/>
        <v>41.505181443510914</v>
      </c>
      <c r="Y93" s="14">
        <f t="shared" si="43"/>
        <v>5.7234067157321675</v>
      </c>
      <c r="Z93" s="13">
        <f t="shared" si="44"/>
        <v>5.7234067157321675</v>
      </c>
      <c r="AA93" s="18">
        <f>(G93+Population!$B$15*AA92)*Population!M$33</f>
        <v>19.903336367242055</v>
      </c>
      <c r="AB93" s="18">
        <f>AA92*Population!$B$16*Population!$M$33+AB92*Population!$B$15*Population!$M$34</f>
        <v>19.868159213964045</v>
      </c>
      <c r="AC93" s="14">
        <f>(AB92*Population!$B$16*0.5*Population!$M$34)+(AC92*Population!$B$15*Population!M$35)</f>
        <v>9.8743838611692016</v>
      </c>
      <c r="AD93" s="13">
        <f>(AB92*Population!$B$16*0.5*Population!$M$34)+(AD92*Population!$B$15*Population!M$35)</f>
        <v>9.8743838611692016</v>
      </c>
      <c r="AE93" s="14">
        <f>(AC92*Population!$B$16*Population!M$35)+(AE92*Population!$B$15*Population!M$37)</f>
        <v>9.8041180021778036</v>
      </c>
      <c r="AF93" s="13">
        <f>(AD92*Population!$B$16*Population!M$35)+(AF92*Population!$B$15*Population!M$37)</f>
        <v>9.8041180021778036</v>
      </c>
      <c r="AG93" s="14">
        <f>(AE92*Population!$B$16*Population!M$37)+(AG92*Population!$B$15*Population!M$39)</f>
        <v>9.6668276958469086</v>
      </c>
      <c r="AH93" s="13">
        <f>(AF92*Population!$B$16*Population!M$37)+(AH92*Population!$B$15*Population!M$39)</f>
        <v>9.6668276958469086</v>
      </c>
      <c r="AI93" s="14">
        <f>(AG92*Population!$B$16*Population!M$39)+(AI92*Population!$B$15*Population!M$41)</f>
        <v>9.4943947639710142</v>
      </c>
      <c r="AJ93" s="13">
        <f>(AH92*Population!$B$16*Population!M$39)+(AJ92*Population!$B$15*Population!M$41)</f>
        <v>9.4943947639710142</v>
      </c>
      <c r="AK93" s="14">
        <f>(AI92*Population!$B$16*Population!M$41)+(AK92*Population!$B$15*Population!M$43)</f>
        <v>9.2741830912527927</v>
      </c>
      <c r="AL93" s="13">
        <f>(AJ92*Population!$B$16*Population!M$41)+(AL92*Population!$B$15*Population!M$43)</f>
        <v>9.2741830912527927</v>
      </c>
      <c r="AM93" s="14">
        <f>(AK92*Population!$B$16*Population!M$43)+(AM92*Population!$B$15*Population!M$45)</f>
        <v>8.9890646059945585</v>
      </c>
      <c r="AN93" s="13">
        <f>(AL92*Population!$B$16*Population!M$43)+(AN92*Population!$B$15*Population!M$45)</f>
        <v>8.9890646059945585</v>
      </c>
      <c r="AO93" s="15">
        <f>(AM92+AN92)*Population!$B$16*Population!$M$45+AO92*Population!$B$15*Population!$M$47</f>
        <v>16.778519020693704</v>
      </c>
      <c r="AP93" s="5">
        <f>AO92*Population!M$47*Population!$B$16+AP92*Population!$B$15*Population!M$48</f>
        <v>15.531446118100861</v>
      </c>
      <c r="AQ93" s="5">
        <f>AP92*Population!M$48*Population!$B$16+AQ92*Population!$B$15*Population!M$49</f>
        <v>11.607225253307437</v>
      </c>
      <c r="AR93" s="5">
        <f>(AQ92*Population!$B$16+AR92)*Population!M$50</f>
        <v>31.40517029614147</v>
      </c>
      <c r="AS93">
        <f>AS92*(1-Population!$B$12)+M93</f>
        <v>60</v>
      </c>
    </row>
    <row r="94" spans="1:45">
      <c r="A94">
        <f>A93+Population!$B$2</f>
        <v>91</v>
      </c>
      <c r="B94" s="117">
        <f t="shared" si="35"/>
        <v>289</v>
      </c>
      <c r="C94" s="59">
        <f t="shared" si="36"/>
        <v>151</v>
      </c>
      <c r="D94" s="12">
        <f>AD93*Population!$P$36*Population!$C$2+AF93*Population!$P$38*Population!$C$2+AH93*Population!$P$40*Population!$C$2+AJ93*Population!$P$42*Population!$C$2+AL93*Population!$P$44*Population!$C$2+AN92*Population!$P$46*Population!$C$2</f>
        <v>3.1963548904292667</v>
      </c>
      <c r="E94" s="12">
        <f>IF(B93&gt;Population!$B$6*Population!$B$19,Population!$B$11,IF(Population!$J$6=1,D94,Population!$B$11*Population!$B$6*0.9/B93))</f>
        <v>2.8514203965783622</v>
      </c>
      <c r="F94" s="12">
        <f>IF(B93&gt;Population!$B$6*0.75,Population!$B$11,E94)</f>
        <v>2.8514203965783622</v>
      </c>
      <c r="G94" s="15">
        <f>IF(Population!$J$6=1,IF(E94&gt;H93,H93,E94),IF(E94&gt;X93,X93,E94))</f>
        <v>2.8514203965783622</v>
      </c>
      <c r="H94" s="15">
        <f t="shared" si="37"/>
        <v>47</v>
      </c>
      <c r="I94" s="15">
        <f t="shared" si="38"/>
        <v>59</v>
      </c>
      <c r="J94" s="12">
        <f t="shared" si="33"/>
        <v>1.2553191489361701</v>
      </c>
      <c r="K94" s="12">
        <f>AA94*Population!$O$33+AB94*Population!$O$34+AC94*Population!$O$35+AD94*Population!$O$36+AE94*Population!$O$37+AF94*Population!$O$38+AG94*Population!$O$39+AH94*Population!$O$40+AI94*Population!$O$41+AJ94*Population!$O$42+AK94*Population!$O$41+AL94*Population!$O$42+AM94*Population!$O$43+AN94*Population!$O$44+AO94*Population!$O$45+AP94*Population!$O$46+AQ94*Population!$O$47+AR94*Population!$O$48</f>
        <v>0.56827852203935036</v>
      </c>
      <c r="L94" s="12">
        <f t="shared" si="39"/>
        <v>6.0668519076135366E-2</v>
      </c>
      <c r="M94" s="12">
        <f>Population!$C$12</f>
        <v>3.0312000000000006</v>
      </c>
      <c r="N94" s="12">
        <f t="shared" si="40"/>
        <v>1.3797500760560741</v>
      </c>
      <c r="O94" s="12">
        <f>I94/B94</f>
        <v>0.20415224913494809</v>
      </c>
      <c r="P94" s="12">
        <f>B94-I94-Q94*2</f>
        <v>146.8940370113354</v>
      </c>
      <c r="Q94" s="12">
        <f t="shared" si="41"/>
        <v>41.5529814943323</v>
      </c>
      <c r="R94" s="12">
        <f t="shared" si="42"/>
        <v>31.40517029614147</v>
      </c>
      <c r="S94" s="12">
        <f>SUM(AR94:AR94)/B94</f>
        <v>0.10862624611120769</v>
      </c>
      <c r="T94" s="12">
        <f t="shared" si="34"/>
        <v>0.88410598924111272</v>
      </c>
      <c r="U94" s="12">
        <f>Population!$B$17*MIN(Y93:Z93)</f>
        <v>1.4308516789330419</v>
      </c>
      <c r="V94" s="12">
        <f>X93*Population!$B$18</f>
        <v>0.24903108866106549</v>
      </c>
      <c r="W94" s="12">
        <f>AN93*T93*Population!$B$16</f>
        <v>1.134020539450596</v>
      </c>
      <c r="X94" s="12">
        <f t="shared" si="45"/>
        <v>41.5529814943323</v>
      </c>
      <c r="Y94" s="14">
        <f t="shared" si="43"/>
        <v>5.7220037822386303</v>
      </c>
      <c r="Z94" s="13">
        <f t="shared" si="44"/>
        <v>5.7220037822386303</v>
      </c>
      <c r="AA94" s="18">
        <f>(G94+Population!$B$15*AA93)*Population!M$33</f>
        <v>19.903338959334743</v>
      </c>
      <c r="AB94" s="18">
        <f>AA93*Population!$B$16*Population!$M$33+AB93*Population!$B$15*Population!$M$34</f>
        <v>19.868198411646052</v>
      </c>
      <c r="AC94" s="14">
        <f>(AB93*Population!$B$16*0.5*Population!$M$34)+(AC93*Population!$B$15*Population!M$35)</f>
        <v>9.8745265541667848</v>
      </c>
      <c r="AD94" s="13">
        <f>(AB93*Population!$B$16*0.5*Population!$M$34)+(AD93*Population!$B$15*Population!M$35)</f>
        <v>9.8745265541667848</v>
      </c>
      <c r="AE94" s="14">
        <f>(AC93*Population!$B$16*Population!M$35)+(AE93*Population!$B$15*Population!M$37)</f>
        <v>9.8048030913828406</v>
      </c>
      <c r="AF94" s="13">
        <f>(AD93*Population!$B$16*Population!M$35)+(AF93*Population!$B$15*Population!M$37)</f>
        <v>9.8048030913828406</v>
      </c>
      <c r="AG94" s="14">
        <f>(AE93*Population!$B$16*Population!M$37)+(AG93*Population!$B$15*Population!M$39)</f>
        <v>9.6691969996781459</v>
      </c>
      <c r="AH94" s="13">
        <f>(AF93*Population!$B$16*Population!M$37)+(AH93*Population!$B$15*Population!M$39)</f>
        <v>9.6691969996781459</v>
      </c>
      <c r="AI94" s="14">
        <f>(AG93*Population!$B$16*Population!M$39)+(AI93*Population!$B$15*Population!M$41)</f>
        <v>9.5007515061165755</v>
      </c>
      <c r="AJ94" s="13">
        <f>(AH93*Population!$B$16*Population!M$39)+(AJ93*Population!$B$15*Population!M$41)</f>
        <v>9.5007515061165755</v>
      </c>
      <c r="AK94" s="14">
        <f>(AI93*Population!$B$16*Population!M$41)+(AK93*Population!$B$15*Population!M$43)</f>
        <v>9.2877750691899585</v>
      </c>
      <c r="AL94" s="13">
        <f>(AJ93*Population!$B$16*Population!M$41)+(AL93*Population!$B$15*Population!M$43)</f>
        <v>9.2877750691899585</v>
      </c>
      <c r="AM94" s="14">
        <f>(AK93*Population!$B$16*Population!M$43)+(AM93*Population!$B$15*Population!M$45)</f>
        <v>9.0124586102034119</v>
      </c>
      <c r="AN94" s="13">
        <f>(AL93*Population!$B$16*Population!M$43)+(AN93*Population!$B$15*Population!M$45)</f>
        <v>9.0124586102034119</v>
      </c>
      <c r="AO94" s="15">
        <f>(AM93+AN93)*Population!$B$16*Population!$M$45+AO93*Population!$B$15*Population!$M$47</f>
        <v>16.840694250094881</v>
      </c>
      <c r="AP94" s="5">
        <f>AO93*Population!M$47*Population!$B$16+AP93*Population!$B$15*Population!M$48</f>
        <v>15.595704794323067</v>
      </c>
      <c r="AQ94" s="5">
        <f>AP93*Population!M$48*Population!$B$16+AQ93*Population!$B$15*Population!M$49</f>
        <v>11.649116076400958</v>
      </c>
      <c r="AR94" s="5">
        <f>(AQ93*Population!$B$16+AR93)*Population!M$50</f>
        <v>31.392985126139024</v>
      </c>
      <c r="AS94">
        <f>AS93*(1-Population!$B$12)+M94</f>
        <v>60</v>
      </c>
    </row>
    <row r="95" spans="1:45">
      <c r="A95">
        <f>A94+Population!$B$2</f>
        <v>92</v>
      </c>
      <c r="B95" s="117">
        <f t="shared" si="35"/>
        <v>289</v>
      </c>
      <c r="C95" s="59">
        <f t="shared" si="36"/>
        <v>151</v>
      </c>
      <c r="D95" s="12">
        <f>AD94*Population!$P$36*Population!$C$2+AF94*Population!$P$38*Population!$C$2+AH94*Population!$P$40*Population!$C$2+AJ94*Population!$P$42*Population!$C$2+AL94*Population!$P$44*Population!$C$2+AN93*Population!$P$46*Population!$C$2</f>
        <v>3.1983008097819781</v>
      </c>
      <c r="E95" s="12">
        <f>IF(B94&gt;Population!$B$6*Population!$B$19,Population!$B$11,IF(Population!$J$6=1,D95,Population!$B$11*Population!$B$6*0.9/B94))</f>
        <v>2.8514203965783622</v>
      </c>
      <c r="F95" s="12">
        <f>IF(B94&gt;Population!$B$6*0.75,Population!$B$11,E95)</f>
        <v>2.8514203965783622</v>
      </c>
      <c r="G95" s="15">
        <f>IF(Population!$J$6=1,IF(E95&gt;H94,H94,E95),IF(E95&gt;X94,X94,E95))</f>
        <v>2.8514203965783622</v>
      </c>
      <c r="H95" s="15">
        <f t="shared" si="37"/>
        <v>47</v>
      </c>
      <c r="I95" s="15">
        <f t="shared" si="38"/>
        <v>59</v>
      </c>
      <c r="J95" s="12">
        <f t="shared" si="33"/>
        <v>1.2553191489361701</v>
      </c>
      <c r="K95" s="12">
        <f>AA95*Population!$O$33+AB95*Population!$O$34+AC95*Population!$O$35+AD95*Population!$O$36+AE95*Population!$O$37+AF95*Population!$O$38+AG95*Population!$O$39+AH95*Population!$O$40+AI95*Population!$O$41+AJ95*Population!$O$42+AK95*Population!$O$41+AL95*Population!$O$42+AM95*Population!$O$43+AN95*Population!$O$44+AO95*Population!$O$45+AP95*Population!$O$46+AQ95*Population!$O$47+AR95*Population!$O$48</f>
        <v>0.56894955092443678</v>
      </c>
      <c r="L95" s="12">
        <f t="shared" si="39"/>
        <v>6.0668519076135366E-2</v>
      </c>
      <c r="M95" s="12">
        <f>Population!$C$12</f>
        <v>3.0312000000000006</v>
      </c>
      <c r="N95" s="12">
        <f t="shared" si="40"/>
        <v>1.380155206109104</v>
      </c>
      <c r="O95" s="12">
        <f>I95/B95</f>
        <v>0.20415224913494809</v>
      </c>
      <c r="P95" s="12">
        <f>B95-I95-Q95*2</f>
        <v>146.80823336531051</v>
      </c>
      <c r="Q95" s="12">
        <f t="shared" si="41"/>
        <v>41.59588331734475</v>
      </c>
      <c r="R95" s="12">
        <f t="shared" si="42"/>
        <v>31.392985126139024</v>
      </c>
      <c r="S95" s="12">
        <f>SUM(AR95:AR95)/B95</f>
        <v>0.108605874125154</v>
      </c>
      <c r="T95" s="12">
        <f t="shared" si="34"/>
        <v>0.88501879398605854</v>
      </c>
      <c r="U95" s="12">
        <f>Population!$B$17*MIN(Y94:Z94)</f>
        <v>1.4305009455596576</v>
      </c>
      <c r="V95" s="12">
        <f>X94*Population!$B$18</f>
        <v>0.2493178889659938</v>
      </c>
      <c r="W95" s="12">
        <f>AN94*T94*Population!$B$16</f>
        <v>1.1382812335812102</v>
      </c>
      <c r="X95" s="12">
        <f t="shared" si="45"/>
        <v>41.59588331734475</v>
      </c>
      <c r="Y95" s="14">
        <f t="shared" si="43"/>
        <v>5.7220954378972237</v>
      </c>
      <c r="Z95" s="13">
        <f t="shared" si="44"/>
        <v>5.7220954378972237</v>
      </c>
      <c r="AA95" s="18">
        <f>(G95+Population!$B$15*AA94)*Population!M$33</f>
        <v>19.903341180226427</v>
      </c>
      <c r="AB95" s="18">
        <f>AA94*Population!$B$16*Population!$M$33+AB94*Population!$B$15*Population!$M$34</f>
        <v>19.868232372248265</v>
      </c>
      <c r="AC95" s="14">
        <f>(AB94*Population!$B$16*0.5*Population!$M$34)+(AC94*Population!$B$15*Population!M$35)</f>
        <v>9.8746515450950998</v>
      </c>
      <c r="AD95" s="13">
        <f>(AB94*Population!$B$16*0.5*Population!$M$34)+(AD94*Population!$B$15*Population!M$35)</f>
        <v>9.8746515450950998</v>
      </c>
      <c r="AE95" s="14">
        <f>(AC94*Population!$B$16*Population!M$35)+(AE94*Population!$B$15*Population!M$37)</f>
        <v>9.8054101163687424</v>
      </c>
      <c r="AF95" s="13">
        <f>(AD94*Population!$B$16*Population!M$35)+(AF94*Population!$B$15*Population!M$37)</f>
        <v>9.8054101163687424</v>
      </c>
      <c r="AG95" s="14">
        <f>(AE94*Population!$B$16*Population!M$37)+(AG94*Population!$B$15*Population!M$39)</f>
        <v>9.6713217089527621</v>
      </c>
      <c r="AH95" s="13">
        <f>(AF94*Population!$B$16*Population!M$37)+(AH94*Population!$B$15*Population!M$39)</f>
        <v>9.6713217089527621</v>
      </c>
      <c r="AI95" s="14">
        <f>(AG94*Population!$B$16*Population!M$39)+(AI94*Population!$B$15*Population!M$41)</f>
        <v>9.5065275029696785</v>
      </c>
      <c r="AJ95" s="13">
        <f>(AH94*Population!$B$16*Population!M$39)+(AJ94*Population!$B$15*Population!M$41)</f>
        <v>9.5065275029696785</v>
      </c>
      <c r="AK95" s="14">
        <f>(AI94*Population!$B$16*Population!M$41)+(AK94*Population!$B$15*Population!M$43)</f>
        <v>9.3003093299382158</v>
      </c>
      <c r="AL95" s="13">
        <f>(AJ94*Population!$B$16*Population!M$41)+(AL94*Population!$B$15*Population!M$43)</f>
        <v>9.3003093299382158</v>
      </c>
      <c r="AM95" s="14">
        <f>(AK94*Population!$B$16*Population!M$43)+(AM94*Population!$B$15*Population!M$45)</f>
        <v>9.0344100970125769</v>
      </c>
      <c r="AN95" s="13">
        <f>(AL94*Population!$B$16*Population!M$43)+(AN94*Population!$B$15*Population!M$45)</f>
        <v>9.0344100970125769</v>
      </c>
      <c r="AO95" s="15">
        <f>(AM94+AN94)*Population!$B$16*Population!$M$45+AO94*Population!$B$15*Population!$M$47</f>
        <v>16.900272097147688</v>
      </c>
      <c r="AP95" s="5">
        <f>AO94*Population!M$47*Population!$B$16+AP94*Population!$B$15*Population!M$48</f>
        <v>15.659202117738149</v>
      </c>
      <c r="AQ95" s="5">
        <f>AP94*Population!M$48*Population!$B$16+AQ94*Population!$B$15*Population!M$49</f>
        <v>11.692321761127332</v>
      </c>
      <c r="AR95" s="5">
        <f>(AQ94*Population!$B$16+AR94)*Population!M$50</f>
        <v>31.387097622169506</v>
      </c>
      <c r="AS95">
        <f>AS94*(1-Population!$B$12)+M95</f>
        <v>60</v>
      </c>
    </row>
    <row r="96" spans="1:45">
      <c r="A96">
        <f>A95+Population!$B$2</f>
        <v>93</v>
      </c>
      <c r="B96" s="117">
        <f t="shared" si="35"/>
        <v>290</v>
      </c>
      <c r="C96" s="59">
        <f t="shared" si="36"/>
        <v>152</v>
      </c>
      <c r="D96" s="12">
        <f>AD95*Population!$P$36*Population!$C$2+AF95*Population!$P$38*Population!$C$2+AH95*Population!$P$40*Population!$C$2+AJ95*Population!$P$42*Population!$C$2+AL95*Population!$P$44*Population!$C$2+AN94*Population!$P$46*Population!$C$2</f>
        <v>3.200092909694872</v>
      </c>
      <c r="E96" s="12">
        <f>IF(B95&gt;Population!$B$6*Population!$B$19,Population!$B$11,IF(Population!$J$6=1,D96,Population!$B$11*Population!$B$6*0.9/B95))</f>
        <v>2.8514203965783622</v>
      </c>
      <c r="F96" s="12">
        <f>IF(B95&gt;Population!$B$6*0.75,Population!$B$11,E96)</f>
        <v>2.8514203965783622</v>
      </c>
      <c r="G96" s="15">
        <f>IF(Population!$J$6=1,IF(E96&gt;H95,H95,E96),IF(E96&gt;X95,X95,E96))</f>
        <v>2.8514203965783622</v>
      </c>
      <c r="H96" s="15">
        <f t="shared" si="37"/>
        <v>47</v>
      </c>
      <c r="I96" s="15">
        <f t="shared" si="38"/>
        <v>59</v>
      </c>
      <c r="J96" s="12">
        <f t="shared" si="33"/>
        <v>1.2553191489361701</v>
      </c>
      <c r="K96" s="12">
        <f>AA96*Population!$O$33+AB96*Population!$O$34+AC96*Population!$O$35+AD96*Population!$O$36+AE96*Population!$O$37+AF96*Population!$O$38+AG96*Population!$O$39+AH96*Population!$O$40+AI96*Population!$O$41+AJ96*Population!$O$42+AK96*Population!$O$41+AL96*Population!$O$42+AM96*Population!$O$43+AN96*Population!$O$44+AO96*Population!$O$45+AP96*Population!$O$46+AQ96*Population!$O$47+AR96*Population!$O$48</f>
        <v>0.56965305340906858</v>
      </c>
      <c r="L96" s="12">
        <f t="shared" si="39"/>
        <v>6.0668519076135366E-2</v>
      </c>
      <c r="M96" s="12">
        <f>Population!$C$12</f>
        <v>3.0312000000000006</v>
      </c>
      <c r="N96" s="12">
        <f t="shared" si="40"/>
        <v>1.3805212186785876</v>
      </c>
      <c r="O96" s="12">
        <f>I96/B96</f>
        <v>0.20344827586206896</v>
      </c>
      <c r="P96" s="12">
        <f>B96-I96-Q96*2</f>
        <v>147.73079988286531</v>
      </c>
      <c r="Q96" s="12">
        <f t="shared" si="41"/>
        <v>41.634600058567344</v>
      </c>
      <c r="R96" s="12">
        <f t="shared" si="42"/>
        <v>31.387097622169506</v>
      </c>
      <c r="S96" s="12">
        <f>SUM(AR96:AR96)/B96</f>
        <v>0.10823230335854074</v>
      </c>
      <c r="T96" s="12">
        <f t="shared" si="34"/>
        <v>0.88584255443760307</v>
      </c>
      <c r="U96" s="12">
        <f>Population!$B$17*MIN(Y95:Z95)</f>
        <v>1.4305238594743059</v>
      </c>
      <c r="V96" s="12">
        <f>X95*Population!$B$18</f>
        <v>0.24957529990406851</v>
      </c>
      <c r="W96" s="12">
        <f>AN95*T95*Population!$B$16</f>
        <v>1.1422318183476488</v>
      </c>
      <c r="X96" s="12">
        <f t="shared" si="45"/>
        <v>41.634600058567344</v>
      </c>
      <c r="Y96" s="14">
        <f t="shared" si="43"/>
        <v>5.7231781479822814</v>
      </c>
      <c r="Z96" s="13">
        <f t="shared" si="44"/>
        <v>5.7231781479822814</v>
      </c>
      <c r="AA96" s="18">
        <f>(G96+Population!$B$15*AA95)*Population!M$33</f>
        <v>19.903343083074997</v>
      </c>
      <c r="AB96" s="18">
        <f>AA95*Population!$B$16*Population!$M$33+AB95*Population!$B$15*Population!$M$34</f>
        <v>19.868261791927758</v>
      </c>
      <c r="AC96" s="14">
        <f>(AB95*Population!$B$16*0.5*Population!$M$34)+(AC95*Population!$B$15*Population!M$35)</f>
        <v>9.8747610032882864</v>
      </c>
      <c r="AD96" s="13">
        <f>(AB95*Population!$B$16*0.5*Population!$M$34)+(AD95*Population!$B$15*Population!M$35)</f>
        <v>9.8747610032882864</v>
      </c>
      <c r="AE96" s="14">
        <f>(AC95*Population!$B$16*Population!M$35)+(AE95*Population!$B$15*Population!M$37)</f>
        <v>9.8059477664770984</v>
      </c>
      <c r="AF96" s="13">
        <f>(AD95*Population!$B$16*Population!M$35)+(AF95*Population!$B$15*Population!M$37)</f>
        <v>9.8059477664770984</v>
      </c>
      <c r="AG96" s="14">
        <f>(AE95*Population!$B$16*Population!M$37)+(AG95*Population!$B$15*Population!M$39)</f>
        <v>9.6732260268796111</v>
      </c>
      <c r="AH96" s="13">
        <f>(AF95*Population!$B$16*Population!M$37)+(AH95*Population!$B$15*Population!M$39)</f>
        <v>9.6732260268796111</v>
      </c>
      <c r="AI96" s="14">
        <f>(AG95*Population!$B$16*Population!M$39)+(AI95*Population!$B$15*Population!M$41)</f>
        <v>9.5117717988936317</v>
      </c>
      <c r="AJ96" s="13">
        <f>(AH95*Population!$B$16*Population!M$39)+(AJ95*Population!$B$15*Population!M$41)</f>
        <v>9.5117717988936317</v>
      </c>
      <c r="AK96" s="14">
        <f>(AI95*Population!$B$16*Population!M$41)+(AK95*Population!$B$15*Population!M$43)</f>
        <v>9.3118559123303406</v>
      </c>
      <c r="AL96" s="13">
        <f>(AJ95*Population!$B$16*Population!M$41)+(AL95*Population!$B$15*Population!M$43)</f>
        <v>9.3118559123303406</v>
      </c>
      <c r="AM96" s="14">
        <f>(AK95*Population!$B$16*Population!M$43)+(AM95*Population!$B$15*Population!M$45)</f>
        <v>9.0549767019689433</v>
      </c>
      <c r="AN96" s="13">
        <f>(AL95*Population!$B$16*Population!M$43)+(AN95*Population!$B$15*Population!M$45)</f>
        <v>9.0549767019689433</v>
      </c>
      <c r="AO96" s="15">
        <f>(AM95+AN95)*Population!$B$16*Population!$M$45+AO95*Population!$B$15*Population!$M$47</f>
        <v>16.957228400844691</v>
      </c>
      <c r="AP96" s="5">
        <f>AO95*Population!M$47*Population!$B$16+AP95*Population!$B$15*Population!M$48</f>
        <v>15.721683219821522</v>
      </c>
      <c r="AQ96" s="5">
        <f>AP95*Population!M$48*Population!$B$16+AQ95*Population!$B$15*Population!M$49</f>
        <v>11.736489556702232</v>
      </c>
      <c r="AR96" s="5">
        <f>(AQ95*Population!$B$16+AR95)*Population!M$50</f>
        <v>31.387367973976815</v>
      </c>
      <c r="AS96">
        <f>AS95*(1-Population!$B$12)+M96</f>
        <v>60</v>
      </c>
    </row>
    <row r="97" spans="1:45">
      <c r="A97">
        <f>A96+Population!$B$2</f>
        <v>94</v>
      </c>
      <c r="B97" s="117">
        <f t="shared" si="35"/>
        <v>290</v>
      </c>
      <c r="C97" s="59">
        <f t="shared" si="36"/>
        <v>152</v>
      </c>
      <c r="D97" s="12">
        <f>AD96*Population!$P$36*Population!$C$2+AF96*Population!$P$38*Population!$C$2+AH96*Population!$P$40*Population!$C$2+AJ96*Population!$P$42*Population!$C$2+AL96*Population!$P$44*Population!$C$2+AN95*Population!$P$46*Population!$C$2</f>
        <v>3.2017420584284344</v>
      </c>
      <c r="E97" s="12">
        <f>IF(B96&gt;Population!$B$6*Population!$B$19,Population!$B$11,IF(Population!$J$6=1,D97,Population!$B$11*Population!$B$6*0.9/B96))</f>
        <v>2.8514203965783622</v>
      </c>
      <c r="F97" s="12">
        <f>IF(B96&gt;Population!$B$6*0.75,Population!$B$11,E97)</f>
        <v>2.8514203965783622</v>
      </c>
      <c r="G97" s="15">
        <f>IF(Population!$J$6=1,IF(E97&gt;H96,H96,E97),IF(E97&gt;X96,X96,E97))</f>
        <v>2.8514203965783622</v>
      </c>
      <c r="H97" s="15">
        <f t="shared" si="37"/>
        <v>47</v>
      </c>
      <c r="I97" s="15">
        <f t="shared" si="38"/>
        <v>59</v>
      </c>
      <c r="J97" s="12">
        <f t="shared" si="33"/>
        <v>1.2553191489361701</v>
      </c>
      <c r="K97" s="12">
        <f>AA97*Population!$O$33+AB97*Population!$O$34+AC97*Population!$O$35+AD97*Population!$O$36+AE97*Population!$O$37+AF97*Population!$O$38+AG97*Population!$O$39+AH97*Population!$O$40+AI97*Population!$O$41+AJ97*Population!$O$42+AK97*Population!$O$41+AL97*Population!$O$42+AM97*Population!$O$43+AN97*Population!$O$44+AO97*Population!$O$45+AP97*Population!$O$46+AQ97*Population!$O$47+AR97*Population!$O$48</f>
        <v>0.57038570770969943</v>
      </c>
      <c r="L97" s="12">
        <f t="shared" si="39"/>
        <v>6.0668519076135366E-2</v>
      </c>
      <c r="M97" s="12">
        <f>Population!$C$12</f>
        <v>3.0312000000000006</v>
      </c>
      <c r="N97" s="12">
        <f t="shared" si="40"/>
        <v>1.3808516901798384</v>
      </c>
      <c r="O97" s="12">
        <f>I97/B97</f>
        <v>0.20344827586206896</v>
      </c>
      <c r="P97" s="12">
        <f>B97-I97-Q97*2</f>
        <v>147.66062135016131</v>
      </c>
      <c r="Q97" s="12">
        <f t="shared" si="41"/>
        <v>41.669689324919347</v>
      </c>
      <c r="R97" s="12">
        <f t="shared" si="42"/>
        <v>31.387367973976815</v>
      </c>
      <c r="S97" s="12">
        <f>SUM(AR97:AR97)/B97</f>
        <v>0.10825384685311241</v>
      </c>
      <c r="T97" s="12">
        <f t="shared" si="34"/>
        <v>0.88658913457275201</v>
      </c>
      <c r="U97" s="12">
        <f>Population!$B$17*MIN(Y96:Z96)</f>
        <v>1.4307945369955704</v>
      </c>
      <c r="V97" s="12">
        <f>X96*Population!$B$18</f>
        <v>0.24980760035140406</v>
      </c>
      <c r="W97" s="12">
        <f>AN96*T96*Population!$B$16</f>
        <v>1.1458976702921644</v>
      </c>
      <c r="X97" s="12">
        <f t="shared" si="45"/>
        <v>41.669689324919347</v>
      </c>
      <c r="Y97" s="14">
        <f t="shared" si="43"/>
        <v>5.7248956145854635</v>
      </c>
      <c r="Z97" s="13">
        <f t="shared" si="44"/>
        <v>5.7248956145854635</v>
      </c>
      <c r="AA97" s="18">
        <f>(G97+Population!$B$15*AA96)*Population!M$33</f>
        <v>19.903344713425867</v>
      </c>
      <c r="AB97" s="18">
        <f>AA96*Population!$B$16*Population!$M$33+AB96*Population!$B$15*Population!$M$34</f>
        <v>19.868287274847244</v>
      </c>
      <c r="AC97" s="14">
        <f>(AB96*Population!$B$16*0.5*Population!$M$34)+(AC96*Population!$B$15*Population!M$35)</f>
        <v>9.8748568361178855</v>
      </c>
      <c r="AD97" s="13">
        <f>(AB96*Population!$B$16*0.5*Population!$M$34)+(AD96*Population!$B$15*Population!M$35)</f>
        <v>9.8748568361178855</v>
      </c>
      <c r="AE97" s="14">
        <f>(AC96*Population!$B$16*Population!M$35)+(AE96*Population!$B$15*Population!M$37)</f>
        <v>9.8064237922265765</v>
      </c>
      <c r="AF97" s="13">
        <f>(AD96*Population!$B$16*Population!M$35)+(AF96*Population!$B$15*Population!M$37)</f>
        <v>9.8064237922265765</v>
      </c>
      <c r="AG97" s="14">
        <f>(AE96*Population!$B$16*Population!M$37)+(AG96*Population!$B$15*Population!M$39)</f>
        <v>9.6749318993862392</v>
      </c>
      <c r="AH97" s="13">
        <f>(AF96*Population!$B$16*Population!M$37)+(AH96*Population!$B$15*Population!M$39)</f>
        <v>9.6749318993862392</v>
      </c>
      <c r="AI97" s="14">
        <f>(AG96*Population!$B$16*Population!M$39)+(AI96*Population!$B$15*Population!M$41)</f>
        <v>9.5165298021637916</v>
      </c>
      <c r="AJ97" s="13">
        <f>(AH96*Population!$B$16*Population!M$39)+(AJ96*Population!$B$15*Population!M$41)</f>
        <v>9.5165298021637916</v>
      </c>
      <c r="AK97" s="14">
        <f>(AI96*Population!$B$16*Population!M$41)+(AK96*Population!$B$15*Population!M$43)</f>
        <v>9.3224817272731091</v>
      </c>
      <c r="AL97" s="13">
        <f>(AJ96*Population!$B$16*Population!M$41)+(AL96*Population!$B$15*Population!M$43)</f>
        <v>9.3224817272731091</v>
      </c>
      <c r="AM97" s="14">
        <f>(AK96*Population!$B$16*Population!M$43)+(AM96*Population!$B$15*Population!M$45)</f>
        <v>9.0742177184550918</v>
      </c>
      <c r="AN97" s="13">
        <f>(AL96*Population!$B$16*Population!M$43)+(AN96*Population!$B$15*Population!M$45)</f>
        <v>9.0742177184550918</v>
      </c>
      <c r="AO97" s="15">
        <f>(AM96+AN96)*Population!$B$16*Population!$M$45+AO96*Population!$B$15*Population!$M$47</f>
        <v>17.011559037576248</v>
      </c>
      <c r="AP97" s="5">
        <f>AO96*Population!M$47*Population!$B$16+AP96*Population!$B$15*Population!M$48</f>
        <v>15.782927799115066</v>
      </c>
      <c r="AQ97" s="5">
        <f>AP96*Population!M$48*Population!$B$16+AQ96*Population!$B$15*Population!M$49</f>
        <v>11.781296234609091</v>
      </c>
      <c r="AR97" s="5">
        <f>(AQ96*Population!$B$16+AR96)*Population!M$50</f>
        <v>31.3936155874026</v>
      </c>
      <c r="AS97">
        <f>AS96*(1-Population!$B$12)+M97</f>
        <v>60</v>
      </c>
    </row>
    <row r="98" spans="1:45">
      <c r="A98">
        <f>A97+Population!$B$2</f>
        <v>95</v>
      </c>
      <c r="B98" s="117">
        <f t="shared" si="35"/>
        <v>290</v>
      </c>
      <c r="C98" s="59">
        <f t="shared" si="36"/>
        <v>152</v>
      </c>
      <c r="D98" s="12">
        <f>AD97*Population!$P$36*Population!$C$2+AF97*Population!$P$38*Population!$C$2+AH97*Population!$P$40*Population!$C$2+AJ97*Population!$P$42*Population!$C$2+AL97*Population!$P$44*Population!$C$2+AN96*Population!$P$46*Population!$C$2</f>
        <v>3.2032584999337756</v>
      </c>
      <c r="E98" s="12">
        <f>IF(B97&gt;Population!$B$6*Population!$B$19,Population!$B$11,IF(Population!$J$6=1,D98,Population!$B$11*Population!$B$6*0.9/B97))</f>
        <v>2.8514203965783622</v>
      </c>
      <c r="F98" s="12">
        <f>IF(B97&gt;Population!$B$6*0.75,Population!$B$11,E98)</f>
        <v>2.8514203965783622</v>
      </c>
      <c r="G98" s="15">
        <f>IF(Population!$J$6=1,IF(E98&gt;H97,H97,E98),IF(E98&gt;X97,X97,E98))</f>
        <v>2.8514203965783622</v>
      </c>
      <c r="H98" s="15">
        <f t="shared" si="37"/>
        <v>47</v>
      </c>
      <c r="I98" s="15">
        <f t="shared" si="38"/>
        <v>59</v>
      </c>
      <c r="J98" s="12">
        <f t="shared" ref="J98:J103" si="46">I98/H98</f>
        <v>1.2553191489361701</v>
      </c>
      <c r="K98" s="12">
        <f>AA98*Population!$O$33+AB98*Population!$O$34+AC98*Population!$O$35+AD98*Population!$O$36+AE98*Population!$O$37+AF98*Population!$O$38+AG98*Population!$O$39+AH98*Population!$O$40+AI98*Population!$O$41+AJ98*Population!$O$42+AK98*Population!$O$41+AL98*Population!$O$42+AM98*Population!$O$43+AN98*Population!$O$44+AO98*Population!$O$45+AP98*Population!$O$46+AQ98*Population!$O$47+AR98*Population!$O$48</f>
        <v>0.57114421393053871</v>
      </c>
      <c r="L98" s="12">
        <f t="shared" si="39"/>
        <v>6.0668519076135366E-2</v>
      </c>
      <c r="M98" s="12">
        <f>Population!$C$12</f>
        <v>3.0312000000000006</v>
      </c>
      <c r="N98" s="12">
        <f t="shared" si="40"/>
        <v>1.3811498951745502</v>
      </c>
      <c r="O98" s="12">
        <f>I98/B98</f>
        <v>0.20344827586206896</v>
      </c>
      <c r="P98" s="12">
        <f>B98-I98-Q98*2</f>
        <v>147.59681062446185</v>
      </c>
      <c r="Q98" s="12">
        <f t="shared" si="41"/>
        <v>41.701594687769081</v>
      </c>
      <c r="R98" s="12">
        <f t="shared" si="42"/>
        <v>31.3936155874026</v>
      </c>
      <c r="S98" s="12">
        <f>SUM(AR98:AR98)/B98</f>
        <v>0.10829525913513585</v>
      </c>
      <c r="T98" s="12">
        <f t="shared" ref="T98:T103" si="47">X98/H98</f>
        <v>0.88726797208019326</v>
      </c>
      <c r="U98" s="12">
        <f>Population!$B$17*MIN(Y97:Z97)</f>
        <v>1.4312239036463659</v>
      </c>
      <c r="V98" s="12">
        <f>X97*Population!$B$18</f>
        <v>0.25001813594951611</v>
      </c>
      <c r="W98" s="12">
        <f>AN97*T97*Population!$B$16</f>
        <v>1.1493004048471187</v>
      </c>
      <c r="X98" s="12">
        <f t="shared" si="45"/>
        <v>41.701594687769081</v>
      </c>
      <c r="Y98" s="14">
        <f t="shared" si="43"/>
        <v>5.7269970143328734</v>
      </c>
      <c r="Z98" s="13">
        <f t="shared" si="44"/>
        <v>5.7269970143328734</v>
      </c>
      <c r="AA98" s="18">
        <f>(G98+Population!$B$15*AA97)*Population!M$33</f>
        <v>19.90334611030211</v>
      </c>
      <c r="AB98" s="18">
        <f>AA97*Population!$B$16*Population!$M$33+AB97*Population!$B$15*Population!$M$34</f>
        <v>19.868309345247805</v>
      </c>
      <c r="AC98" s="14">
        <f>(AB97*Population!$B$16*0.5*Population!$M$34)+(AC97*Population!$B$15*Population!M$35)</f>
        <v>9.874940720060513</v>
      </c>
      <c r="AD98" s="13">
        <f>(AB97*Population!$B$16*0.5*Population!$M$34)+(AD97*Population!$B$15*Population!M$35)</f>
        <v>9.874940720060513</v>
      </c>
      <c r="AE98" s="14">
        <f>(AC97*Population!$B$16*Population!M$35)+(AE97*Population!$B$15*Population!M$37)</f>
        <v>9.8068451028097954</v>
      </c>
      <c r="AF98" s="13">
        <f>(AD97*Population!$B$16*Population!M$35)+(AF97*Population!$B$15*Population!M$37)</f>
        <v>9.8068451028097954</v>
      </c>
      <c r="AG98" s="14">
        <f>(AE97*Population!$B$16*Population!M$37)+(AG97*Population!$B$15*Population!M$39)</f>
        <v>9.6764592073127282</v>
      </c>
      <c r="AH98" s="13">
        <f>(AF97*Population!$B$16*Population!M$37)+(AH97*Population!$B$15*Population!M$39)</f>
        <v>9.6764592073127282</v>
      </c>
      <c r="AI98" s="14">
        <f>(AG97*Population!$B$16*Population!M$39)+(AI97*Population!$B$15*Population!M$41)</f>
        <v>9.5208434885430329</v>
      </c>
      <c r="AJ98" s="13">
        <f>(AH97*Population!$B$16*Population!M$39)+(AJ97*Population!$B$15*Population!M$41)</f>
        <v>9.5208434885430329</v>
      </c>
      <c r="AK98" s="14">
        <f>(AI97*Population!$B$16*Population!M$41)+(AK97*Population!$B$15*Population!M$43)</f>
        <v>9.3322504912977298</v>
      </c>
      <c r="AL98" s="13">
        <f>(AJ97*Population!$B$16*Population!M$41)+(AL97*Population!$B$15*Population!M$43)</f>
        <v>9.3322504912977298</v>
      </c>
      <c r="AM98" s="14">
        <f>(AK97*Population!$B$16*Population!M$43)+(AM97*Population!$B$15*Population!M$45)</f>
        <v>9.0921934121386698</v>
      </c>
      <c r="AN98" s="13">
        <f>(AL97*Population!$B$16*Population!M$43)+(AN97*Population!$B$15*Population!M$45)</f>
        <v>9.0921934121386698</v>
      </c>
      <c r="AO98" s="15">
        <f>(AM97+AN97)*Population!$B$16*Population!$M$45+AO97*Population!$B$15*Population!$M$47</f>
        <v>17.063277406884893</v>
      </c>
      <c r="AP98" s="5">
        <f>AO97*Population!M$47*Population!$B$16+AP97*Population!$B$15*Population!M$48</f>
        <v>15.842747809997533</v>
      </c>
      <c r="AQ98" s="5">
        <f>AP97*Population!M$48*Population!$B$16+AQ97*Population!$B$15*Population!M$49</f>
        <v>11.826447495084475</v>
      </c>
      <c r="AR98" s="5">
        <f>(AQ97*Population!$B$16+AR97)*Population!M$50</f>
        <v>31.405625149189397</v>
      </c>
      <c r="AS98">
        <f>AS97*(1-Population!$B$12)+M98</f>
        <v>60</v>
      </c>
    </row>
    <row r="99" spans="1:45">
      <c r="A99">
        <f>A98+Population!$B$2</f>
        <v>96</v>
      </c>
      <c r="B99" s="117">
        <f t="shared" si="35"/>
        <v>290</v>
      </c>
      <c r="C99" s="59">
        <f t="shared" si="36"/>
        <v>151</v>
      </c>
      <c r="D99" s="12">
        <f>AD98*Population!$P$36*Population!$C$2+AF98*Population!$P$38*Population!$C$2+AH98*Population!$P$40*Population!$C$2+AJ98*Population!$P$42*Population!$C$2+AL98*Population!$P$44*Population!$C$2+AN97*Population!$P$46*Population!$C$2</f>
        <v>3.2046518730061271</v>
      </c>
      <c r="E99" s="12">
        <f>IF(B98&gt;Population!$B$6*Population!$B$19,Population!$B$11,IF(Population!$J$6=1,D99,Population!$B$11*Population!$B$6*0.9/B98))</f>
        <v>2.8514203965783622</v>
      </c>
      <c r="F99" s="12">
        <f>IF(B98&gt;Population!$B$6*0.75,Population!$B$11,E99)</f>
        <v>2.8514203965783622</v>
      </c>
      <c r="G99" s="15">
        <f>IF(Population!$J$6=1,IF(E99&gt;H98,H98,E99),IF(E99&gt;X98,X98,E99))</f>
        <v>2.8514203965783622</v>
      </c>
      <c r="H99" s="15">
        <f t="shared" si="37"/>
        <v>47</v>
      </c>
      <c r="I99" s="15">
        <f t="shared" si="38"/>
        <v>59</v>
      </c>
      <c r="J99" s="12">
        <f t="shared" si="46"/>
        <v>1.2553191489361701</v>
      </c>
      <c r="K99" s="12">
        <f>AA99*Population!$O$33+AB99*Population!$O$34+AC99*Population!$O$35+AD99*Population!$O$36+AE99*Population!$O$37+AF99*Population!$O$38+AG99*Population!$O$39+AH99*Population!$O$40+AI99*Population!$O$41+AJ99*Population!$O$42+AK99*Population!$O$41+AL99*Population!$O$42+AM99*Population!$O$43+AN99*Population!$O$44+AO99*Population!$O$45+AP99*Population!$O$46+AQ99*Population!$O$47+AR99*Population!$O$48</f>
        <v>0.571925319692413</v>
      </c>
      <c r="L99" s="12">
        <f t="shared" si="39"/>
        <v>6.0668519076135366E-2</v>
      </c>
      <c r="M99" s="12">
        <f>Population!$C$12</f>
        <v>3.0312000000000006</v>
      </c>
      <c r="N99" s="12">
        <f t="shared" si="40"/>
        <v>1.3814188286479931</v>
      </c>
      <c r="O99" s="12">
        <f>I99/B99</f>
        <v>0.20344827586206896</v>
      </c>
      <c r="P99" s="12">
        <f>B99-I99-Q99*2</f>
        <v>147.53864897084839</v>
      </c>
      <c r="Q99" s="12">
        <f t="shared" si="41"/>
        <v>41.730675514575807</v>
      </c>
      <c r="R99" s="12">
        <f t="shared" si="42"/>
        <v>31.405625149189397</v>
      </c>
      <c r="S99" s="12">
        <f>SUM(AR99:AR99)/B99</f>
        <v>0.10835569760305382</v>
      </c>
      <c r="T99" s="12">
        <f t="shared" si="47"/>
        <v>0.88788671307608102</v>
      </c>
      <c r="U99" s="12">
        <f>Population!$B$17*MIN(Y98:Z98)</f>
        <v>1.4317492535832184</v>
      </c>
      <c r="V99" s="12">
        <f>X98*Population!$B$18</f>
        <v>0.25020956812661449</v>
      </c>
      <c r="W99" s="12">
        <f>AN98*T98*Population!$B$16</f>
        <v>1.1524588586498814</v>
      </c>
      <c r="X99" s="12">
        <f t="shared" si="45"/>
        <v>41.730675514575807</v>
      </c>
      <c r="Y99" s="14">
        <f t="shared" si="43"/>
        <v>5.7293070107820867</v>
      </c>
      <c r="Z99" s="13">
        <f t="shared" si="44"/>
        <v>5.7293070107820867</v>
      </c>
      <c r="AA99" s="18">
        <f>(G99+Population!$B$15*AA98)*Population!M$33</f>
        <v>19.903347307138489</v>
      </c>
      <c r="AB99" s="18">
        <f>AA98*Population!$B$16*Population!$M$33+AB98*Population!$B$15*Population!$M$34</f>
        <v>19.868328457950295</v>
      </c>
      <c r="AC99" s="14">
        <f>(AB98*Population!$B$16*0.5*Population!$M$34)+(AC98*Population!$B$15*Population!M$35)</f>
        <v>9.8750141281640467</v>
      </c>
      <c r="AD99" s="13">
        <f>(AB98*Population!$B$16*0.5*Population!$M$34)+(AD98*Population!$B$15*Population!M$35)</f>
        <v>9.8750141281640467</v>
      </c>
      <c r="AE99" s="14">
        <f>(AC98*Population!$B$16*Population!M$35)+(AE98*Population!$B$15*Population!M$37)</f>
        <v>9.8072178540164572</v>
      </c>
      <c r="AF99" s="13">
        <f>(AD98*Population!$B$16*Population!M$35)+(AF98*Population!$B$15*Population!M$37)</f>
        <v>9.8072178540164572</v>
      </c>
      <c r="AG99" s="14">
        <f>(AE98*Population!$B$16*Population!M$37)+(AG98*Population!$B$15*Population!M$39)</f>
        <v>9.6778259447478483</v>
      </c>
      <c r="AH99" s="13">
        <f>(AF98*Population!$B$16*Population!M$37)+(AH98*Population!$B$15*Population!M$39)</f>
        <v>9.6778259447478483</v>
      </c>
      <c r="AI99" s="14">
        <f>(AG98*Population!$B$16*Population!M$39)+(AI98*Population!$B$15*Population!M$41)</f>
        <v>9.5247516028435513</v>
      </c>
      <c r="AJ99" s="13">
        <f>(AH98*Population!$B$16*Population!M$39)+(AJ98*Population!$B$15*Population!M$41)</f>
        <v>9.5247516028435513</v>
      </c>
      <c r="AK99" s="14">
        <f>(AI98*Population!$B$16*Population!M$41)+(AK98*Population!$B$15*Population!M$43)</f>
        <v>9.3412226987388092</v>
      </c>
      <c r="AL99" s="13">
        <f>(AJ98*Population!$B$16*Population!M$41)+(AL98*Population!$B$15*Population!M$43)</f>
        <v>9.3412226987388092</v>
      </c>
      <c r="AM99" s="14">
        <f>(AK98*Population!$B$16*Population!M$43)+(AM98*Population!$B$15*Population!M$45)</f>
        <v>9.1089644250112318</v>
      </c>
      <c r="AN99" s="13">
        <f>(AL98*Population!$B$16*Population!M$43)+(AN98*Population!$B$15*Population!M$45)</f>
        <v>9.1089644250112318</v>
      </c>
      <c r="AO99" s="15">
        <f>(AM98+AN98)*Population!$B$16*Population!$M$45+AO98*Population!$B$15*Population!$M$47</f>
        <v>17.11241209652637</v>
      </c>
      <c r="AP99" s="5">
        <f>AO98*Population!M$47*Population!$B$16+AP98*Population!$B$15*Population!M$48</f>
        <v>15.900985139419328</v>
      </c>
      <c r="AQ99" s="5">
        <f>AP98*Population!M$48*Population!$B$16+AQ98*Population!$B$15*Population!M$49</f>
        <v>11.871677156310271</v>
      </c>
      <c r="AR99" s="5">
        <f>(AQ98*Population!$B$16+AR98)*Population!M$50</f>
        <v>31.423152304885608</v>
      </c>
      <c r="AS99">
        <f>AS98*(1-Population!$B$12)+M99</f>
        <v>60</v>
      </c>
    </row>
    <row r="100" spans="1:45">
      <c r="A100">
        <f>A99+Population!$B$2</f>
        <v>97</v>
      </c>
      <c r="B100" s="117">
        <f t="shared" si="35"/>
        <v>290</v>
      </c>
      <c r="C100" s="59">
        <f t="shared" si="36"/>
        <v>151</v>
      </c>
      <c r="D100" s="12">
        <f>AD99*Population!$P$36*Population!$C$2+AF99*Population!$P$38*Population!$C$2+AH99*Population!$P$40*Population!$C$2+AJ99*Population!$P$42*Population!$C$2+AL99*Population!$P$44*Population!$C$2+AN98*Population!$P$46*Population!$C$2</f>
        <v>3.2059312320949069</v>
      </c>
      <c r="E100" s="12">
        <f>IF(B99&gt;Population!$B$6*Population!$B$19,Population!$B$11,IF(Population!$J$6=1,D100,Population!$B$11*Population!$B$6*0.9/B99))</f>
        <v>2.8514203965783622</v>
      </c>
      <c r="F100" s="12">
        <f>IF(B99&gt;Population!$B$6*0.75,Population!$B$11,E100)</f>
        <v>2.8514203965783622</v>
      </c>
      <c r="G100" s="15">
        <f>IF(Population!$J$6=1,IF(E100&gt;H99,H99,E100),IF(E100&gt;X99,X99,E100))</f>
        <v>2.8514203965783622</v>
      </c>
      <c r="H100" s="15">
        <f t="shared" si="37"/>
        <v>47</v>
      </c>
      <c r="I100" s="15">
        <f t="shared" si="38"/>
        <v>59</v>
      </c>
      <c r="J100" s="12">
        <f t="shared" si="46"/>
        <v>1.2553191489361701</v>
      </c>
      <c r="K100" s="12">
        <f>AA100*Population!$O$33+AB100*Population!$O$34+AC100*Population!$O$35+AD100*Population!$O$36+AE100*Population!$O$37+AF100*Population!$O$38+AG100*Population!$O$39+AH100*Population!$O$40+AI100*Population!$O$41+AJ100*Population!$O$42+AK100*Population!$O$41+AL100*Population!$O$42+AM100*Population!$O$43+AN100*Population!$O$44+AO100*Population!$O$45+AP100*Population!$O$46+AQ100*Population!$O$47+AR100*Population!$O$48</f>
        <v>0.57272584231454493</v>
      </c>
      <c r="L100" s="12">
        <f t="shared" si="39"/>
        <v>6.0668519076135366E-2</v>
      </c>
      <c r="M100" s="12">
        <f>Population!$C$12</f>
        <v>3.0312000000000006</v>
      </c>
      <c r="N100" s="12">
        <f t="shared" si="40"/>
        <v>1.3816612270656126</v>
      </c>
      <c r="O100" s="12">
        <f>I100/B100</f>
        <v>0.20344827586206896</v>
      </c>
      <c r="P100" s="12">
        <f>B100-I100-Q100*2</f>
        <v>147.48554313816089</v>
      </c>
      <c r="Q100" s="12">
        <f t="shared" si="41"/>
        <v>41.757228430919561</v>
      </c>
      <c r="R100" s="12">
        <f t="shared" si="42"/>
        <v>31.423152304885608</v>
      </c>
      <c r="S100" s="12">
        <f>SUM(AR100:AR100)/B100</f>
        <v>0.10843423772387834</v>
      </c>
      <c r="T100" s="12">
        <f t="shared" si="47"/>
        <v>0.88845166874296944</v>
      </c>
      <c r="U100" s="12">
        <f>Population!$B$17*MIN(Y99:Z99)</f>
        <v>1.4323267526955217</v>
      </c>
      <c r="V100" s="12">
        <f>X99*Population!$B$18</f>
        <v>0.25038405308745487</v>
      </c>
      <c r="W100" s="12">
        <f>AN99*T99*Population!$B$16</f>
        <v>1.1553897832643107</v>
      </c>
      <c r="X100" s="12">
        <f t="shared" si="45"/>
        <v>41.757228430919561</v>
      </c>
      <c r="Y100" s="14">
        <f t="shared" ref="Y100:Y103" si="48">(AE100+AG100+AI100+AK100+AM100)-X100</f>
        <v>5.7317042257094428</v>
      </c>
      <c r="Z100" s="13">
        <f t="shared" si="44"/>
        <v>5.7317042257094428</v>
      </c>
      <c r="AA100" s="18">
        <f>(G100+Population!$B$15*AA99)*Population!M$33</f>
        <v>19.903348332581743</v>
      </c>
      <c r="AB100" s="18">
        <f>AA99*Population!$B$16*Population!$M$33+AB99*Population!$B$15*Population!$M$34</f>
        <v>19.868345007487903</v>
      </c>
      <c r="AC100" s="14">
        <f>(AB99*Population!$B$16*0.5*Population!$M$34)+(AC99*Population!$B$15*Population!M$35)</f>
        <v>9.8750783543175817</v>
      </c>
      <c r="AD100" s="13">
        <f>(AB99*Population!$B$16*0.5*Population!$M$34)+(AD99*Population!$B$15*Population!M$35)</f>
        <v>9.8750783543175817</v>
      </c>
      <c r="AE100" s="14">
        <f>(AC99*Population!$B$16*Population!M$35)+(AE99*Population!$B$15*Population!M$37)</f>
        <v>9.8075475274441981</v>
      </c>
      <c r="AF100" s="13">
        <f>(AD99*Population!$B$16*Population!M$35)+(AF99*Population!$B$15*Population!M$37)</f>
        <v>9.8075475274441981</v>
      </c>
      <c r="AG100" s="14">
        <f>(AE99*Population!$B$16*Population!M$37)+(AG99*Population!$B$15*Population!M$39)</f>
        <v>9.6790483841435968</v>
      </c>
      <c r="AH100" s="13">
        <f>(AF99*Population!$B$16*Population!M$37)+(AH99*Population!$B$15*Population!M$39)</f>
        <v>9.6790483841435968</v>
      </c>
      <c r="AI100" s="14">
        <f>(AG99*Population!$B$16*Population!M$39)+(AI99*Population!$B$15*Population!M$41)</f>
        <v>9.5282898567900691</v>
      </c>
      <c r="AJ100" s="13">
        <f>(AH99*Population!$B$16*Population!M$39)+(AJ99*Population!$B$15*Population!M$41)</f>
        <v>9.5282898567900691</v>
      </c>
      <c r="AK100" s="14">
        <f>(AI99*Population!$B$16*Population!M$41)+(AK99*Population!$B$15*Population!M$43)</f>
        <v>9.349455626672782</v>
      </c>
      <c r="AL100" s="13">
        <f>(AJ99*Population!$B$16*Population!M$41)+(AL99*Population!$B$15*Population!M$43)</f>
        <v>9.349455626672782</v>
      </c>
      <c r="AM100" s="14">
        <f>(AK99*Population!$B$16*Population!M$43)+(AM99*Population!$B$15*Population!M$45)</f>
        <v>9.124591261578356</v>
      </c>
      <c r="AN100" s="13">
        <f>(AL99*Population!$B$16*Population!M$43)+(AN99*Population!$B$15*Population!M$45)</f>
        <v>9.124591261578356</v>
      </c>
      <c r="AO100" s="15">
        <f>(AM99+AN99)*Population!$B$16*Population!$M$45+AO99*Population!$B$15*Population!$M$47</f>
        <v>17.159004725655677</v>
      </c>
      <c r="AP100" s="5">
        <f>AO99*Population!M$47*Population!$B$16+AP99*Population!$B$15*Population!M$48</f>
        <v>15.9575092988254</v>
      </c>
      <c r="AQ100" s="5">
        <f>AP99*Population!M$48*Population!$B$16+AQ99*Population!$B$15*Population!M$49</f>
        <v>11.916746165057058</v>
      </c>
      <c r="AR100" s="5">
        <f>(AQ99*Population!$B$16+AR99)*Population!M$50</f>
        <v>31.445928939924716</v>
      </c>
      <c r="AS100">
        <f>AS99*(1-Population!$B$12)+M100</f>
        <v>60</v>
      </c>
    </row>
    <row r="101" spans="1:45">
      <c r="A101">
        <f>A100+Population!$B$2</f>
        <v>98</v>
      </c>
      <c r="B101" s="117">
        <f t="shared" si="35"/>
        <v>291</v>
      </c>
      <c r="C101" s="59">
        <f t="shared" si="36"/>
        <v>152</v>
      </c>
      <c r="D101" s="12">
        <f>AD100*Population!$P$36*Population!$C$2+AF100*Population!$P$38*Population!$C$2+AH100*Population!$P$40*Population!$C$2+AJ100*Population!$P$42*Population!$C$2+AL100*Population!$P$44*Population!$C$2+AN99*Population!$P$46*Population!$C$2</f>
        <v>3.2071050693679002</v>
      </c>
      <c r="E101" s="12">
        <f>IF(B100&gt;Population!$B$6*Population!$B$19,Population!$B$11,IF(Population!$J$6=1,D101,Population!$B$11*Population!$B$6*0.9/B100))</f>
        <v>2.8514203965783622</v>
      </c>
      <c r="F101" s="12">
        <f>IF(B100&gt;Population!$B$6*0.75,Population!$B$11,E101)</f>
        <v>2.8514203965783622</v>
      </c>
      <c r="G101" s="15">
        <f>IF(Population!$J$6=1,IF(E101&gt;H100,H100,E101),IF(E101&gt;X100,X100,E101))</f>
        <v>2.8514203965783622</v>
      </c>
      <c r="H101" s="15">
        <f t="shared" si="37"/>
        <v>47</v>
      </c>
      <c r="I101" s="15">
        <f t="shared" si="38"/>
        <v>59</v>
      </c>
      <c r="J101" s="12">
        <f t="shared" si="46"/>
        <v>1.2553191489361701</v>
      </c>
      <c r="K101" s="12">
        <f>AA101*Population!$O$33+AB101*Population!$O$34+AC101*Population!$O$35+AD101*Population!$O$36+AE101*Population!$O$37+AF101*Population!$O$38+AG101*Population!$O$39+AH101*Population!$O$40+AI101*Population!$O$41+AJ101*Population!$O$42+AK101*Population!$O$41+AL101*Population!$O$42+AM101*Population!$O$43+AN101*Population!$O$44+AO101*Population!$O$45+AP101*Population!$O$46+AQ101*Population!$O$47+AR101*Population!$O$48</f>
        <v>0.57354268776554274</v>
      </c>
      <c r="L101" s="12">
        <f t="shared" si="39"/>
        <v>6.0668519076135366E-2</v>
      </c>
      <c r="M101" s="12">
        <f>Population!$C$12</f>
        <v>3.0312000000000006</v>
      </c>
      <c r="N101" s="12">
        <f t="shared" si="40"/>
        <v>1.3818795882143688</v>
      </c>
      <c r="O101" s="12">
        <f>I101/B101</f>
        <v>0.20274914089347079</v>
      </c>
      <c r="P101" s="12">
        <f>B101-I101-Q101*2</f>
        <v>148.43699443303342</v>
      </c>
      <c r="Q101" s="12">
        <f t="shared" si="41"/>
        <v>41.78150278348329</v>
      </c>
      <c r="R101" s="12">
        <f t="shared" si="42"/>
        <v>31.445928939924716</v>
      </c>
      <c r="S101" s="12">
        <f>SUM(AR101:AR101)/B101</f>
        <v>0.10815693491308612</v>
      </c>
      <c r="T101" s="12">
        <f t="shared" si="47"/>
        <v>0.88896814432943172</v>
      </c>
      <c r="U101" s="12">
        <f>Population!$B$17*MIN(Y100:Z100)</f>
        <v>1.4329260564273607</v>
      </c>
      <c r="V101" s="12">
        <f>X100*Population!$B$18</f>
        <v>0.25054337058551734</v>
      </c>
      <c r="W101" s="12">
        <f>AN100*T100*Population!$B$16</f>
        <v>1.1581083332781152</v>
      </c>
      <c r="X101" s="12">
        <f t="shared" si="45"/>
        <v>41.78150278348329</v>
      </c>
      <c r="Y101" s="14">
        <f t="shared" si="48"/>
        <v>5.7341057863739877</v>
      </c>
      <c r="Z101" s="13">
        <f t="shared" si="44"/>
        <v>5.7341057863739877</v>
      </c>
      <c r="AA101" s="18">
        <f>(G101+Population!$B$15*AA100)*Population!M$33</f>
        <v>19.903349211176252</v>
      </c>
      <c r="AB101" s="18">
        <f>AA100*Population!$B$16*Population!$M$33+AB100*Population!$B$15*Population!$M$34</f>
        <v>19.868359336046577</v>
      </c>
      <c r="AC101" s="14">
        <f>(AB100*Population!$B$16*0.5*Population!$M$34)+(AC100*Population!$B$15*Population!M$35)</f>
        <v>9.8751345346865875</v>
      </c>
      <c r="AD101" s="13">
        <f>(AB100*Population!$B$16*0.5*Population!$M$34)+(AD100*Population!$B$15*Population!M$35)</f>
        <v>9.8751345346865875</v>
      </c>
      <c r="AE101" s="14">
        <f>(AC100*Population!$B$16*Population!M$35)+(AE100*Population!$B$15*Population!M$37)</f>
        <v>9.8078390017927397</v>
      </c>
      <c r="AF101" s="13">
        <f>(AD100*Population!$B$16*Population!M$35)+(AF100*Population!$B$15*Population!M$37)</f>
        <v>9.8078390017927397</v>
      </c>
      <c r="AG101" s="14">
        <f>(AE100*Population!$B$16*Population!M$37)+(AG100*Population!$B$15*Population!M$39)</f>
        <v>9.6801412288752555</v>
      </c>
      <c r="AH101" s="13">
        <f>(AF100*Population!$B$16*Population!M$37)+(AH100*Population!$B$15*Population!M$39)</f>
        <v>9.6801412288752555</v>
      </c>
      <c r="AI101" s="14">
        <f>(AG100*Population!$B$16*Population!M$39)+(AI100*Population!$B$15*Population!M$41)</f>
        <v>9.5314911218337492</v>
      </c>
      <c r="AJ101" s="13">
        <f>(AH100*Population!$B$16*Population!M$39)+(AJ100*Population!$B$15*Population!M$41)</f>
        <v>9.5314911218337492</v>
      </c>
      <c r="AK101" s="14">
        <f>(AI100*Population!$B$16*Population!M$41)+(AK100*Population!$B$15*Population!M$43)</f>
        <v>9.3570033673546362</v>
      </c>
      <c r="AL101" s="13">
        <f>(AJ100*Population!$B$16*Population!M$41)+(AL100*Population!$B$15*Population!M$43)</f>
        <v>9.3570033673546362</v>
      </c>
      <c r="AM101" s="14">
        <f>(AK100*Population!$B$16*Population!M$43)+(AM100*Population!$B$15*Population!M$45)</f>
        <v>9.1391338500009045</v>
      </c>
      <c r="AN101" s="13">
        <f>(AL100*Population!$B$16*Population!M$43)+(AN100*Population!$B$15*Population!M$45)</f>
        <v>9.1391338500009045</v>
      </c>
      <c r="AO101" s="15">
        <f>(AM100+AN100)*Population!$B$16*Population!$M$45+AO100*Population!$B$15*Population!$M$47</f>
        <v>17.203107963011469</v>
      </c>
      <c r="AP101" s="5">
        <f>AO100*Population!M$47*Population!$B$16+AP100*Population!$B$15*Population!M$48</f>
        <v>16.012215154264027</v>
      </c>
      <c r="AQ101" s="5">
        <f>AP100*Population!M$48*Population!$B$16+AQ100*Population!$B$15*Population!M$49</f>
        <v>11.96144146417131</v>
      </c>
      <c r="AR101" s="5">
        <f>(AQ100*Population!$B$16+AR100)*Population!M$50</f>
        <v>31.473668059708061</v>
      </c>
      <c r="AS101">
        <f>AS100*(1-Population!$B$12)+M101</f>
        <v>60</v>
      </c>
    </row>
    <row r="102" spans="1:45">
      <c r="A102">
        <f>A101+Population!$B$2</f>
        <v>99</v>
      </c>
      <c r="B102" s="117">
        <f t="shared" si="35"/>
        <v>291</v>
      </c>
      <c r="C102" s="59">
        <f t="shared" si="36"/>
        <v>152</v>
      </c>
      <c r="D102" s="12">
        <f>AD101*Population!$P$36*Population!$C$2+AF101*Population!$P$38*Population!$C$2+AH101*Population!$P$40*Population!$C$2+AJ101*Population!$P$42*Population!$C$2+AL101*Population!$P$44*Population!$C$2+AN100*Population!$P$46*Population!$C$2</f>
        <v>3.2081813376754496</v>
      </c>
      <c r="E102" s="12">
        <f>IF(B101&gt;Population!$B$6*Population!$B$19,Population!$B$11,IF(Population!$J$6=1,D102,Population!$B$11*Population!$B$6*0.9/B101))</f>
        <v>2.8514203965783622</v>
      </c>
      <c r="F102" s="12">
        <f>IF(B101&gt;Population!$B$6*0.75,Population!$B$11,E102)</f>
        <v>2.8514203965783622</v>
      </c>
      <c r="G102" s="15">
        <f>IF(Population!$J$6=1,IF(E102&gt;H101,H101,E102),IF(E102&gt;X101,X101,E102))</f>
        <v>2.8514203965783622</v>
      </c>
      <c r="H102" s="15">
        <f t="shared" si="37"/>
        <v>47</v>
      </c>
      <c r="I102" s="15">
        <f t="shared" si="38"/>
        <v>59</v>
      </c>
      <c r="J102" s="12">
        <f t="shared" si="46"/>
        <v>1.2553191489361701</v>
      </c>
      <c r="K102" s="12">
        <f>AA102*Population!$O$33+AB102*Population!$O$34+AC102*Population!$O$35+AD102*Population!$O$36+AE102*Population!$O$37+AF102*Population!$O$38+AG102*Population!$O$39+AH102*Population!$O$40+AI102*Population!$O$41+AJ102*Population!$O$42+AK102*Population!$O$41+AL102*Population!$O$42+AM102*Population!$O$43+AN102*Population!$O$44+AO102*Population!$O$45+AP102*Population!$O$46+AQ102*Population!$O$47+AR102*Population!$O$48</f>
        <v>0.57437286660588671</v>
      </c>
      <c r="L102" s="12">
        <f t="shared" si="39"/>
        <v>6.0668519076135366E-2</v>
      </c>
      <c r="M102" s="12">
        <f>Population!$C$12</f>
        <v>3.0312000000000006</v>
      </c>
      <c r="N102" s="12">
        <f t="shared" si="40"/>
        <v>1.3820761898458021</v>
      </c>
      <c r="O102" s="12">
        <f>I102/B102</f>
        <v>0.20274914089347079</v>
      </c>
      <c r="P102" s="12">
        <f>B102-I102-Q102*2</f>
        <v>148.39257639022355</v>
      </c>
      <c r="Q102" s="12">
        <f t="shared" si="41"/>
        <v>41.803711804888223</v>
      </c>
      <c r="R102" s="12">
        <f t="shared" si="42"/>
        <v>31.473668059708061</v>
      </c>
      <c r="S102" s="12">
        <f>SUM(AR102:AR102)/B102</f>
        <v>0.10826827584031547</v>
      </c>
      <c r="T102" s="12">
        <f t="shared" si="47"/>
        <v>0.88944067669974947</v>
      </c>
      <c r="U102" s="12">
        <f>Population!$B$17*MIN(Y101:Z101)</f>
        <v>1.4335264465934969</v>
      </c>
      <c r="V102" s="12">
        <f>X101*Population!$B$18</f>
        <v>0.25068901670089977</v>
      </c>
      <c r="W102" s="12">
        <f>AN101*T101*Population!$B$16</f>
        <v>1.160628408487657</v>
      </c>
      <c r="X102" s="12">
        <f t="shared" si="45"/>
        <v>41.803711804888223</v>
      </c>
      <c r="Y102" s="14">
        <f t="shared" si="48"/>
        <v>5.7364562366105432</v>
      </c>
      <c r="Z102" s="13">
        <f t="shared" si="44"/>
        <v>5.7364562366105432</v>
      </c>
      <c r="AA102" s="18">
        <f>(G102+Population!$B$15*AA101)*Population!M$33</f>
        <v>19.903349963951506</v>
      </c>
      <c r="AB102" s="18">
        <f>AA101*Population!$B$16*Population!$M$33+AB101*Population!$B$15*Population!$M$34</f>
        <v>19.868371740367476</v>
      </c>
      <c r="AC102" s="14">
        <f>(AB101*Population!$B$16*0.5*Population!$M$34)+(AC101*Population!$B$15*Population!M$35)</f>
        <v>9.8751836666354542</v>
      </c>
      <c r="AD102" s="13">
        <f>(AB101*Population!$B$16*0.5*Population!$M$34)+(AD101*Population!$B$15*Population!M$35)</f>
        <v>9.8751836666354542</v>
      </c>
      <c r="AE102" s="14">
        <f>(AC101*Population!$B$16*Population!M$35)+(AE101*Population!$B$15*Population!M$37)</f>
        <v>9.8080966169741739</v>
      </c>
      <c r="AF102" s="13">
        <f>(AD101*Population!$B$16*Population!M$35)+(AF101*Population!$B$15*Population!M$37)</f>
        <v>9.8080966169741739</v>
      </c>
      <c r="AG102" s="14">
        <f>(AE101*Population!$B$16*Population!M$37)+(AG101*Population!$B$15*Population!M$39)</f>
        <v>9.6811177539312752</v>
      </c>
      <c r="AH102" s="13">
        <f>(AF101*Population!$B$16*Population!M$37)+(AH101*Population!$B$15*Population!M$39)</f>
        <v>9.6811177539312752</v>
      </c>
      <c r="AI102" s="14">
        <f>(AG101*Population!$B$16*Population!M$39)+(AI101*Population!$B$15*Population!M$41)</f>
        <v>9.5343856158563973</v>
      </c>
      <c r="AJ102" s="13">
        <f>(AH101*Population!$B$16*Population!M$39)+(AJ101*Population!$B$15*Population!M$41)</f>
        <v>9.5343856158563973</v>
      </c>
      <c r="AK102" s="14">
        <f>(AI101*Population!$B$16*Population!M$41)+(AK101*Population!$B$15*Population!M$43)</f>
        <v>9.3639168834593889</v>
      </c>
      <c r="AL102" s="13">
        <f>(AJ101*Population!$B$16*Population!M$41)+(AL101*Population!$B$15*Population!M$43)</f>
        <v>9.3639168834593889</v>
      </c>
      <c r="AM102" s="14">
        <f>(AK101*Population!$B$16*Population!M$43)+(AM101*Population!$B$15*Population!M$45)</f>
        <v>9.1526511712775331</v>
      </c>
      <c r="AN102" s="13">
        <f>(AL101*Population!$B$16*Population!M$43)+(AN101*Population!$B$15*Population!M$45)</f>
        <v>9.1526511712775331</v>
      </c>
      <c r="AO102" s="15">
        <f>(AM101+AN101)*Population!$B$16*Population!$M$45+AO101*Population!$B$15*Population!$M$47</f>
        <v>17.24478371538509</v>
      </c>
      <c r="AP102" s="5">
        <f>AO101*Population!M$47*Population!$B$16+AP101*Population!$B$15*Population!M$48</f>
        <v>16.065020713807616</v>
      </c>
      <c r="AQ102" s="5">
        <f>AP101*Population!M$48*Population!$B$16+AQ101*Population!$B$15*Population!M$49</f>
        <v>12.005574748971982</v>
      </c>
      <c r="AR102" s="5">
        <f>(AQ101*Population!$B$16+AR101)*Population!M$50</f>
        <v>31.506068269531802</v>
      </c>
      <c r="AS102">
        <f>AS101*(1-Population!$B$12)+M102</f>
        <v>60</v>
      </c>
    </row>
    <row r="103" spans="1:45">
      <c r="A103">
        <f>A102+Population!$B$2</f>
        <v>100</v>
      </c>
      <c r="B103" s="117">
        <f t="shared" si="35"/>
        <v>291</v>
      </c>
      <c r="C103" s="59">
        <f t="shared" si="36"/>
        <v>152</v>
      </c>
      <c r="D103" s="12">
        <f>AD102*Population!$P$36*Population!$C$2+AF102*Population!$P$38*Population!$C$2+AH102*Population!$P$40*Population!$C$2+AJ102*Population!$P$42*Population!$C$2+AL102*Population!$P$44*Population!$C$2+AN101*Population!$P$46*Population!$C$2</f>
        <v>3.2091674741050165</v>
      </c>
      <c r="E103" s="12">
        <f>IF(B102&gt;Population!$B$6*Population!$B$19,Population!$B$11,IF(Population!$J$6=1,D103,Population!$B$11*Population!$B$6*0.9/B102))</f>
        <v>2.8514203965783622</v>
      </c>
      <c r="F103" s="12">
        <f>IF(B102&gt;Population!$B$6*0.75,Population!$B$11,E103)</f>
        <v>2.8514203965783622</v>
      </c>
      <c r="G103" s="15">
        <f>IF(Population!$J$6=1,IF(E103&gt;H102,H102,E103),IF(E103&gt;X102,X102,E103))</f>
        <v>2.8514203965783622</v>
      </c>
      <c r="H103" s="15">
        <f t="shared" si="37"/>
        <v>47</v>
      </c>
      <c r="I103" s="15">
        <f t="shared" si="38"/>
        <v>59</v>
      </c>
      <c r="J103" s="12">
        <f t="shared" si="46"/>
        <v>1.2553191489361701</v>
      </c>
      <c r="K103" s="12">
        <f>AA103*Population!$O$33+AB103*Population!$O$34+AC103*Population!$O$35+AD103*Population!$O$36+AE103*Population!$O$37+AF103*Population!$O$38+AG103*Population!$O$39+AH103*Population!$O$40+AI103*Population!$O$41+AJ103*Population!$O$42+AK103*Population!$O$41+AL103*Population!$O$42+AM103*Population!$O$43+AN103*Population!$O$44+AO103*Population!$O$45+AP103*Population!$O$46+AQ103*Population!$O$47+AR103*Population!$O$48</f>
        <v>0.57521350714671793</v>
      </c>
      <c r="L103" s="12">
        <f t="shared" si="39"/>
        <v>6.0668519076135366E-2</v>
      </c>
      <c r="M103" s="12">
        <f>Population!$C$12</f>
        <v>3.0312000000000006</v>
      </c>
      <c r="N103" s="12">
        <f t="shared" si="40"/>
        <v>1.3822531071471995</v>
      </c>
      <c r="O103" s="12">
        <f>I103/B103</f>
        <v>0.20274914089347079</v>
      </c>
      <c r="P103" s="12">
        <f>B103-I103-Q103*2</f>
        <v>148.35191859968489</v>
      </c>
      <c r="Q103" s="12">
        <f t="shared" si="41"/>
        <v>41.824040700157546</v>
      </c>
      <c r="R103" s="12">
        <f t="shared" si="42"/>
        <v>31.506068269531802</v>
      </c>
      <c r="S103" s="12">
        <f>SUM(AR103:AR103)/B103</f>
        <v>0.1083945630910846</v>
      </c>
      <c r="T103" s="12">
        <f t="shared" si="47"/>
        <v>0.88987320638633072</v>
      </c>
      <c r="U103" s="12">
        <f>Population!$B$17*MIN(Y102:Z102)</f>
        <v>1.4341140591526358</v>
      </c>
      <c r="V103" s="12">
        <f>X102*Population!$B$18</f>
        <v>0.25082227082932934</v>
      </c>
      <c r="W103" s="12">
        <f>AN102*T102*Population!$B$16</f>
        <v>1.1629628930539777</v>
      </c>
      <c r="X103" s="12">
        <f t="shared" si="45"/>
        <v>41.824040700157546</v>
      </c>
      <c r="Y103" s="14">
        <f t="shared" si="48"/>
        <v>5.7387195817833643</v>
      </c>
      <c r="Z103" s="13">
        <f t="shared" si="44"/>
        <v>5.7387195817833643</v>
      </c>
      <c r="AA103" s="18">
        <f>(G103+Population!$B$15*AA102)*Population!M$33</f>
        <v>19.903350608925471</v>
      </c>
      <c r="AB103" s="18">
        <f>AA102*Population!$B$16*Population!$M$33+AB102*Population!$B$15*Population!$M$34</f>
        <v>19.868382477745929</v>
      </c>
      <c r="AC103" s="14">
        <f>(AB102*Population!$B$16*0.5*Population!$M$34)+(AC102*Population!$B$15*Population!M$35)</f>
        <v>9.8752266254242649</v>
      </c>
      <c r="AD103" s="13">
        <f>(AB102*Population!$B$16*0.5*Population!$M$34)+(AD102*Population!$B$15*Population!M$35)</f>
        <v>9.8752266254242649</v>
      </c>
      <c r="AE103" s="14">
        <f>(AC102*Population!$B$16*Population!M$35)+(AE102*Population!$B$15*Population!M$37)</f>
        <v>9.8083242317129056</v>
      </c>
      <c r="AF103" s="13">
        <f>(AD102*Population!$B$16*Population!M$35)+(AF102*Population!$B$15*Population!M$37)</f>
        <v>9.8083242317129056</v>
      </c>
      <c r="AG103" s="14">
        <f>(AE102*Population!$B$16*Population!M$37)+(AG102*Population!$B$15*Population!M$39)</f>
        <v>9.6819899354229371</v>
      </c>
      <c r="AH103" s="13">
        <f>(AF102*Population!$B$16*Population!M$37)+(AH102*Population!$B$15*Population!M$39)</f>
        <v>9.6819899354229371</v>
      </c>
      <c r="AI103" s="14">
        <f>(AG102*Population!$B$16*Population!M$39)+(AI102*Population!$B$15*Population!M$41)</f>
        <v>9.5370010829553493</v>
      </c>
      <c r="AJ103" s="13">
        <f>(AH102*Population!$B$16*Population!M$39)+(AJ102*Population!$B$15*Population!M$41)</f>
        <v>9.5370010829553493</v>
      </c>
      <c r="AK103" s="14">
        <f>(AI102*Population!$B$16*Population!M$41)+(AK102*Population!$B$15*Population!M$43)</f>
        <v>9.3702440819618324</v>
      </c>
      <c r="AL103" s="13">
        <f>(AJ102*Population!$B$16*Population!M$41)+(AL102*Population!$B$15*Population!M$43)</f>
        <v>9.3702440819618324</v>
      </c>
      <c r="AM103" s="14">
        <f>(AK102*Population!$B$16*Population!M$43)+(AM102*Population!$B$15*Population!M$45)</f>
        <v>9.1652009498878897</v>
      </c>
      <c r="AN103" s="13">
        <f>(AL102*Population!$B$16*Population!M$43)+(AN102*Population!$B$15*Population!M$45)</f>
        <v>9.1652009498878897</v>
      </c>
      <c r="AO103" s="15">
        <f>(AM102+AN102)*Population!$B$16*Population!$M$45+AO102*Population!$B$15*Population!$M$47</f>
        <v>17.284101480392664</v>
      </c>
      <c r="AP103" s="5">
        <f>AO102*Population!M$47*Population!$B$16+AP102*Population!$B$15*Population!M$48</f>
        <v>16.115864987891946</v>
      </c>
      <c r="AQ103" s="5">
        <f>AP102*Population!M$48*Population!$B$16+AQ102*Population!$B$15*Population!M$49</f>
        <v>12.048981141365147</v>
      </c>
      <c r="AR103" s="5">
        <f>(AQ102*Population!$B$16+AR102)*Population!M$50</f>
        <v>31.542817859505618</v>
      </c>
      <c r="AS103">
        <f>AS102*(1-Population!$B$12)+M103</f>
        <v>60</v>
      </c>
    </row>
    <row r="104" spans="1:45">
      <c r="A104">
        <f>A103+Population!$B$2</f>
        <v>101</v>
      </c>
      <c r="B104" s="117">
        <f t="shared" si="35"/>
        <v>291</v>
      </c>
      <c r="C104" s="59">
        <f t="shared" si="36"/>
        <v>151</v>
      </c>
      <c r="D104" s="12">
        <f>AD103*Population!$P$36*Population!$C$2+AF103*Population!$P$38*Population!$C$2+AH103*Population!$P$40*Population!$C$2+AJ103*Population!$P$42*Population!$C$2+AL103*Population!$P$44*Population!$C$2+AN102*Population!$P$46*Population!$C$2</f>
        <v>3.2100704238570579</v>
      </c>
      <c r="E104" s="12">
        <f>IF(B103&gt;Population!$B$6*Population!$B$19,Population!$B$11,IF(Population!$J$6=1,D104,Population!$B$11*Population!$B$6*0.9/B103))</f>
        <v>2.8514203965783622</v>
      </c>
      <c r="F104" s="12">
        <f>IF(B103&gt;Population!$B$6*0.75,Population!$B$11,E104)</f>
        <v>2.8514203965783622</v>
      </c>
      <c r="G104" s="15">
        <f>IF(Population!$J$6=1,IF(E104&gt;H103,H103,E104),IF(E104&gt;X103,X103,E104))</f>
        <v>2.8514203965783622</v>
      </c>
      <c r="H104" s="15">
        <f t="shared" ref="H104:H110" si="49">FLOOR(AF104+AH104+AJ104+AL104+AN104,1)</f>
        <v>47</v>
      </c>
      <c r="I104" s="15">
        <f t="shared" ref="I104:I110" si="50">FLOOR(SUM(AA104:AD104),1)</f>
        <v>59</v>
      </c>
      <c r="J104" s="12">
        <f t="shared" ref="J104:J110" si="51">I104/H104</f>
        <v>1.2553191489361701</v>
      </c>
      <c r="K104" s="12">
        <f>AA104*Population!$O$33+AB104*Population!$O$34+AC104*Population!$O$35+AD104*Population!$O$36+AE104*Population!$O$37+AF104*Population!$O$38+AG104*Population!$O$39+AH104*Population!$O$40+AI104*Population!$O$41+AJ104*Population!$O$42+AK104*Population!$O$41+AL104*Population!$O$42+AM104*Population!$O$43+AN104*Population!$O$44+AO104*Population!$O$45+AP104*Population!$O$46+AQ104*Population!$O$47+AR104*Population!$O$48</f>
        <v>0.5760618660492316</v>
      </c>
      <c r="L104" s="12">
        <f t="shared" si="39"/>
        <v>6.0668519076135366E-2</v>
      </c>
      <c r="M104" s="12">
        <f>Population!$C$12</f>
        <v>3.0312000000000006</v>
      </c>
      <c r="N104" s="12">
        <f t="shared" ref="N104:N110" si="52">(AE104+AF104+AG104+AH104+AI104+AJ104)/21*0.5</f>
        <v>1.3824122290746648</v>
      </c>
      <c r="O104" s="12">
        <f>I104/B104</f>
        <v>0.20274914089347079</v>
      </c>
      <c r="P104" s="12">
        <f>B104-I104-Q104*2</f>
        <v>148.31469494189562</v>
      </c>
      <c r="Q104" s="12">
        <f t="shared" si="41"/>
        <v>41.842652529052188</v>
      </c>
      <c r="R104" s="12">
        <f t="shared" ref="R104:R110" si="53">SUM(AR103:AR103)</f>
        <v>31.542817859505618</v>
      </c>
      <c r="S104" s="12">
        <f>SUM(AR104:AR104)/B104</f>
        <v>0.10853470276033735</v>
      </c>
      <c r="T104" s="12">
        <f t="shared" ref="T104:T110" si="54">X104/H104</f>
        <v>0.89026920274579124</v>
      </c>
      <c r="U104" s="12">
        <f>Population!$B$17*MIN(Y103:Z103)</f>
        <v>1.4346798954458411</v>
      </c>
      <c r="V104" s="12">
        <f>X103*Population!$B$18</f>
        <v>0.2509442442009453</v>
      </c>
      <c r="W104" s="12">
        <f>AN103*T103*Population!$B$16</f>
        <v>1.1651238223502542</v>
      </c>
      <c r="X104" s="12">
        <f t="shared" ref="X104:X110" si="55">X103+U104-W104-V104</f>
        <v>41.842652529052188</v>
      </c>
      <c r="Y104" s="14">
        <f t="shared" ref="Y104:Y110" si="56">(AE104+AG104+AI104+AK104+AM104)-X104</f>
        <v>5.7408735841631966</v>
      </c>
      <c r="Z104" s="13">
        <f t="shared" ref="Z104:Z110" si="57">(AF104+AH104+AJ104+AL104+AN104)-X104</f>
        <v>5.7408735841631966</v>
      </c>
      <c r="AA104" s="18">
        <f>(G104+Population!$B$15*AA103)*Population!M$33</f>
        <v>19.903351161535848</v>
      </c>
      <c r="AB104" s="18">
        <f>AA103*Population!$B$16*Population!$M$33+AB103*Population!$B$15*Population!$M$34</f>
        <v>19.868391771244127</v>
      </c>
      <c r="AC104" s="14">
        <f>(AB103*Population!$B$16*0.5*Population!$M$34)+(AC103*Population!$B$15*Population!M$35)</f>
        <v>9.8752641789350903</v>
      </c>
      <c r="AD104" s="13">
        <f>(AB103*Population!$B$16*0.5*Population!$M$34)+(AD103*Population!$B$15*Population!M$35)</f>
        <v>9.8752641789350903</v>
      </c>
      <c r="AE104" s="14">
        <f>(AC103*Population!$B$16*Population!M$35)+(AE103*Population!$B$15*Population!M$37)</f>
        <v>9.808525275252963</v>
      </c>
      <c r="AF104" s="13">
        <f>(AD103*Population!$B$16*Population!M$35)+(AF103*Population!$B$15*Population!M$37)</f>
        <v>9.808525275252963</v>
      </c>
      <c r="AG104" s="14">
        <f>(AE103*Population!$B$16*Population!M$37)+(AG103*Population!$B$15*Population!M$39)</f>
        <v>9.6827685696002348</v>
      </c>
      <c r="AH104" s="13">
        <f>(AF103*Population!$B$16*Population!M$37)+(AH103*Population!$B$15*Population!M$39)</f>
        <v>9.6827685696002348</v>
      </c>
      <c r="AI104" s="14">
        <f>(AG103*Population!$B$16*Population!M$39)+(AI103*Population!$B$15*Population!M$41)</f>
        <v>9.5393629657147674</v>
      </c>
      <c r="AJ104" s="13">
        <f>(AH103*Population!$B$16*Population!M$39)+(AJ103*Population!$B$15*Population!M$41)</f>
        <v>9.5393629657147674</v>
      </c>
      <c r="AK104" s="14">
        <f>(AI103*Population!$B$16*Population!M$41)+(AK103*Population!$B$15*Population!M$43)</f>
        <v>9.3760299029746967</v>
      </c>
      <c r="AL104" s="13">
        <f>(AJ103*Population!$B$16*Population!M$41)+(AL103*Population!$B$15*Population!M$43)</f>
        <v>9.3760299029746967</v>
      </c>
      <c r="AM104" s="14">
        <f>(AK103*Population!$B$16*Population!M$43)+(AM103*Population!$B$15*Population!M$45)</f>
        <v>9.176839399672728</v>
      </c>
      <c r="AN104" s="13">
        <f>(AL103*Population!$B$16*Population!M$43)+(AN103*Population!$B$15*Population!M$45)</f>
        <v>9.176839399672728</v>
      </c>
      <c r="AO104" s="15">
        <f>(AM103+AN103)*Population!$B$16*Population!$M$45+AO103*Population!$B$15*Population!$M$47</f>
        <v>17.321136856583877</v>
      </c>
      <c r="AP104" s="5">
        <f>AO103*Population!M$47*Population!$B$16+AP103*Population!$B$15*Population!M$48</f>
        <v>16.164705935005458</v>
      </c>
      <c r="AQ104" s="5">
        <f>AP103*Population!M$48*Population!$B$16+AQ103*Population!$B$15*Population!M$49</f>
        <v>12.091517807335716</v>
      </c>
      <c r="AR104" s="5">
        <f>(AQ103*Population!$B$16+AR103)*Population!M$50</f>
        <v>31.583598503258166</v>
      </c>
      <c r="AS104">
        <f>AS103*(1-Population!$B$12)+M104</f>
        <v>60</v>
      </c>
    </row>
    <row r="105" spans="1:45">
      <c r="A105">
        <f>A104+Population!$B$2</f>
        <v>102</v>
      </c>
      <c r="B105" s="117">
        <f t="shared" si="35"/>
        <v>292</v>
      </c>
      <c r="C105" s="59">
        <f t="shared" si="36"/>
        <v>152</v>
      </c>
      <c r="D105" s="12">
        <f>AD104*Population!$P$36*Population!$C$2+AF104*Population!$P$38*Population!$C$2+AH104*Population!$P$40*Population!$C$2+AJ104*Population!$P$42*Population!$C$2+AL104*Population!$P$44*Population!$C$2+AN103*Population!$P$46*Population!$C$2</f>
        <v>3.210896664210217</v>
      </c>
      <c r="E105" s="12">
        <f>IF(B104&gt;Population!$B$6*Population!$B$19,Population!$B$11,IF(Population!$J$6=1,D105,Population!$B$11*Population!$B$6*0.9/B104))</f>
        <v>2.8514203965783622</v>
      </c>
      <c r="F105" s="12">
        <f>IF(B104&gt;Population!$B$6*0.75,Population!$B$11,E105)</f>
        <v>2.8514203965783622</v>
      </c>
      <c r="G105" s="15">
        <f>IF(Population!$J$6=1,IF(E105&gt;H104,H104,E105),IF(E105&gt;X104,X104,E105))</f>
        <v>2.8514203965783622</v>
      </c>
      <c r="H105" s="15">
        <f t="shared" si="49"/>
        <v>47</v>
      </c>
      <c r="I105" s="15">
        <f t="shared" si="50"/>
        <v>59</v>
      </c>
      <c r="J105" s="12">
        <f t="shared" si="51"/>
        <v>1.2553191489361701</v>
      </c>
      <c r="K105" s="12">
        <f>AA105*Population!$O$33+AB105*Population!$O$34+AC105*Population!$O$35+AD105*Population!$O$36+AE105*Population!$O$37+AF105*Population!$O$38+AG105*Population!$O$39+AH105*Population!$O$40+AI105*Population!$O$41+AJ105*Population!$O$42+AK105*Population!$O$41+AL105*Population!$O$42+AM105*Population!$O$43+AN105*Population!$O$44+AO105*Population!$O$45+AP105*Population!$O$46+AQ105*Population!$O$47+AR105*Population!$O$48</f>
        <v>0.5769153365859353</v>
      </c>
      <c r="L105" s="12">
        <f t="shared" si="39"/>
        <v>6.0668519076135366E-2</v>
      </c>
      <c r="M105" s="12">
        <f>Population!$C$12</f>
        <v>3.0312000000000006</v>
      </c>
      <c r="N105" s="12">
        <f t="shared" si="52"/>
        <v>1.3825552735876319</v>
      </c>
      <c r="O105" s="12">
        <f>I105/B105</f>
        <v>0.20205479452054795</v>
      </c>
      <c r="P105" s="12">
        <f>B105-I105-Q105*2</f>
        <v>149.28061497904059</v>
      </c>
      <c r="Q105" s="12">
        <f t="shared" si="41"/>
        <v>41.859692510479697</v>
      </c>
      <c r="R105" s="12">
        <f t="shared" si="53"/>
        <v>31.583598503258166</v>
      </c>
      <c r="S105" s="12">
        <f>SUM(AR105:AR105)/B105</f>
        <v>0.10831537185705679</v>
      </c>
      <c r="T105" s="12">
        <f t="shared" si="54"/>
        <v>0.89063175554212115</v>
      </c>
      <c r="U105" s="12">
        <f>Population!$B$17*MIN(Y104:Z104)</f>
        <v>1.4352183960407991</v>
      </c>
      <c r="V105" s="12">
        <f>X104*Population!$B$18</f>
        <v>0.25105591517431314</v>
      </c>
      <c r="W105" s="12">
        <f>AN104*T104*Population!$B$16</f>
        <v>1.1671224994389719</v>
      </c>
      <c r="X105" s="12">
        <f t="shared" si="55"/>
        <v>41.859692510479697</v>
      </c>
      <c r="Y105" s="14">
        <f t="shared" si="56"/>
        <v>5.7429056742748088</v>
      </c>
      <c r="Z105" s="13">
        <f t="shared" si="57"/>
        <v>5.7429056742748088</v>
      </c>
      <c r="AA105" s="18">
        <f>(G105+Population!$B$15*AA104)*Population!M$33</f>
        <v>19.903351635009578</v>
      </c>
      <c r="AB105" s="18">
        <f>AA104*Population!$B$16*Population!$M$33+AB104*Population!$B$15*Population!$M$34</f>
        <v>19.868399814219693</v>
      </c>
      <c r="AC105" s="14">
        <f>(AB104*Population!$B$16*0.5*Population!$M$34)+(AC104*Population!$B$15*Population!M$35)</f>
        <v>9.8752970006547418</v>
      </c>
      <c r="AD105" s="13">
        <f>(AB104*Population!$B$16*0.5*Population!$M$34)+(AD104*Population!$B$15*Population!M$35)</f>
        <v>9.8752970006547418</v>
      </c>
      <c r="AE105" s="14">
        <f>(AC104*Population!$B$16*Population!M$35)+(AE104*Population!$B$15*Population!M$37)</f>
        <v>9.8087027937380658</v>
      </c>
      <c r="AF105" s="13">
        <f>(AD104*Population!$B$16*Population!M$35)+(AF104*Population!$B$15*Population!M$37)</f>
        <v>9.8087027937380658</v>
      </c>
      <c r="AG105" s="14">
        <f>(AE104*Population!$B$16*Population!M$37)+(AG104*Population!$B$15*Population!M$39)</f>
        <v>9.6834633820493217</v>
      </c>
      <c r="AH105" s="13">
        <f>(AF104*Population!$B$16*Population!M$37)+(AH104*Population!$B$15*Population!M$39)</f>
        <v>9.6834633820493217</v>
      </c>
      <c r="AI105" s="14">
        <f>(AG104*Population!$B$16*Population!M$39)+(AI104*Population!$B$15*Population!M$41)</f>
        <v>9.5414945695528832</v>
      </c>
      <c r="AJ105" s="13">
        <f>(AH104*Population!$B$16*Population!M$39)+(AJ104*Population!$B$15*Population!M$41)</f>
        <v>9.5414945695528832</v>
      </c>
      <c r="AK105" s="14">
        <f>(AI104*Population!$B$16*Population!M$41)+(AK104*Population!$B$15*Population!M$43)</f>
        <v>9.3813164203123591</v>
      </c>
      <c r="AL105" s="13">
        <f>(AJ104*Population!$B$16*Population!M$41)+(AL104*Population!$B$15*Population!M$43)</f>
        <v>9.3813164203123591</v>
      </c>
      <c r="AM105" s="14">
        <f>(AK104*Population!$B$16*Population!M$43)+(AM104*Population!$B$15*Population!M$45)</f>
        <v>9.1876210191018757</v>
      </c>
      <c r="AN105" s="13">
        <f>(AL104*Population!$B$16*Population!M$43)+(AN104*Population!$B$15*Population!M$45)</f>
        <v>9.1876210191018757</v>
      </c>
      <c r="AO105" s="15">
        <f>(AM104+AN104)*Population!$B$16*Population!$M$45+AO104*Population!$B$15*Population!$M$47</f>
        <v>17.355970203184654</v>
      </c>
      <c r="AP105" s="5">
        <f>AO104*Population!M$47*Population!$B$16+AP104*Population!$B$15*Population!M$48</f>
        <v>16.211518502319095</v>
      </c>
      <c r="AQ105" s="5">
        <f>AP104*Population!M$48*Population!$B$16+AQ104*Population!$B$15*Population!M$49</f>
        <v>12.133062540461623</v>
      </c>
      <c r="AR105" s="5">
        <f>(AQ104*Population!$B$16+AR104)*Population!M$50</f>
        <v>31.628088582260585</v>
      </c>
      <c r="AS105">
        <f>AS104*(1-Population!$B$12)+M105</f>
        <v>60</v>
      </c>
    </row>
    <row r="106" spans="1:45">
      <c r="A106">
        <f>A105+Population!$B$2</f>
        <v>103</v>
      </c>
      <c r="B106" s="117">
        <f t="shared" si="35"/>
        <v>292</v>
      </c>
      <c r="C106" s="59">
        <f t="shared" si="36"/>
        <v>152</v>
      </c>
      <c r="D106" s="12">
        <f>AD105*Population!$P$36*Population!$C$2+AF105*Population!$P$38*Population!$C$2+AH105*Population!$P$40*Population!$C$2+AJ105*Population!$P$42*Population!$C$2+AL105*Population!$P$44*Population!$C$2+AN104*Population!$P$46*Population!$C$2</f>
        <v>3.2116522283773681</v>
      </c>
      <c r="E106" s="12">
        <f>IF(B105&gt;Population!$B$6*Population!$B$19,Population!$B$11,IF(Population!$J$6=1,D106,Population!$B$11*Population!$B$6*0.9/B105))</f>
        <v>2.8514203965783622</v>
      </c>
      <c r="F106" s="12">
        <f>IF(B105&gt;Population!$B$6*0.75,Population!$B$11,E106)</f>
        <v>2.8514203965783622</v>
      </c>
      <c r="G106" s="15">
        <f>IF(Population!$J$6=1,IF(E106&gt;H105,H105,E106),IF(E106&gt;X105,X105,E106))</f>
        <v>2.8514203965783622</v>
      </c>
      <c r="H106" s="15">
        <f t="shared" si="49"/>
        <v>47</v>
      </c>
      <c r="I106" s="15">
        <f t="shared" si="50"/>
        <v>59</v>
      </c>
      <c r="J106" s="12">
        <f t="shared" si="51"/>
        <v>1.2553191489361701</v>
      </c>
      <c r="K106" s="12">
        <f>AA106*Population!$O$33+AB106*Population!$O$34+AC106*Population!$O$35+AD106*Population!$O$36+AE106*Population!$O$37+AF106*Population!$O$38+AG106*Population!$O$39+AH106*Population!$O$40+AI106*Population!$O$41+AJ106*Population!$O$42+AK106*Population!$O$41+AL106*Population!$O$42+AM106*Population!$O$43+AN106*Population!$O$44+AO106*Population!$O$45+AP106*Population!$O$46+AQ106*Population!$O$47+AR106*Population!$O$48</f>
        <v>0.57777145477985559</v>
      </c>
      <c r="L106" s="12">
        <f t="shared" si="39"/>
        <v>6.0668519076135366E-2</v>
      </c>
      <c r="M106" s="12">
        <f>Population!$C$12</f>
        <v>3.0312000000000006</v>
      </c>
      <c r="N106" s="12">
        <f t="shared" si="52"/>
        <v>1.3826838018286334</v>
      </c>
      <c r="O106" s="12">
        <f>I106/B106</f>
        <v>0.20205479452054795</v>
      </c>
      <c r="P106" s="12">
        <f>B106-I106-Q106*2</f>
        <v>149.24941760559994</v>
      </c>
      <c r="Q106" s="12">
        <f t="shared" si="41"/>
        <v>41.875291197200035</v>
      </c>
      <c r="R106" s="12">
        <f t="shared" si="53"/>
        <v>31.628088582260585</v>
      </c>
      <c r="S106" s="12">
        <f>SUM(AR106:AR106)/B106</f>
        <v>0.10847933613038696</v>
      </c>
      <c r="T106" s="12">
        <f t="shared" si="54"/>
        <v>0.89096364249361781</v>
      </c>
      <c r="U106" s="12">
        <f>Population!$B$17*MIN(Y105:Z105)</f>
        <v>1.4357264185687022</v>
      </c>
      <c r="V106" s="12">
        <f>X105*Population!$B$18</f>
        <v>0.2511581550628782</v>
      </c>
      <c r="W106" s="12">
        <f>AN105*T105*Population!$B$16</f>
        <v>1.1689695767854849</v>
      </c>
      <c r="X106" s="12">
        <f t="shared" si="55"/>
        <v>41.875291197200035</v>
      </c>
      <c r="Y106" s="14">
        <f t="shared" si="56"/>
        <v>5.7448100226224241</v>
      </c>
      <c r="Z106" s="13">
        <f t="shared" si="57"/>
        <v>5.7448100226224241</v>
      </c>
      <c r="AA106" s="18">
        <f>(G106+Population!$B$15*AA105)*Population!M$33</f>
        <v>19.903352040679437</v>
      </c>
      <c r="AB106" s="18">
        <f>AA105*Population!$B$16*Population!$M$33+AB105*Population!$B$15*Population!$M$34</f>
        <v>19.868406774259249</v>
      </c>
      <c r="AC106" s="14">
        <f>(AB105*Population!$B$16*0.5*Population!$M$34)+(AC105*Population!$B$15*Population!M$35)</f>
        <v>9.8753256811156369</v>
      </c>
      <c r="AD106" s="13">
        <f>(AB105*Population!$B$16*0.5*Population!$M$34)+(AD105*Population!$B$15*Population!M$35)</f>
        <v>9.8753256811156369</v>
      </c>
      <c r="AE106" s="14">
        <f>(AC105*Population!$B$16*Population!M$35)+(AE105*Population!$B$15*Population!M$37)</f>
        <v>9.8088594917809893</v>
      </c>
      <c r="AF106" s="13">
        <f>(AD105*Population!$B$16*Population!M$35)+(AF105*Population!$B$15*Population!M$37)</f>
        <v>9.8088594917809893</v>
      </c>
      <c r="AG106" s="14">
        <f>(AE105*Population!$B$16*Population!M$37)+(AG105*Population!$B$15*Population!M$39)</f>
        <v>9.6840831277300516</v>
      </c>
      <c r="AH106" s="13">
        <f>(AF105*Population!$B$16*Population!M$37)+(AH105*Population!$B$15*Population!M$39)</f>
        <v>9.6840831277300516</v>
      </c>
      <c r="AI106" s="14">
        <f>(AG105*Population!$B$16*Population!M$39)+(AI105*Population!$B$15*Population!M$41)</f>
        <v>9.5434172188902622</v>
      </c>
      <c r="AJ106" s="13">
        <f>(AH105*Population!$B$16*Population!M$39)+(AJ105*Population!$B$15*Population!M$41)</f>
        <v>9.5434172188902622</v>
      </c>
      <c r="AK106" s="14">
        <f>(AI105*Population!$B$16*Population!M$41)+(AK105*Population!$B$15*Population!M$43)</f>
        <v>9.3861429509559269</v>
      </c>
      <c r="AL106" s="13">
        <f>(AJ105*Population!$B$16*Population!M$41)+(AL105*Population!$B$15*Population!M$43)</f>
        <v>9.3861429509559269</v>
      </c>
      <c r="AM106" s="14">
        <f>(AK105*Population!$B$16*Population!M$43)+(AM105*Population!$B$15*Population!M$45)</f>
        <v>9.1975984304652236</v>
      </c>
      <c r="AN106" s="13">
        <f>(AL105*Population!$B$16*Population!M$43)+(AN105*Population!$B$15*Population!M$45)</f>
        <v>9.1975984304652236</v>
      </c>
      <c r="AO106" s="15">
        <f>(AM105+AN105)*Population!$B$16*Population!$M$45+AO105*Population!$B$15*Population!$M$47</f>
        <v>17.3886854412514</v>
      </c>
      <c r="AP106" s="5">
        <f>AO105*Population!M$47*Population!$B$16+AP105*Population!$B$15*Population!M$48</f>
        <v>16.256292768325036</v>
      </c>
      <c r="AQ106" s="5">
        <f>AP105*Population!M$48*Population!$B$16+AQ105*Population!$B$15*Population!M$49</f>
        <v>12.173512331240328</v>
      </c>
      <c r="AR106" s="5">
        <f>(AQ105*Population!$B$16+AR105)*Population!M$50</f>
        <v>31.675966150072991</v>
      </c>
      <c r="AS106">
        <f>AS105*(1-Population!$B$12)+M106</f>
        <v>60</v>
      </c>
    </row>
    <row r="107" spans="1:45">
      <c r="A107">
        <f>A106+Population!$B$2</f>
        <v>104</v>
      </c>
      <c r="B107" s="117">
        <f t="shared" si="35"/>
        <v>292</v>
      </c>
      <c r="C107" s="59">
        <f t="shared" si="36"/>
        <v>152</v>
      </c>
      <c r="D107" s="12">
        <f>AD106*Population!$P$36*Population!$C$2+AF106*Population!$P$38*Population!$C$2+AH106*Population!$P$40*Population!$C$2+AJ106*Population!$P$42*Population!$C$2+AL106*Population!$P$44*Population!$C$2+AN105*Population!$P$46*Population!$C$2</f>
        <v>3.2123427290843787</v>
      </c>
      <c r="E107" s="12">
        <f>IF(B106&gt;Population!$B$6*Population!$B$19,Population!$B$11,IF(Population!$J$6=1,D107,Population!$B$11*Population!$B$6*0.9/B106))</f>
        <v>2.8514203965783622</v>
      </c>
      <c r="F107" s="12">
        <f>IF(B106&gt;Population!$B$6*0.75,Population!$B$11,E107)</f>
        <v>2.8514203965783622</v>
      </c>
      <c r="G107" s="15">
        <f>IF(Population!$J$6=1,IF(E107&gt;H106,H106,E107),IF(E107&gt;X106,X106,E107))</f>
        <v>2.8514203965783622</v>
      </c>
      <c r="H107" s="15">
        <f t="shared" si="49"/>
        <v>47</v>
      </c>
      <c r="I107" s="15">
        <f t="shared" si="50"/>
        <v>59</v>
      </c>
      <c r="J107" s="12">
        <f t="shared" si="51"/>
        <v>1.2553191489361701</v>
      </c>
      <c r="K107" s="12">
        <f>AA107*Population!$O$33+AB107*Population!$O$34+AC107*Population!$O$35+AD107*Population!$O$36+AE107*Population!$O$37+AF107*Population!$O$38+AG107*Population!$O$39+AH107*Population!$O$40+AI107*Population!$O$41+AJ107*Population!$O$42+AK107*Population!$O$41+AL107*Population!$O$42+AM107*Population!$O$43+AN107*Population!$O$44+AO107*Population!$O$45+AP107*Population!$O$46+AQ107*Population!$O$47+AR107*Population!$O$48</f>
        <v>0.57862790363086103</v>
      </c>
      <c r="L107" s="12">
        <f t="shared" si="39"/>
        <v>6.0668519076135366E-2</v>
      </c>
      <c r="M107" s="12">
        <f>Population!$C$12</f>
        <v>3.0312000000000006</v>
      </c>
      <c r="N107" s="12">
        <f t="shared" si="52"/>
        <v>1.3827992312951864</v>
      </c>
      <c r="O107" s="12">
        <f>I107/B107</f>
        <v>0.20205479452054795</v>
      </c>
      <c r="P107" s="12">
        <f>B107-I107-Q107*2</f>
        <v>149.22086631716965</v>
      </c>
      <c r="Q107" s="12">
        <f t="shared" si="41"/>
        <v>41.889566841415174</v>
      </c>
      <c r="R107" s="12">
        <f t="shared" si="53"/>
        <v>31.675966150072991</v>
      </c>
      <c r="S107" s="12">
        <f>SUM(AR107:AR107)/B107</f>
        <v>0.10865380668760528</v>
      </c>
      <c r="T107" s="12">
        <f t="shared" si="54"/>
        <v>0.89126737960457814</v>
      </c>
      <c r="U107" s="12">
        <f>Population!$B$17*MIN(Y106:Z106)</f>
        <v>1.436202505655606</v>
      </c>
      <c r="V107" s="12">
        <f>X106*Population!$B$18</f>
        <v>0.2512517471832002</v>
      </c>
      <c r="W107" s="12">
        <f>AN106*T106*Population!$B$16</f>
        <v>1.1706751142572682</v>
      </c>
      <c r="X107" s="12">
        <f t="shared" si="55"/>
        <v>41.889566841415174</v>
      </c>
      <c r="Y107" s="14">
        <f t="shared" si="56"/>
        <v>5.7465854446598854</v>
      </c>
      <c r="Z107" s="13">
        <f t="shared" si="57"/>
        <v>5.7465854446598854</v>
      </c>
      <c r="AA107" s="18">
        <f>(G107+Population!$B$15*AA106)*Population!M$33</f>
        <v>19.903352388255282</v>
      </c>
      <c r="AB107" s="18">
        <f>AA106*Population!$B$16*Population!$M$33+AB106*Population!$B$15*Population!$M$34</f>
        <v>19.868412796594452</v>
      </c>
      <c r="AC107" s="14">
        <f>(AB106*Population!$B$16*0.5*Population!$M$34)+(AC106*Population!$B$15*Population!M$35)</f>
        <v>9.8753507379738181</v>
      </c>
      <c r="AD107" s="13">
        <f>(AB106*Population!$B$16*0.5*Population!$M$34)+(AD106*Population!$B$15*Population!M$35)</f>
        <v>9.8753507379738181</v>
      </c>
      <c r="AE107" s="14">
        <f>(AC106*Population!$B$16*Population!M$35)+(AE106*Population!$B$15*Population!M$37)</f>
        <v>9.8089977696933524</v>
      </c>
      <c r="AF107" s="13">
        <f>(AD106*Population!$B$16*Population!M$35)+(AF106*Population!$B$15*Population!M$37)</f>
        <v>9.8089977696933524</v>
      </c>
      <c r="AG107" s="14">
        <f>(AE106*Population!$B$16*Population!M$37)+(AG106*Population!$B$15*Population!M$39)</f>
        <v>9.6846356824905975</v>
      </c>
      <c r="AH107" s="13">
        <f>(AF106*Population!$B$16*Population!M$37)+(AH106*Population!$B$15*Population!M$39)</f>
        <v>9.6846356824905975</v>
      </c>
      <c r="AI107" s="14">
        <f>(AG106*Population!$B$16*Population!M$39)+(AI106*Population!$B$15*Population!M$41)</f>
        <v>9.5451504050149669</v>
      </c>
      <c r="AJ107" s="13">
        <f>(AH106*Population!$B$16*Population!M$39)+(AJ106*Population!$B$15*Population!M$41)</f>
        <v>9.5451504050149669</v>
      </c>
      <c r="AK107" s="14">
        <f>(AI106*Population!$B$16*Population!M$41)+(AK106*Population!$B$15*Population!M$43)</f>
        <v>9.3905461709672196</v>
      </c>
      <c r="AL107" s="13">
        <f>(AJ106*Population!$B$16*Population!M$41)+(AL106*Population!$B$15*Population!M$43)</f>
        <v>9.3905461709672196</v>
      </c>
      <c r="AM107" s="14">
        <f>(AK106*Population!$B$16*Population!M$43)+(AM106*Population!$B$15*Population!M$45)</f>
        <v>9.2068222579089252</v>
      </c>
      <c r="AN107" s="13">
        <f>(AL106*Population!$B$16*Population!M$43)+(AN106*Population!$B$15*Population!M$45)</f>
        <v>9.2068222579089252</v>
      </c>
      <c r="AO107" s="15">
        <f>(AM106+AN106)*Population!$B$16*Population!$M$45+AO106*Population!$B$15*Population!$M$47</f>
        <v>17.419368987681633</v>
      </c>
      <c r="AP107" s="5">
        <f>AO106*Population!M$47*Population!$B$16+AP106*Population!$B$15*Population!M$48</f>
        <v>16.299032192332916</v>
      </c>
      <c r="AQ107" s="5">
        <f>AP106*Population!M$48*Population!$B$16+AQ106*Population!$B$15*Population!M$49</f>
        <v>12.212781939335869</v>
      </c>
      <c r="AR107" s="5">
        <f>(AQ106*Population!$B$16+AR106)*Population!M$50</f>
        <v>31.726911552780741</v>
      </c>
      <c r="AS107">
        <f>AS106*(1-Population!$B$12)+M107</f>
        <v>60</v>
      </c>
    </row>
    <row r="108" spans="1:45">
      <c r="A108">
        <f>A107+Population!$B$2</f>
        <v>105</v>
      </c>
      <c r="B108" s="117">
        <f t="shared" si="35"/>
        <v>292</v>
      </c>
      <c r="C108" s="59">
        <f t="shared" si="36"/>
        <v>152</v>
      </c>
      <c r="D108" s="12">
        <f>AD107*Population!$P$36*Population!$C$2+AF107*Population!$P$38*Population!$C$2+AH107*Population!$P$40*Population!$C$2+AJ107*Population!$P$42*Population!$C$2+AL107*Population!$P$44*Population!$C$2+AN106*Population!$P$46*Population!$C$2</f>
        <v>3.2129733817307313</v>
      </c>
      <c r="E108" s="12">
        <f>IF(B107&gt;Population!$B$6*Population!$B$19,Population!$B$11,IF(Population!$J$6=1,D108,Population!$B$11*Population!$B$6*0.9/B107))</f>
        <v>2.8514203965783622</v>
      </c>
      <c r="F108" s="12">
        <f>IF(B107&gt;Population!$B$6*0.75,Population!$B$11,E108)</f>
        <v>2.8514203965783622</v>
      </c>
      <c r="G108" s="15">
        <f>IF(Population!$J$6=1,IF(E108&gt;H107,H107,E108),IF(E108&gt;X107,X107,E108))</f>
        <v>2.8514203965783622</v>
      </c>
      <c r="H108" s="15">
        <f t="shared" si="49"/>
        <v>47</v>
      </c>
      <c r="I108" s="15">
        <f t="shared" si="50"/>
        <v>59</v>
      </c>
      <c r="J108" s="12">
        <f t="shared" si="51"/>
        <v>1.2553191489361701</v>
      </c>
      <c r="K108" s="12">
        <f>AA108*Population!$O$33+AB108*Population!$O$34+AC108*Population!$O$35+AD108*Population!$O$36+AE108*Population!$O$37+AF108*Population!$O$38+AG108*Population!$O$39+AH108*Population!$O$40+AI108*Population!$O$41+AJ108*Population!$O$42+AK108*Population!$O$41+AL108*Population!$O$42+AM108*Population!$O$43+AN108*Population!$O$44+AO108*Population!$O$45+AP108*Population!$O$46+AQ108*Population!$O$47+AR108*Population!$O$48</f>
        <v>0.57948251562994157</v>
      </c>
      <c r="L108" s="12">
        <f t="shared" si="39"/>
        <v>6.0668519076135366E-2</v>
      </c>
      <c r="M108" s="12">
        <f>Population!$C$12</f>
        <v>3.0312000000000006</v>
      </c>
      <c r="N108" s="12">
        <f t="shared" si="52"/>
        <v>1.3829028480526389</v>
      </c>
      <c r="O108" s="12">
        <f>I108/B108</f>
        <v>0.20205479452054795</v>
      </c>
      <c r="P108" s="12">
        <f>B108-I108-Q108*2</f>
        <v>149.19474563930572</v>
      </c>
      <c r="Q108" s="12">
        <f t="shared" si="41"/>
        <v>41.902627180347146</v>
      </c>
      <c r="R108" s="12">
        <f t="shared" si="53"/>
        <v>31.726911552780741</v>
      </c>
      <c r="S108" s="12">
        <f>SUM(AR108:AR108)/B108</f>
        <v>0.10883770453214306</v>
      </c>
      <c r="T108" s="12">
        <f t="shared" si="54"/>
        <v>0.89154525915632221</v>
      </c>
      <c r="U108" s="12">
        <f>Population!$B$17*MIN(Y107:Z107)</f>
        <v>1.4366463611649714</v>
      </c>
      <c r="V108" s="12">
        <f>X107*Population!$B$18</f>
        <v>0.25133740104849106</v>
      </c>
      <c r="W108" s="12">
        <f>AN107*T107*Population!$B$16</f>
        <v>1.1722486211845133</v>
      </c>
      <c r="X108" s="12">
        <f t="shared" si="55"/>
        <v>41.902627180347146</v>
      </c>
      <c r="Y108" s="14">
        <f t="shared" si="56"/>
        <v>5.7482339041171997</v>
      </c>
      <c r="Z108" s="13">
        <f t="shared" si="57"/>
        <v>5.7482339041171997</v>
      </c>
      <c r="AA108" s="18">
        <f>(G108+Population!$B$15*AA107)*Population!M$33</f>
        <v>19.903352686056483</v>
      </c>
      <c r="AB108" s="18">
        <f>AA107*Population!$B$16*Population!$M$33+AB107*Population!$B$15*Population!$M$34</f>
        <v>19.86841800706814</v>
      </c>
      <c r="AC108" s="14">
        <f>(AB107*Population!$B$16*0.5*Population!$M$34)+(AC107*Population!$B$15*Population!M$35)</f>
        <v>9.8753726248829707</v>
      </c>
      <c r="AD108" s="13">
        <f>(AB107*Population!$B$16*0.5*Population!$M$34)+(AD107*Population!$B$15*Population!M$35)</f>
        <v>9.8753726248829707</v>
      </c>
      <c r="AE108" s="14">
        <f>(AC107*Population!$B$16*Population!M$35)+(AE107*Population!$B$15*Population!M$37)</f>
        <v>9.8091197568047903</v>
      </c>
      <c r="AF108" s="13">
        <f>(AD107*Population!$B$16*Population!M$35)+(AF107*Population!$B$15*Population!M$37)</f>
        <v>9.8091197568047903</v>
      </c>
      <c r="AG108" s="14">
        <f>(AE107*Population!$B$16*Population!M$37)+(AG107*Population!$B$15*Population!M$39)</f>
        <v>9.6851281266714473</v>
      </c>
      <c r="AH108" s="13">
        <f>(AF107*Population!$B$16*Population!M$37)+(AH107*Population!$B$15*Population!M$39)</f>
        <v>9.6851281266714473</v>
      </c>
      <c r="AI108" s="14">
        <f>(AG107*Population!$B$16*Population!M$39)+(AI107*Population!$B$15*Population!M$41)</f>
        <v>9.5467119256291788</v>
      </c>
      <c r="AJ108" s="13">
        <f>(AH107*Population!$B$16*Population!M$39)+(AJ107*Population!$B$15*Population!M$41)</f>
        <v>9.5467119256291788</v>
      </c>
      <c r="AK108" s="14">
        <f>(AI107*Population!$B$16*Population!M$41)+(AK107*Population!$B$15*Population!M$43)</f>
        <v>9.394560235735872</v>
      </c>
      <c r="AL108" s="13">
        <f>(AJ107*Population!$B$16*Population!M$41)+(AL107*Population!$B$15*Population!M$43)</f>
        <v>9.394560235735872</v>
      </c>
      <c r="AM108" s="14">
        <f>(AK107*Population!$B$16*Population!M$43)+(AM107*Population!$B$15*Population!M$45)</f>
        <v>9.2153410396230573</v>
      </c>
      <c r="AN108" s="13">
        <f>(AL107*Population!$B$16*Population!M$43)+(AN107*Population!$B$15*Population!M$45)</f>
        <v>9.2153410396230573</v>
      </c>
      <c r="AO108" s="15">
        <f>(AM107+AN107)*Population!$B$16*Population!$M$45+AO107*Population!$B$15*Population!$M$47</f>
        <v>17.448108813353304</v>
      </c>
      <c r="AP108" s="5">
        <f>AO107*Population!M$47*Population!$B$16+AP107*Population!$B$15*Population!M$48</f>
        <v>16.339751973735996</v>
      </c>
      <c r="AQ108" s="5">
        <f>AP107*Population!M$48*Population!$B$16+AQ107*Population!$B$15*Population!M$49</f>
        <v>12.250802483357461</v>
      </c>
      <c r="AR108" s="5">
        <f>(AQ107*Population!$B$16+AR107)*Population!M$50</f>
        <v>31.780609723385773</v>
      </c>
      <c r="AS108">
        <f>AS107*(1-Population!$B$12)+M108</f>
        <v>60</v>
      </c>
    </row>
    <row r="109" spans="1:45">
      <c r="A109">
        <f>A108+Population!$B$2</f>
        <v>106</v>
      </c>
      <c r="B109" s="117">
        <f t="shared" si="35"/>
        <v>292</v>
      </c>
      <c r="C109" s="59">
        <f t="shared" si="36"/>
        <v>152</v>
      </c>
      <c r="D109" s="12">
        <f>AD108*Population!$P$36*Population!$C$2+AF108*Population!$P$38*Population!$C$2+AH108*Population!$P$40*Population!$C$2+AJ108*Population!$P$42*Population!$C$2+AL108*Population!$P$44*Population!$C$2+AN107*Population!$P$46*Population!$C$2</f>
        <v>3.213549027015572</v>
      </c>
      <c r="E109" s="12">
        <f>IF(B108&gt;Population!$B$6*Population!$B$19,Population!$B$11,IF(Population!$J$6=1,D109,Population!$B$11*Population!$B$6*0.9/B108))</f>
        <v>2.8514203965783622</v>
      </c>
      <c r="F109" s="12">
        <f>IF(B108&gt;Population!$B$6*0.75,Population!$B$11,E109)</f>
        <v>2.8514203965783622</v>
      </c>
      <c r="G109" s="15">
        <f>IF(Population!$J$6=1,IF(E109&gt;H108,H108,E109),IF(E109&gt;X108,X108,E109))</f>
        <v>2.8514203965783622</v>
      </c>
      <c r="H109" s="15">
        <f t="shared" si="49"/>
        <v>47</v>
      </c>
      <c r="I109" s="15">
        <f t="shared" si="50"/>
        <v>59</v>
      </c>
      <c r="J109" s="12">
        <f t="shared" si="51"/>
        <v>1.2553191489361701</v>
      </c>
      <c r="K109" s="12">
        <f>AA109*Population!$O$33+AB109*Population!$O$34+AC109*Population!$O$35+AD109*Population!$O$36+AE109*Population!$O$37+AF109*Population!$O$38+AG109*Population!$O$39+AH109*Population!$O$40+AI109*Population!$O$41+AJ109*Population!$O$42+AK109*Population!$O$41+AL109*Population!$O$42+AM109*Population!$O$43+AN109*Population!$O$44+AO109*Population!$O$45+AP109*Population!$O$46+AQ109*Population!$O$47+AR109*Population!$O$48</f>
        <v>0.58033327375288857</v>
      </c>
      <c r="L109" s="12">
        <f t="shared" si="39"/>
        <v>6.0668519076135366E-2</v>
      </c>
      <c r="M109" s="12">
        <f>Population!$C$12</f>
        <v>3.0312000000000006</v>
      </c>
      <c r="N109" s="12">
        <f t="shared" si="52"/>
        <v>1.3829958180379376</v>
      </c>
      <c r="O109" s="12">
        <f>I109/B109</f>
        <v>0.20205479452054795</v>
      </c>
      <c r="P109" s="12">
        <f>B109-I109-Q109*2</f>
        <v>149.17085838923546</v>
      </c>
      <c r="Q109" s="12">
        <f t="shared" si="41"/>
        <v>41.914570805382269</v>
      </c>
      <c r="R109" s="12">
        <f t="shared" si="53"/>
        <v>31.780609723385773</v>
      </c>
      <c r="S109" s="12">
        <f>SUM(AR109:AR109)/B109</f>
        <v>0.10902997318151687</v>
      </c>
      <c r="T109" s="12">
        <f t="shared" si="54"/>
        <v>0.8917993788379206</v>
      </c>
      <c r="U109" s="12">
        <f>Population!$B$17*MIN(Y108:Z108)</f>
        <v>1.4370584760292999</v>
      </c>
      <c r="V109" s="12">
        <f>X108*Population!$B$18</f>
        <v>0.25141576308208285</v>
      </c>
      <c r="W109" s="12">
        <f>AN108*T108*Population!$B$16</f>
        <v>1.1736990879120899</v>
      </c>
      <c r="X109" s="12">
        <f t="shared" si="55"/>
        <v>41.914570805382269</v>
      </c>
      <c r="Y109" s="14">
        <f t="shared" si="56"/>
        <v>5.7497594460253723</v>
      </c>
      <c r="Z109" s="13">
        <f t="shared" si="57"/>
        <v>5.7497594460253723</v>
      </c>
      <c r="AA109" s="18">
        <f>(G109+Population!$B$15*AA108)*Population!M$33</f>
        <v>19.903352941211018</v>
      </c>
      <c r="AB109" s="18">
        <f>AA108*Population!$B$16*Population!$M$33+AB108*Population!$B$15*Population!$M$34</f>
        <v>19.868422514709323</v>
      </c>
      <c r="AC109" s="14">
        <f>(AB108*Population!$B$16*0.5*Population!$M$34)+(AC108*Population!$B$15*Population!M$35)</f>
        <v>9.8753917393052877</v>
      </c>
      <c r="AD109" s="13">
        <f>(AB108*Population!$B$16*0.5*Population!$M$34)+(AD108*Population!$B$15*Population!M$35)</f>
        <v>9.8753917393052877</v>
      </c>
      <c r="AE109" s="14">
        <f>(AC108*Population!$B$16*Population!M$35)+(AE108*Population!$B$15*Population!M$37)</f>
        <v>9.8092273412615416</v>
      </c>
      <c r="AF109" s="13">
        <f>(AD108*Population!$B$16*Population!M$35)+(AF108*Population!$B$15*Population!M$37)</f>
        <v>9.8092273412615416</v>
      </c>
      <c r="AG109" s="14">
        <f>(AE108*Population!$B$16*Population!M$37)+(AG108*Population!$B$15*Population!M$39)</f>
        <v>9.6855668213837127</v>
      </c>
      <c r="AH109" s="13">
        <f>(AF108*Population!$B$16*Population!M$37)+(AH108*Population!$B$15*Population!M$39)</f>
        <v>9.6855668213837127</v>
      </c>
      <c r="AI109" s="14">
        <f>(AG108*Population!$B$16*Population!M$39)+(AI108*Population!$B$15*Population!M$41)</f>
        <v>9.5481180161514363</v>
      </c>
      <c r="AJ109" s="13">
        <f>(AH108*Population!$B$16*Population!M$39)+(AJ108*Population!$B$15*Population!M$41)</f>
        <v>9.5481180161514363</v>
      </c>
      <c r="AK109" s="14">
        <f>(AI108*Population!$B$16*Population!M$41)+(AK108*Population!$B$15*Population!M$43)</f>
        <v>9.398216902747361</v>
      </c>
      <c r="AL109" s="13">
        <f>(AJ108*Population!$B$16*Population!M$41)+(AL108*Population!$B$15*Population!M$43)</f>
        <v>9.398216902747361</v>
      </c>
      <c r="AM109" s="14">
        <f>(AK108*Population!$B$16*Population!M$43)+(AM108*Population!$B$15*Population!M$45)</f>
        <v>9.223201169863593</v>
      </c>
      <c r="AN109" s="13">
        <f>(AL108*Population!$B$16*Population!M$43)+(AN108*Population!$B$15*Population!M$45)</f>
        <v>9.223201169863593</v>
      </c>
      <c r="AO109" s="15">
        <f>(AM108+AN108)*Population!$B$16*Population!$M$45+AO108*Population!$B$15*Population!$M$47</f>
        <v>17.474993616627561</v>
      </c>
      <c r="AP109" s="5">
        <f>AO108*Population!M$47*Population!$B$16+AP108*Population!$B$15*Population!M$48</f>
        <v>16.378477522287852</v>
      </c>
      <c r="AQ109" s="5">
        <f>AP108*Population!M$48*Population!$B$16+AQ108*Population!$B$15*Population!M$49</f>
        <v>12.287520060473694</v>
      </c>
      <c r="AR109" s="5">
        <f>(AQ108*Population!$B$16+AR108)*Population!M$50</f>
        <v>31.836752169002928</v>
      </c>
      <c r="AS109">
        <f>AS108*(1-Population!$B$12)+M109</f>
        <v>60</v>
      </c>
    </row>
    <row r="110" spans="1:45">
      <c r="A110">
        <f>A109+Population!$B$2</f>
        <v>107</v>
      </c>
      <c r="B110" s="117">
        <f t="shared" si="35"/>
        <v>293</v>
      </c>
      <c r="C110" s="59">
        <f t="shared" si="36"/>
        <v>153</v>
      </c>
      <c r="D110" s="12">
        <f>AD109*Population!$P$36*Population!$C$2+AF109*Population!$P$38*Population!$C$2+AH109*Population!$P$40*Population!$C$2+AJ109*Population!$P$42*Population!$C$2+AL109*Population!$P$44*Population!$C$2+AN108*Population!$P$46*Population!$C$2</f>
        <v>3.2140741529345145</v>
      </c>
      <c r="E110" s="12">
        <f>IF(B109&gt;Population!$B$6*Population!$B$19,Population!$B$11,IF(Population!$J$6=1,D110,Population!$B$11*Population!$B$6*0.9/B109))</f>
        <v>2.8514203965783622</v>
      </c>
      <c r="F110" s="12">
        <f>IF(B109&gt;Population!$B$6*0.75,Population!$B$11,E110)</f>
        <v>2.8514203965783622</v>
      </c>
      <c r="G110" s="15">
        <f>IF(Population!$J$6=1,IF(E110&gt;H109,H109,E110),IF(E110&gt;X109,X109,E110))</f>
        <v>2.8514203965783622</v>
      </c>
      <c r="H110" s="15">
        <f t="shared" si="49"/>
        <v>47</v>
      </c>
      <c r="I110" s="15">
        <f t="shared" si="50"/>
        <v>59</v>
      </c>
      <c r="J110" s="12">
        <f t="shared" si="51"/>
        <v>1.2553191489361701</v>
      </c>
      <c r="K110" s="12">
        <f>AA110*Population!$O$33+AB110*Population!$O$34+AC110*Population!$O$35+AD110*Population!$O$36+AE110*Population!$O$37+AF110*Population!$O$38+AG110*Population!$O$39+AH110*Population!$O$40+AI110*Population!$O$41+AJ110*Population!$O$42+AK110*Population!$O$41+AL110*Population!$O$42+AM110*Population!$O$43+AN110*Population!$O$44+AO110*Population!$O$45+AP110*Population!$O$46+AQ110*Population!$O$47+AR110*Population!$O$48</f>
        <v>0.58117831111459695</v>
      </c>
      <c r="L110" s="12">
        <f t="shared" si="39"/>
        <v>6.0668519076135366E-2</v>
      </c>
      <c r="M110" s="12">
        <f>Population!$C$12</f>
        <v>3.0312000000000006</v>
      </c>
      <c r="N110" s="12">
        <f t="shared" si="52"/>
        <v>1.3830791975046535</v>
      </c>
      <c r="O110" s="12">
        <f>I110/B110</f>
        <v>0.20136518771331058</v>
      </c>
      <c r="P110" s="12">
        <f>B110-I110-Q110*2</f>
        <v>150.14902353708209</v>
      </c>
      <c r="Q110" s="12">
        <f t="shared" si="41"/>
        <v>41.925488231458957</v>
      </c>
      <c r="R110" s="12">
        <f t="shared" si="53"/>
        <v>31.836752169002928</v>
      </c>
      <c r="S110" s="12">
        <f>SUM(AR110:AR110)/B110</f>
        <v>0.1088567872710838</v>
      </c>
      <c r="T110" s="12">
        <f t="shared" si="54"/>
        <v>0.89203166449912674</v>
      </c>
      <c r="U110" s="12">
        <f>Population!$B$17*MIN(Y109:Z109)</f>
        <v>1.4374398615063431</v>
      </c>
      <c r="V110" s="12">
        <f>X109*Population!$B$18</f>
        <v>0.25148742483229364</v>
      </c>
      <c r="W110" s="12">
        <f>AN109*T109*Population!$B$16</f>
        <v>1.1750350105973622</v>
      </c>
      <c r="X110" s="12">
        <f t="shared" si="55"/>
        <v>41.925488231458957</v>
      </c>
      <c r="Y110" s="14">
        <f t="shared" si="56"/>
        <v>5.7511674383278759</v>
      </c>
      <c r="Z110" s="13">
        <f t="shared" si="57"/>
        <v>5.7511674383278759</v>
      </c>
      <c r="AA110" s="18">
        <f>(G110+Population!$B$15*AA109)*Population!M$33</f>
        <v>19.903353159826111</v>
      </c>
      <c r="AB110" s="18">
        <f>AA109*Population!$B$16*Population!$M$33+AB109*Population!$B$15*Population!$M$34</f>
        <v>19.868426413968283</v>
      </c>
      <c r="AC110" s="14">
        <f>(AB109*Population!$B$16*0.5*Population!$M$34)+(AC109*Population!$B$15*Population!M$35)</f>
        <v>9.8754084293840201</v>
      </c>
      <c r="AD110" s="13">
        <f>(AB109*Population!$B$16*0.5*Population!$M$34)+(AD109*Population!$B$15*Population!M$35)</f>
        <v>9.8754084293840201</v>
      </c>
      <c r="AE110" s="14">
        <f>(AC109*Population!$B$16*Population!M$35)+(AE109*Population!$B$15*Population!M$37)</f>
        <v>9.8093221966585205</v>
      </c>
      <c r="AF110" s="13">
        <f>(AD109*Population!$B$16*Population!M$35)+(AF109*Population!$B$15*Population!M$37)</f>
        <v>9.8093221966585205</v>
      </c>
      <c r="AG110" s="14">
        <f>(AE109*Population!$B$16*Population!M$37)+(AG109*Population!$B$15*Population!M$39)</f>
        <v>9.6859574780178921</v>
      </c>
      <c r="AH110" s="13">
        <f>(AF109*Population!$B$16*Population!M$37)+(AH109*Population!$B$15*Population!M$39)</f>
        <v>9.6859574780178921</v>
      </c>
      <c r="AI110" s="14">
        <f>(AG109*Population!$B$16*Population!M$39)+(AI109*Population!$B$15*Population!M$41)</f>
        <v>9.5493834729213152</v>
      </c>
      <c r="AJ110" s="13">
        <f>(AH109*Population!$B$16*Population!M$39)+(AJ109*Population!$B$15*Population!M$41)</f>
        <v>9.5493834729213152</v>
      </c>
      <c r="AK110" s="14">
        <f>(AI109*Population!$B$16*Population!M$41)+(AK109*Population!$B$15*Population!M$43)</f>
        <v>9.4015456553321357</v>
      </c>
      <c r="AL110" s="13">
        <f>(AJ109*Population!$B$16*Population!M$41)+(AL109*Population!$B$15*Population!M$43)</f>
        <v>9.4015456553321357</v>
      </c>
      <c r="AM110" s="14">
        <f>(AK109*Population!$B$16*Population!M$43)+(AM109*Population!$B$15*Population!M$45)</f>
        <v>9.2304468668569744</v>
      </c>
      <c r="AN110" s="13">
        <f>(AL109*Population!$B$16*Population!M$43)+(AN109*Population!$B$15*Population!M$45)</f>
        <v>9.2304468668569744</v>
      </c>
      <c r="AO110" s="15">
        <f>(AM109+AN109)*Population!$B$16*Population!$M$45+AO109*Population!$B$15*Population!$M$47</f>
        <v>17.500112103525282</v>
      </c>
      <c r="AP110" s="5">
        <f>AO109*Population!M$47*Population!$B$16+AP109*Population!$B$15*Population!M$48</f>
        <v>16.415243039202089</v>
      </c>
      <c r="AQ110" s="5">
        <f>AP109*Population!M$48*Population!$B$16+AQ109*Population!$B$15*Population!M$49</f>
        <v>12.322894406051807</v>
      </c>
      <c r="AR110" s="5">
        <f>(AQ109*Population!$B$16+AR109)*Population!M$50</f>
        <v>31.895038670427553</v>
      </c>
      <c r="AS110">
        <f>AS109*(1-Population!$B$12)+M110</f>
        <v>60</v>
      </c>
    </row>
    <row r="111" spans="1:45">
      <c r="A111">
        <f>A110+Population!$B$2</f>
        <v>108</v>
      </c>
      <c r="B111" s="117">
        <f t="shared" si="35"/>
        <v>293</v>
      </c>
      <c r="C111" s="59">
        <f t="shared" si="36"/>
        <v>152</v>
      </c>
      <c r="D111" s="12">
        <f>AD110*Population!$P$36*Population!$C$2+AF110*Population!$P$38*Population!$C$2+AH110*Population!$P$40*Population!$C$2+AJ110*Population!$P$42*Population!$C$2+AL110*Population!$P$44*Population!$C$2+AN109*Population!$P$46*Population!$C$2</f>
        <v>3.2145529160718849</v>
      </c>
      <c r="E111" s="12">
        <f>IF(B110&gt;Population!$B$6*Population!$B$19,Population!$B$11,IF(Population!$J$6=1,D111,Population!$B$11*Population!$B$6*0.9/B110))</f>
        <v>2.8514203965783622</v>
      </c>
      <c r="F111" s="12">
        <f>IF(B110&gt;Population!$B$6*0.75,Population!$B$11,E111)</f>
        <v>2.8514203965783622</v>
      </c>
      <c r="G111" s="15">
        <f>IF(Population!$J$6=1,IF(E111&gt;H110,H110,E111),IF(E111&gt;X110,X110,E111))</f>
        <v>2.8514203965783622</v>
      </c>
      <c r="H111" s="15">
        <f t="shared" ref="H111:H115" si="58">FLOOR(AF111+AH111+AJ111+AL111+AN111,1)</f>
        <v>47</v>
      </c>
      <c r="I111" s="15">
        <f t="shared" ref="I111:I115" si="59">FLOOR(SUM(AA111:AD111),1)</f>
        <v>59</v>
      </c>
      <c r="J111" s="12">
        <f t="shared" ref="J111:J115" si="60">I111/H111</f>
        <v>1.2553191489361701</v>
      </c>
      <c r="K111" s="12">
        <f>AA111*Population!$O$33+AB111*Population!$O$34+AC111*Population!$O$35+AD111*Population!$O$36+AE111*Population!$O$37+AF111*Population!$O$38+AG111*Population!$O$39+AH111*Population!$O$40+AI111*Population!$O$41+AJ111*Population!$O$42+AK111*Population!$O$41+AL111*Population!$O$42+AM111*Population!$O$43+AN111*Population!$O$44+AO111*Population!$O$45+AP111*Population!$O$46+AQ111*Population!$O$47+AR111*Population!$O$48</f>
        <v>0.58201590945443371</v>
      </c>
      <c r="L111" s="12">
        <f t="shared" si="39"/>
        <v>6.0668519076135366E-2</v>
      </c>
      <c r="M111" s="12">
        <f>Population!$C$12</f>
        <v>3.0312000000000006</v>
      </c>
      <c r="N111" s="12">
        <f t="shared" ref="N111:N115" si="61">(AE111+AF111+AG111+AH111+AI111+AJ111)/21*0.5</f>
        <v>1.3831539426593675</v>
      </c>
      <c r="O111" s="12">
        <f>I111/B111</f>
        <v>0.20136518771331058</v>
      </c>
      <c r="P111" s="12">
        <f>B111-I111-Q111*2</f>
        <v>150.12907450032799</v>
      </c>
      <c r="Q111" s="12">
        <f t="shared" si="41"/>
        <v>41.935462749836006</v>
      </c>
      <c r="R111" s="12">
        <f t="shared" ref="R111:R115" si="62">SUM(AR110:AR110)</f>
        <v>31.895038670427553</v>
      </c>
      <c r="S111" s="12">
        <f>SUM(AR111:AR111)/B111</f>
        <v>0.10906204339260893</v>
      </c>
      <c r="T111" s="12">
        <f t="shared" ref="T111:T115" si="63">X111/H111</f>
        <v>0.89224388829438306</v>
      </c>
      <c r="U111" s="12">
        <f>Population!$B$17*MIN(Y110:Z110)</f>
        <v>1.437791859581969</v>
      </c>
      <c r="V111" s="12">
        <f>X110*Population!$B$18</f>
        <v>0.25155292938875373</v>
      </c>
      <c r="W111" s="12">
        <f>AN110*T110*Population!$B$16</f>
        <v>1.1762644118161678</v>
      </c>
      <c r="X111" s="12">
        <f t="shared" ref="X111:X115" si="64">X110+U111-W111-V111</f>
        <v>41.935462749836006</v>
      </c>
      <c r="Y111" s="14">
        <f t="shared" ref="Y111:Y115" si="65">(AE111+AG111+AI111+AK111+AM111)-X111</f>
        <v>5.7524640350973186</v>
      </c>
      <c r="Z111" s="13">
        <f t="shared" ref="Z111:Z115" si="66">(AF111+AH111+AJ111+AL111+AN111)-X111</f>
        <v>5.7524640350973186</v>
      </c>
      <c r="AA111" s="18">
        <f>(G111+Population!$B$15*AA110)*Population!M$33</f>
        <v>19.903353347134399</v>
      </c>
      <c r="AB111" s="18">
        <f>AA110*Population!$B$16*Population!$M$33+AB110*Population!$B$15*Population!$M$34</f>
        <v>19.868429786656296</v>
      </c>
      <c r="AC111" s="14">
        <f>(AB110*Population!$B$16*0.5*Population!$M$34)+(AC110*Population!$B$15*Population!M$35)</f>
        <v>9.8754229999882117</v>
      </c>
      <c r="AD111" s="13">
        <f>(AB110*Population!$B$16*0.5*Population!$M$34)+(AD110*Population!$B$15*Population!M$35)</f>
        <v>9.8754229999882117</v>
      </c>
      <c r="AE111" s="14">
        <f>(AC110*Population!$B$16*Population!M$35)+(AE110*Population!$B$15*Population!M$37)</f>
        <v>9.8094058058259197</v>
      </c>
      <c r="AF111" s="13">
        <f>(AD110*Population!$B$16*Population!M$35)+(AF110*Population!$B$15*Population!M$37)</f>
        <v>9.8094058058259197</v>
      </c>
      <c r="AG111" s="14">
        <f>(AE110*Population!$B$16*Population!M$37)+(AG110*Population!$B$15*Population!M$39)</f>
        <v>9.6863052215093841</v>
      </c>
      <c r="AH111" s="13">
        <f>(AF110*Population!$B$16*Population!M$37)+(AH110*Population!$B$15*Population!M$39)</f>
        <v>9.6863052215093841</v>
      </c>
      <c r="AI111" s="14">
        <f>(AG110*Population!$B$16*Population!M$39)+(AI110*Population!$B$15*Population!M$41)</f>
        <v>9.5505217685114179</v>
      </c>
      <c r="AJ111" s="13">
        <f>(AH110*Population!$B$16*Population!M$39)+(AJ110*Population!$B$15*Population!M$41)</f>
        <v>9.5505217685114179</v>
      </c>
      <c r="AK111" s="14">
        <f>(AI110*Population!$B$16*Population!M$41)+(AK110*Population!$B$15*Population!M$43)</f>
        <v>9.4045738260995293</v>
      </c>
      <c r="AL111" s="13">
        <f>(AJ110*Population!$B$16*Population!M$41)+(AL110*Population!$B$15*Population!M$43)</f>
        <v>9.4045738260995293</v>
      </c>
      <c r="AM111" s="14">
        <f>(AK110*Population!$B$16*Population!M$43)+(AM110*Population!$B$15*Population!M$45)</f>
        <v>9.2371201629870789</v>
      </c>
      <c r="AN111" s="13">
        <f>(AL110*Population!$B$16*Population!M$43)+(AN110*Population!$B$15*Population!M$45)</f>
        <v>9.2371201629870789</v>
      </c>
      <c r="AO111" s="15">
        <f>(AM110+AN110)*Population!$B$16*Population!$M$45+AO110*Population!$B$15*Population!$M$47</f>
        <v>17.523552366056222</v>
      </c>
      <c r="AP111" s="5">
        <f>AO110*Population!M$47*Population!$B$16+AP110*Population!$B$15*Population!M$48</f>
        <v>16.450090207683139</v>
      </c>
      <c r="AQ111" s="5">
        <f>AP110*Population!M$48*Population!$B$16+AQ110*Population!$B$15*Population!M$49</f>
        <v>12.356897601588042</v>
      </c>
      <c r="AR111" s="5">
        <f>(AQ110*Population!$B$16+AR110)*Population!M$50</f>
        <v>31.955178714034417</v>
      </c>
      <c r="AS111">
        <f>AS110*(1-Population!$B$12)+M111</f>
        <v>60</v>
      </c>
    </row>
    <row r="112" spans="1:45">
      <c r="A112">
        <f>A111+Population!$B$2</f>
        <v>109</v>
      </c>
      <c r="B112" s="117">
        <f t="shared" si="35"/>
        <v>293</v>
      </c>
      <c r="C112" s="59">
        <f t="shared" si="36"/>
        <v>152</v>
      </c>
      <c r="D112" s="12">
        <f>AD111*Population!$P$36*Population!$C$2+AF111*Population!$P$38*Population!$C$2+AH111*Population!$P$40*Population!$C$2+AJ111*Population!$P$42*Population!$C$2+AL111*Population!$P$44*Population!$C$2+AN110*Population!$P$46*Population!$C$2</f>
        <v>3.2149891621301081</v>
      </c>
      <c r="E112" s="12">
        <f>IF(B111&gt;Population!$B$6*Population!$B$19,Population!$B$11,IF(Population!$J$6=1,D112,Population!$B$11*Population!$B$6*0.9/B111))</f>
        <v>2.8514203965783622</v>
      </c>
      <c r="F112" s="12">
        <f>IF(B111&gt;Population!$B$6*0.75,Population!$B$11,E112)</f>
        <v>2.8514203965783622</v>
      </c>
      <c r="G112" s="15">
        <f>IF(Population!$J$6=1,IF(E112&gt;H111,H111,E112),IF(E112&gt;X111,X111,E112))</f>
        <v>2.8514203965783622</v>
      </c>
      <c r="H112" s="15">
        <f t="shared" si="58"/>
        <v>47</v>
      </c>
      <c r="I112" s="15">
        <f t="shared" si="59"/>
        <v>59</v>
      </c>
      <c r="J112" s="12">
        <f t="shared" si="60"/>
        <v>1.2553191489361701</v>
      </c>
      <c r="K112" s="12">
        <f>AA112*Population!$O$33+AB112*Population!$O$34+AC112*Population!$O$35+AD112*Population!$O$36+AE112*Population!$O$37+AF112*Population!$O$38+AG112*Population!$O$39+AH112*Population!$O$40+AI112*Population!$O$41+AJ112*Population!$O$42+AK112*Population!$O$41+AL112*Population!$O$42+AM112*Population!$O$43+AN112*Population!$O$44+AO112*Population!$O$45+AP112*Population!$O$46+AQ112*Population!$O$47+AR112*Population!$O$48</f>
        <v>0.58284449661199167</v>
      </c>
      <c r="L112" s="12">
        <f t="shared" si="39"/>
        <v>6.0668519076135366E-2</v>
      </c>
      <c r="M112" s="12">
        <f>Population!$C$12</f>
        <v>3.0312000000000006</v>
      </c>
      <c r="N112" s="12">
        <f t="shared" si="61"/>
        <v>1.3832209185388018</v>
      </c>
      <c r="O112" s="12">
        <f>I112/B112</f>
        <v>0.20136518771331058</v>
      </c>
      <c r="P112" s="12">
        <f>B112-I112-Q112*2</f>
        <v>150.11085775316764</v>
      </c>
      <c r="Q112" s="12">
        <f t="shared" si="41"/>
        <v>41.944571123416175</v>
      </c>
      <c r="R112" s="12">
        <f t="shared" si="62"/>
        <v>31.955178714034417</v>
      </c>
      <c r="S112" s="12">
        <f>SUM(AR112:AR112)/B112</f>
        <v>0.10927267124942253</v>
      </c>
      <c r="T112" s="12">
        <f t="shared" si="63"/>
        <v>0.89243768347693986</v>
      </c>
      <c r="U112" s="12">
        <f>Population!$B$17*MIN(Y111:Z111)</f>
        <v>1.4381160087743297</v>
      </c>
      <c r="V112" s="12">
        <f>X111*Population!$B$18</f>
        <v>0.25161277649901603</v>
      </c>
      <c r="W112" s="12">
        <f>AN111*T111*Population!$B$16</f>
        <v>1.1773948586951481</v>
      </c>
      <c r="X112" s="12">
        <f t="shared" si="64"/>
        <v>41.944571123416175</v>
      </c>
      <c r="Y112" s="14">
        <f t="shared" si="65"/>
        <v>5.7536557988750445</v>
      </c>
      <c r="Z112" s="13">
        <f t="shared" si="66"/>
        <v>5.7536557988750445</v>
      </c>
      <c r="AA112" s="18">
        <f>(G112+Population!$B$15*AA111)*Population!M$33</f>
        <v>19.90335350761918</v>
      </c>
      <c r="AB112" s="18">
        <f>AA111*Population!$B$16*Population!$M$33+AB111*Population!$B$15*Population!$M$34</f>
        <v>19.868432703628748</v>
      </c>
      <c r="AC112" s="14">
        <f>(AB111*Population!$B$16*0.5*Population!$M$34)+(AC111*Population!$B$15*Population!M$35)</f>
        <v>9.8754357180275001</v>
      </c>
      <c r="AD112" s="13">
        <f>(AB111*Population!$B$16*0.5*Population!$M$34)+(AD111*Population!$B$15*Population!M$35)</f>
        <v>9.8754357180275001</v>
      </c>
      <c r="AE112" s="14">
        <f>(AC111*Population!$B$16*Population!M$35)+(AE111*Population!$B$15*Population!M$37)</f>
        <v>9.8094794820610058</v>
      </c>
      <c r="AF112" s="13">
        <f>(AD111*Population!$B$16*Population!M$35)+(AF111*Population!$B$15*Population!M$37)</f>
        <v>9.8094794820610058</v>
      </c>
      <c r="AG112" s="14">
        <f>(AE111*Population!$B$16*Population!M$37)+(AG111*Population!$B$15*Population!M$39)</f>
        <v>9.6866146478567838</v>
      </c>
      <c r="AH112" s="13">
        <f>(AF111*Population!$B$16*Population!M$37)+(AH111*Population!$B$15*Population!M$39)</f>
        <v>9.6866146478567838</v>
      </c>
      <c r="AI112" s="14">
        <f>(AG111*Population!$B$16*Population!M$39)+(AI111*Population!$B$15*Population!M$41)</f>
        <v>9.5515451593970475</v>
      </c>
      <c r="AJ112" s="13">
        <f>(AH111*Population!$B$16*Population!M$39)+(AJ111*Population!$B$15*Population!M$41)</f>
        <v>9.5515451593970475</v>
      </c>
      <c r="AK112" s="14">
        <f>(AI111*Population!$B$16*Population!M$41)+(AK111*Population!$B$15*Population!M$43)</f>
        <v>9.407326718976627</v>
      </c>
      <c r="AL112" s="13">
        <f>(AJ111*Population!$B$16*Population!M$41)+(AL111*Population!$B$15*Population!M$43)</f>
        <v>9.407326718976627</v>
      </c>
      <c r="AM112" s="14">
        <f>(AK111*Population!$B$16*Population!M$43)+(AM111*Population!$B$15*Population!M$45)</f>
        <v>9.2432609139997552</v>
      </c>
      <c r="AN112" s="13">
        <f>(AL111*Population!$B$16*Population!M$43)+(AN111*Population!$B$15*Population!M$45)</f>
        <v>9.2432609139997552</v>
      </c>
      <c r="AO112" s="15">
        <f>(AM111+AN111)*Population!$B$16*Population!$M$45+AO111*Population!$B$15*Population!$M$47</f>
        <v>17.54540135042317</v>
      </c>
      <c r="AP112" s="5">
        <f>AO111*Population!M$47*Population!$B$16+AP111*Population!$B$15*Population!M$48</f>
        <v>16.483066990495278</v>
      </c>
      <c r="AQ112" s="5">
        <f>AP111*Population!M$48*Population!$B$16+AQ111*Population!$B$15*Population!M$49</f>
        <v>12.389512837458904</v>
      </c>
      <c r="AR112" s="5">
        <f>(AQ111*Population!$B$16+AR111)*Population!M$50</f>
        <v>32.016892676080801</v>
      </c>
      <c r="AS112">
        <f>AS111*(1-Population!$B$12)+M112</f>
        <v>60</v>
      </c>
    </row>
    <row r="113" spans="1:45">
      <c r="A113">
        <f>A112+Population!$B$2</f>
        <v>110</v>
      </c>
      <c r="B113" s="117">
        <f t="shared" si="35"/>
        <v>293</v>
      </c>
      <c r="C113" s="59">
        <f t="shared" si="36"/>
        <v>152</v>
      </c>
      <c r="D113" s="12">
        <f>AD112*Population!$P$36*Population!$C$2+AF112*Population!$P$38*Population!$C$2+AH112*Population!$P$40*Population!$C$2+AJ112*Population!$P$42*Population!$C$2+AL112*Population!$P$44*Population!$C$2+AN111*Population!$P$46*Population!$C$2</f>
        <v>3.215386445652983</v>
      </c>
      <c r="E113" s="12">
        <f>IF(B112&gt;Population!$B$6*Population!$B$19,Population!$B$11,IF(Population!$J$6=1,D113,Population!$B$11*Population!$B$6*0.9/B112))</f>
        <v>2.8514203965783622</v>
      </c>
      <c r="F113" s="12">
        <f>IF(B112&gt;Population!$B$6*0.75,Population!$B$11,E113)</f>
        <v>2.8514203965783622</v>
      </c>
      <c r="G113" s="15">
        <f>IF(Population!$J$6=1,IF(E113&gt;H112,H112,E113),IF(E113&gt;X112,X112,E113))</f>
        <v>2.8514203965783622</v>
      </c>
      <c r="H113" s="15">
        <f t="shared" si="58"/>
        <v>47</v>
      </c>
      <c r="I113" s="15">
        <f t="shared" si="59"/>
        <v>59</v>
      </c>
      <c r="J113" s="12">
        <f t="shared" si="60"/>
        <v>1.2553191489361701</v>
      </c>
      <c r="K113" s="12">
        <f>AA113*Population!$O$33+AB113*Population!$O$34+AC113*Population!$O$35+AD113*Population!$O$36+AE113*Population!$O$37+AF113*Population!$O$38+AG113*Population!$O$39+AH113*Population!$O$40+AI113*Population!$O$41+AJ113*Population!$O$42+AK113*Population!$O$41+AL113*Population!$O$42+AM113*Population!$O$43+AN113*Population!$O$44+AO113*Population!$O$45+AP113*Population!$O$46+AQ113*Population!$O$47+AR113*Population!$O$48</f>
        <v>0.58366264314124428</v>
      </c>
      <c r="L113" s="12">
        <f t="shared" si="39"/>
        <v>6.0668519076135366E-2</v>
      </c>
      <c r="M113" s="12">
        <f>Population!$C$12</f>
        <v>3.0312000000000006</v>
      </c>
      <c r="N113" s="12">
        <f t="shared" si="61"/>
        <v>1.3832809071759642</v>
      </c>
      <c r="O113" s="12">
        <f>I113/B113</f>
        <v>0.20136518771331058</v>
      </c>
      <c r="P113" s="12">
        <f>B113-I113-Q113*2</f>
        <v>150.09423166660054</v>
      </c>
      <c r="Q113" s="12">
        <f t="shared" si="41"/>
        <v>41.952884166699739</v>
      </c>
      <c r="R113" s="12">
        <f t="shared" si="62"/>
        <v>32.016892676080801</v>
      </c>
      <c r="S113" s="12">
        <f>SUM(AR113:AR113)/B113</f>
        <v>0.10948775692613695</v>
      </c>
      <c r="T113" s="12">
        <f t="shared" si="63"/>
        <v>0.89261455673829238</v>
      </c>
      <c r="U113" s="12">
        <f>Population!$B$17*MIN(Y112:Z112)</f>
        <v>1.4384139497187611</v>
      </c>
      <c r="V113" s="12">
        <f>X112*Population!$B$18</f>
        <v>0.25166742674049708</v>
      </c>
      <c r="W113" s="12">
        <f>AN112*T112*Population!$B$16</f>
        <v>1.1784334796946976</v>
      </c>
      <c r="X113" s="12">
        <f t="shared" si="64"/>
        <v>41.952884166699739</v>
      </c>
      <c r="Y113" s="14">
        <f t="shared" si="65"/>
        <v>5.7547494372374572</v>
      </c>
      <c r="Z113" s="13">
        <f t="shared" si="66"/>
        <v>5.7547494372374572</v>
      </c>
      <c r="AA113" s="18">
        <f>(G113+Population!$B$15*AA112)*Population!M$33</f>
        <v>19.903353645121712</v>
      </c>
      <c r="AB113" s="18">
        <f>AA112*Population!$B$16*Population!$M$33+AB112*Population!$B$15*Population!$M$34</f>
        <v>19.868435226245385</v>
      </c>
      <c r="AC113" s="14">
        <f>(AB112*Population!$B$16*0.5*Population!$M$34)+(AC112*Population!$B$15*Population!M$35)</f>
        <v>9.875446817123505</v>
      </c>
      <c r="AD113" s="13">
        <f>(AB112*Population!$B$16*0.5*Population!$M$34)+(AD112*Population!$B$15*Population!M$35)</f>
        <v>9.875446817123505</v>
      </c>
      <c r="AE113" s="14">
        <f>(AC112*Population!$B$16*Population!M$35)+(AE112*Population!$B$15*Population!M$37)</f>
        <v>9.8095443880679767</v>
      </c>
      <c r="AF113" s="13">
        <f>(AD112*Population!$B$16*Population!M$35)+(AF112*Population!$B$15*Population!M$37)</f>
        <v>9.8095443880679767</v>
      </c>
      <c r="AG113" s="14">
        <f>(AE112*Population!$B$16*Population!M$37)+(AG112*Population!$B$15*Population!M$39)</f>
        <v>9.6868898763588565</v>
      </c>
      <c r="AH113" s="13">
        <f>(AF112*Population!$B$16*Population!M$37)+(AH112*Population!$B$15*Population!M$39)</f>
        <v>9.6868898763588565</v>
      </c>
      <c r="AI113" s="14">
        <f>(AG112*Population!$B$16*Population!M$39)+(AI112*Population!$B$15*Population!M$41)</f>
        <v>9.5524647862684198</v>
      </c>
      <c r="AJ113" s="13">
        <f>(AH112*Population!$B$16*Population!M$39)+(AJ112*Population!$B$15*Population!M$41)</f>
        <v>9.5524647862684198</v>
      </c>
      <c r="AK113" s="14">
        <f>(AI112*Population!$B$16*Population!M$41)+(AK112*Population!$B$15*Population!M$43)</f>
        <v>9.4098277289640233</v>
      </c>
      <c r="AL113" s="13">
        <f>(AJ112*Population!$B$16*Population!M$41)+(AL112*Population!$B$15*Population!M$43)</f>
        <v>9.4098277289640233</v>
      </c>
      <c r="AM113" s="14">
        <f>(AK112*Population!$B$16*Population!M$43)+(AM112*Population!$B$15*Population!M$45)</f>
        <v>9.2489068242779204</v>
      </c>
      <c r="AN113" s="13">
        <f>(AL112*Population!$B$16*Population!M$43)+(AN112*Population!$B$15*Population!M$45)</f>
        <v>9.2489068242779204</v>
      </c>
      <c r="AO113" s="15">
        <f>(AM112+AN112)*Population!$B$16*Population!$M$45+AO112*Population!$B$15*Population!$M$47</f>
        <v>17.565744407126481</v>
      </c>
      <c r="AP113" s="5">
        <f>AO112*Population!M$47*Population!$B$16+AP112*Population!$B$15*Population!M$48</f>
        <v>16.514226531359675</v>
      </c>
      <c r="AQ113" s="5">
        <f>AP112*Population!M$48*Population!$B$16+AQ112*Population!$B$15*Population!M$49</f>
        <v>12.420733235468154</v>
      </c>
      <c r="AR113" s="5">
        <f>(AQ112*Population!$B$16+AR112)*Population!M$50</f>
        <v>32.079912779358125</v>
      </c>
      <c r="AS113">
        <f>AS112*(1-Population!$B$12)+M113</f>
        <v>60</v>
      </c>
    </row>
    <row r="114" spans="1:45">
      <c r="A114">
        <f>A113+Population!$B$2</f>
        <v>111</v>
      </c>
      <c r="B114" s="117">
        <f t="shared" si="35"/>
        <v>293</v>
      </c>
      <c r="C114" s="59">
        <f t="shared" si="36"/>
        <v>152</v>
      </c>
      <c r="D114" s="12">
        <f>AD113*Population!$P$36*Population!$C$2+AF113*Population!$P$38*Population!$C$2+AH113*Population!$P$40*Population!$C$2+AJ113*Population!$P$42*Population!$C$2+AL113*Population!$P$44*Population!$C$2+AN112*Population!$P$46*Population!$C$2</f>
        <v>3.2157480489126145</v>
      </c>
      <c r="E114" s="12">
        <f>IF(B113&gt;Population!$B$6*Population!$B$19,Population!$B$11,IF(Population!$J$6=1,D114,Population!$B$11*Population!$B$6*0.9/B113))</f>
        <v>2.8514203965783622</v>
      </c>
      <c r="F114" s="12">
        <f>IF(B113&gt;Population!$B$6*0.75,Population!$B$11,E114)</f>
        <v>2.8514203965783622</v>
      </c>
      <c r="G114" s="15">
        <f>IF(Population!$J$6=1,IF(E114&gt;H113,H113,E114),IF(E114&gt;X113,X113,E114))</f>
        <v>2.8514203965783622</v>
      </c>
      <c r="H114" s="15">
        <f t="shared" si="58"/>
        <v>47</v>
      </c>
      <c r="I114" s="15">
        <f t="shared" si="59"/>
        <v>59</v>
      </c>
      <c r="J114" s="12">
        <f t="shared" si="60"/>
        <v>1.2553191489361701</v>
      </c>
      <c r="K114" s="12">
        <f>AA114*Population!$O$33+AB114*Population!$O$34+AC114*Population!$O$35+AD114*Population!$O$36+AE114*Population!$O$37+AF114*Population!$O$38+AG114*Population!$O$39+AH114*Population!$O$40+AI114*Population!$O$41+AJ114*Population!$O$42+AK114*Population!$O$41+AL114*Population!$O$42+AM114*Population!$O$43+AN114*Population!$O$44+AO114*Population!$O$45+AP114*Population!$O$46+AQ114*Population!$O$47+AR114*Population!$O$48</f>
        <v>0.58446905819982609</v>
      </c>
      <c r="L114" s="12">
        <f t="shared" si="39"/>
        <v>6.0668519076135366E-2</v>
      </c>
      <c r="M114" s="12">
        <f>Population!$C$12</f>
        <v>3.0312000000000006</v>
      </c>
      <c r="N114" s="12">
        <f t="shared" si="61"/>
        <v>1.3833346151021515</v>
      </c>
      <c r="O114" s="12">
        <f>I114/B114</f>
        <v>0.20136518771331058</v>
      </c>
      <c r="P114" s="12">
        <f>B114-I114-Q114*2</f>
        <v>150.07906551948693</v>
      </c>
      <c r="Q114" s="12">
        <f t="shared" si="41"/>
        <v>41.960467240256534</v>
      </c>
      <c r="R114" s="12">
        <f t="shared" si="62"/>
        <v>32.079912779358125</v>
      </c>
      <c r="S114" s="12">
        <f>SUM(AR114:AR114)/B114</f>
        <v>0.1097064294942111</v>
      </c>
      <c r="T114" s="12">
        <f t="shared" si="63"/>
        <v>0.89277589872886243</v>
      </c>
      <c r="U114" s="12">
        <f>Population!$B$17*MIN(Y113:Z113)</f>
        <v>1.4386873593093643</v>
      </c>
      <c r="V114" s="12">
        <f>X113*Population!$B$18</f>
        <v>0.25171730500019845</v>
      </c>
      <c r="W114" s="12">
        <f>AN113*T113*Population!$B$16</f>
        <v>1.1793869807523718</v>
      </c>
      <c r="X114" s="12">
        <f t="shared" si="64"/>
        <v>41.960467240256534</v>
      </c>
      <c r="Y114" s="14">
        <f t="shared" si="65"/>
        <v>5.7557516213174367</v>
      </c>
      <c r="Z114" s="13">
        <f t="shared" si="66"/>
        <v>5.7557516213174367</v>
      </c>
      <c r="AA114" s="18">
        <f>(G114+Population!$B$15*AA113)*Population!M$33</f>
        <v>19.903353762933175</v>
      </c>
      <c r="AB114" s="18">
        <f>AA113*Population!$B$16*Population!$M$33+AB113*Population!$B$15*Population!$M$34</f>
        <v>19.86843740763695</v>
      </c>
      <c r="AC114" s="14">
        <f>(AB113*Population!$B$16*0.5*Population!$M$34)+(AC113*Population!$B$15*Population!M$35)</f>
        <v>9.8754565017143516</v>
      </c>
      <c r="AD114" s="13">
        <f>(AB113*Population!$B$16*0.5*Population!$M$34)+(AD113*Population!$B$15*Population!M$35)</f>
        <v>9.8754565017143516</v>
      </c>
      <c r="AE114" s="14">
        <f>(AC113*Population!$B$16*Population!M$35)+(AE113*Population!$B$15*Population!M$37)</f>
        <v>9.8096015528433842</v>
      </c>
      <c r="AF114" s="13">
        <f>(AD113*Population!$B$16*Population!M$35)+(AF113*Population!$B$15*Population!M$37)</f>
        <v>9.8096015528433842</v>
      </c>
      <c r="AG114" s="14">
        <f>(AE113*Population!$B$16*Population!M$37)+(AG113*Population!$B$15*Population!M$39)</f>
        <v>9.6871345970062332</v>
      </c>
      <c r="AH114" s="13">
        <f>(AF113*Population!$B$16*Population!M$37)+(AH113*Population!$B$15*Population!M$39)</f>
        <v>9.6871345970062332</v>
      </c>
      <c r="AI114" s="14">
        <f>(AG113*Population!$B$16*Population!M$39)+(AI113*Population!$B$15*Population!M$41)</f>
        <v>9.5532907672955645</v>
      </c>
      <c r="AJ114" s="13">
        <f>(AH113*Population!$B$16*Population!M$39)+(AJ113*Population!$B$15*Population!M$41)</f>
        <v>9.5532907672955645</v>
      </c>
      <c r="AK114" s="14">
        <f>(AI113*Population!$B$16*Population!M$41)+(AK113*Population!$B$15*Population!M$43)</f>
        <v>9.4120984588893233</v>
      </c>
      <c r="AL114" s="13">
        <f>(AJ113*Population!$B$16*Population!M$41)+(AL113*Population!$B$15*Population!M$43)</f>
        <v>9.4120984588893233</v>
      </c>
      <c r="AM114" s="14">
        <f>(AK113*Population!$B$16*Population!M$43)+(AM113*Population!$B$15*Population!M$45)</f>
        <v>9.2540934855394656</v>
      </c>
      <c r="AN114" s="13">
        <f>(AL113*Population!$B$16*Population!M$43)+(AN113*Population!$B$15*Population!M$45)</f>
        <v>9.2540934855394656</v>
      </c>
      <c r="AO114" s="15">
        <f>(AM113+AN113)*Population!$B$16*Population!$M$45+AO113*Population!$B$15*Population!$M$47</f>
        <v>17.584664915342785</v>
      </c>
      <c r="AP114" s="5">
        <f>AO113*Population!M$47*Population!$B$16+AP113*Population!$B$15*Population!M$48</f>
        <v>16.543626156316961</v>
      </c>
      <c r="AQ114" s="5">
        <f>AP113*Population!M$48*Population!$B$16+AQ113*Population!$B$15*Population!M$49</f>
        <v>12.45056073478302</v>
      </c>
      <c r="AR114" s="5">
        <f>(AQ113*Population!$B$16+AR113)*Population!M$50</f>
        <v>32.143983841803852</v>
      </c>
      <c r="AS114">
        <f>AS113*(1-Population!$B$12)+M114</f>
        <v>60</v>
      </c>
    </row>
    <row r="115" spans="1:45">
      <c r="A115">
        <f>A114+Population!$B$2</f>
        <v>112</v>
      </c>
      <c r="B115" s="117">
        <f t="shared" si="35"/>
        <v>293</v>
      </c>
      <c r="C115" s="59">
        <f t="shared" si="36"/>
        <v>152</v>
      </c>
      <c r="D115" s="12">
        <f>AD114*Population!$P$36*Population!$C$2+AF114*Population!$P$38*Population!$C$2+AH114*Population!$P$40*Population!$C$2+AJ114*Population!$P$42*Population!$C$2+AL114*Population!$P$44*Population!$C$2+AN113*Population!$P$46*Population!$C$2</f>
        <v>3.2160769999411984</v>
      </c>
      <c r="E115" s="12">
        <f>IF(B114&gt;Population!$B$6*Population!$B$19,Population!$B$11,IF(Population!$J$6=1,D115,Population!$B$11*Population!$B$6*0.9/B114))</f>
        <v>2.8514203965783622</v>
      </c>
      <c r="F115" s="12">
        <f>IF(B114&gt;Population!$B$6*0.75,Population!$B$11,E115)</f>
        <v>2.8514203965783622</v>
      </c>
      <c r="G115" s="15">
        <f>IF(Population!$J$6=1,IF(E115&gt;H114,H114,E115),IF(E115&gt;X114,X114,E115))</f>
        <v>2.8514203965783622</v>
      </c>
      <c r="H115" s="15">
        <f t="shared" si="58"/>
        <v>47</v>
      </c>
      <c r="I115" s="15">
        <f t="shared" si="59"/>
        <v>59</v>
      </c>
      <c r="J115" s="12">
        <f t="shared" si="60"/>
        <v>1.2553191489361701</v>
      </c>
      <c r="K115" s="12">
        <f>AA115*Population!$O$33+AB115*Population!$O$34+AC115*Population!$O$35+AD115*Population!$O$36+AE115*Population!$O$37+AF115*Population!$O$38+AG115*Population!$O$39+AH115*Population!$O$40+AI115*Population!$O$41+AJ115*Population!$O$42+AK115*Population!$O$41+AL115*Population!$O$42+AM115*Population!$O$43+AN115*Population!$O$44+AO115*Population!$O$45+AP115*Population!$O$46+AQ115*Population!$O$47+AR115*Population!$O$48</f>
        <v>0.58526258483898896</v>
      </c>
      <c r="L115" s="12">
        <f t="shared" si="39"/>
        <v>6.0668519076135366E-2</v>
      </c>
      <c r="M115" s="12">
        <f>Population!$C$12</f>
        <v>3.0312000000000006</v>
      </c>
      <c r="N115" s="12">
        <f t="shared" si="61"/>
        <v>1.3833826802299789</v>
      </c>
      <c r="O115" s="12">
        <f>I115/B115</f>
        <v>0.20136518771331058</v>
      </c>
      <c r="P115" s="12">
        <f>B115-I115-Q115*2</f>
        <v>150.06523863813226</v>
      </c>
      <c r="Q115" s="12">
        <f t="shared" si="41"/>
        <v>41.967380680933871</v>
      </c>
      <c r="R115" s="12">
        <f t="shared" si="62"/>
        <v>32.143983841803852</v>
      </c>
      <c r="S115" s="12">
        <f>SUM(AR115:AR115)/B115</f>
        <v>0.10992786292212249</v>
      </c>
      <c r="T115" s="12">
        <f t="shared" si="63"/>
        <v>0.89292299321135893</v>
      </c>
      <c r="U115" s="12">
        <f>Population!$B$17*MIN(Y114:Z114)</f>
        <v>1.4389379053293592</v>
      </c>
      <c r="V115" s="12">
        <f>X114*Population!$B$18</f>
        <v>0.25176280344153923</v>
      </c>
      <c r="W115" s="12">
        <f>AN114*T114*Population!$B$16</f>
        <v>1.1802616612104868</v>
      </c>
      <c r="X115" s="12">
        <f t="shared" si="64"/>
        <v>41.967380680933871</v>
      </c>
      <c r="Y115" s="14">
        <f t="shared" si="65"/>
        <v>5.7566688630733296</v>
      </c>
      <c r="Z115" s="13">
        <f t="shared" si="66"/>
        <v>5.7566688630733296</v>
      </c>
      <c r="AA115" s="18">
        <f>(G115+Population!$B$15*AA114)*Population!M$33</f>
        <v>19.903353863873431</v>
      </c>
      <c r="AB115" s="18">
        <f>AA114*Population!$B$16*Population!$M$33+AB114*Population!$B$15*Population!$M$34</f>
        <v>19.868439293803831</v>
      </c>
      <c r="AC115" s="14">
        <f>(AB114*Population!$B$16*0.5*Population!$M$34)+(AC114*Population!$B$15*Population!M$35)</f>
        <v>9.8754649506599179</v>
      </c>
      <c r="AD115" s="13">
        <f>(AB114*Population!$B$16*0.5*Population!$M$34)+(AD114*Population!$B$15*Population!M$35)</f>
        <v>9.8754649506599179</v>
      </c>
      <c r="AE115" s="14">
        <f>(AC114*Population!$B$16*Population!M$35)+(AE114*Population!$B$15*Population!M$37)</f>
        <v>9.8096518867213369</v>
      </c>
      <c r="AF115" s="13">
        <f>(AD114*Population!$B$16*Population!M$35)+(AF114*Population!$B$15*Population!M$37)</f>
        <v>9.8096518867213369</v>
      </c>
      <c r="AG115" s="14">
        <f>(AE114*Population!$B$16*Population!M$37)+(AG114*Population!$B$15*Population!M$39)</f>
        <v>9.6873521134347733</v>
      </c>
      <c r="AH115" s="13">
        <f>(AF114*Population!$B$16*Population!M$37)+(AH114*Population!$B$15*Population!M$39)</f>
        <v>9.6873521134347733</v>
      </c>
      <c r="AI115" s="14">
        <f>(AG114*Population!$B$16*Population!M$39)+(AI114*Population!$B$15*Population!M$41)</f>
        <v>9.5540322846734469</v>
      </c>
      <c r="AJ115" s="13">
        <f>(AH114*Population!$B$16*Population!M$39)+(AJ114*Population!$B$15*Population!M$41)</f>
        <v>9.5540322846734469</v>
      </c>
      <c r="AK115" s="14">
        <f>(AI114*Population!$B$16*Population!M$41)+(AK114*Population!$B$15*Population!M$43)</f>
        <v>9.4141588325874128</v>
      </c>
      <c r="AL115" s="13">
        <f>(AJ114*Population!$B$16*Population!M$41)+(AL114*Population!$B$15*Population!M$43)</f>
        <v>9.4141588325874128</v>
      </c>
      <c r="AM115" s="14">
        <f>(AK114*Population!$B$16*Population!M$43)+(AM114*Population!$B$15*Population!M$45)</f>
        <v>9.2588544265902328</v>
      </c>
      <c r="AN115" s="13">
        <f>(AL114*Population!$B$16*Population!M$43)+(AN114*Population!$B$15*Population!M$45)</f>
        <v>9.2588544265902328</v>
      </c>
      <c r="AO115" s="15">
        <f>(AM114+AN114)*Population!$B$16*Population!$M$45+AO114*Population!$B$15*Population!$M$47</f>
        <v>17.602243974333394</v>
      </c>
      <c r="AP115" s="5">
        <f>AO114*Population!M$47*Population!$B$16+AP114*Population!$B$15*Population!M$48</f>
        <v>16.571326470686934</v>
      </c>
      <c r="AQ115" s="5">
        <f>AP114*Population!M$48*Population!$B$16+AQ114*Population!$B$15*Population!M$49</f>
        <v>12.479005043636336</v>
      </c>
      <c r="AR115" s="5">
        <f>(AQ114*Population!$B$16+AR114)*Population!M$50</f>
        <v>32.208863836181891</v>
      </c>
      <c r="AS115">
        <f>AS114*(1-Population!$B$12)+M115</f>
        <v>60</v>
      </c>
    </row>
  </sheetData>
  <mergeCells count="6">
    <mergeCell ref="AI1:AJ1"/>
    <mergeCell ref="AK1:AL1"/>
    <mergeCell ref="AM1:AN1"/>
    <mergeCell ref="AC1:AD1"/>
    <mergeCell ref="AE1:AF1"/>
    <mergeCell ref="AG1:AH1"/>
  </mergeCells>
  <pageMargins left="0.7" right="0.7" top="0.75" bottom="0.75" header="0.3" footer="0.3"/>
  <pageSetup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2313F-8851-C54C-99BB-2F5A73C6B364}">
  <sheetPr>
    <pageSetUpPr fitToPage="1"/>
  </sheetPr>
  <dimension ref="A1:J44"/>
  <sheetViews>
    <sheetView topLeftCell="A2" workbookViewId="0">
      <selection activeCell="D10" sqref="D10"/>
    </sheetView>
  </sheetViews>
  <sheetFormatPr baseColWidth="10" defaultRowHeight="16"/>
  <cols>
    <col min="1" max="1" width="19.1640625" bestFit="1" customWidth="1"/>
    <col min="2" max="2" width="22.1640625" bestFit="1" customWidth="1"/>
    <col min="3" max="3" width="4.6640625" customWidth="1"/>
    <col min="4" max="4" width="20.5" style="122" bestFit="1" customWidth="1"/>
    <col min="5" max="5" width="16.33203125" style="123" bestFit="1" customWidth="1"/>
    <col min="6" max="6" width="20.5" style="122" bestFit="1" customWidth="1"/>
    <col min="7" max="7" width="16.33203125" style="123" bestFit="1" customWidth="1"/>
  </cols>
  <sheetData>
    <row r="1" spans="1:8">
      <c r="A1" t="s">
        <v>638</v>
      </c>
      <c r="D1" s="120">
        <f>Population!B7</f>
        <v>300</v>
      </c>
      <c r="E1" s="121"/>
      <c r="F1" s="120">
        <f>Vehicle!B25</f>
        <v>194</v>
      </c>
      <c r="G1" s="121"/>
      <c r="H1" t="s">
        <v>868</v>
      </c>
    </row>
    <row r="2" spans="1:8">
      <c r="D2" s="163" t="s">
        <v>871</v>
      </c>
      <c r="E2" s="164"/>
      <c r="F2" s="163" t="s">
        <v>822</v>
      </c>
      <c r="G2" s="164"/>
    </row>
    <row r="3" spans="1:8">
      <c r="A3" t="s">
        <v>637</v>
      </c>
      <c r="C3" t="s">
        <v>37</v>
      </c>
      <c r="D3" s="122" t="s">
        <v>665</v>
      </c>
      <c r="E3" s="123" t="s">
        <v>38</v>
      </c>
      <c r="F3" s="122" t="s">
        <v>665</v>
      </c>
      <c r="G3" s="123" t="s">
        <v>38</v>
      </c>
      <c r="H3">
        <f>E9</f>
        <v>231</v>
      </c>
    </row>
    <row r="4" spans="1:8">
      <c r="A4" t="s">
        <v>865</v>
      </c>
      <c r="D4" s="122">
        <f>D1*Population!K32</f>
        <v>60</v>
      </c>
    </row>
    <row r="5" spans="1:8">
      <c r="A5" t="s">
        <v>644</v>
      </c>
      <c r="D5" s="122">
        <f>SUM(D6:D8)</f>
        <v>77</v>
      </c>
      <c r="F5" s="124">
        <f>SUM(F6:F8)</f>
        <v>0</v>
      </c>
    </row>
    <row r="6" spans="1:8">
      <c r="A6" t="s">
        <v>48</v>
      </c>
      <c r="B6">
        <f>100000*0.25</f>
        <v>25000</v>
      </c>
      <c r="D6" s="122">
        <f>CEILING(AVERAGE('Population Model'!I:I),1)</f>
        <v>52</v>
      </c>
      <c r="F6" s="122">
        <f>'Population Model'!I3</f>
        <v>0</v>
      </c>
    </row>
    <row r="7" spans="1:8">
      <c r="A7" t="s">
        <v>643</v>
      </c>
      <c r="B7">
        <f>CEILING(B6/18,1)</f>
        <v>1389</v>
      </c>
      <c r="D7" s="122">
        <f>CEILING(AVERAGE('Population Model'!G:G),1)</f>
        <v>3</v>
      </c>
      <c r="F7" s="124">
        <f>'Population Model'!G3</f>
        <v>0</v>
      </c>
    </row>
    <row r="8" spans="1:8">
      <c r="A8" t="s">
        <v>639</v>
      </c>
      <c r="B8">
        <f>100000*0.15</f>
        <v>15000</v>
      </c>
      <c r="D8" s="122">
        <f>CEILING(AVERAGE('Population Model'!S:S)*D1,1)</f>
        <v>22</v>
      </c>
      <c r="F8" s="122">
        <f>CEILING(0*F1,1)</f>
        <v>0</v>
      </c>
    </row>
    <row r="9" spans="1:8">
      <c r="A9" t="s">
        <v>640</v>
      </c>
      <c r="D9" s="122">
        <f>D1-SUM(D6:D8)</f>
        <v>223</v>
      </c>
      <c r="E9" s="123">
        <f>SUM(D10:D12)</f>
        <v>231</v>
      </c>
      <c r="F9" s="124">
        <f>F1-SUM(F6:F8)</f>
        <v>194</v>
      </c>
      <c r="G9" s="123">
        <f>SUM(F10:F12)</f>
        <v>194</v>
      </c>
    </row>
    <row r="10" spans="1:8">
      <c r="A10" t="s">
        <v>640</v>
      </c>
      <c r="B10" t="s">
        <v>628</v>
      </c>
      <c r="D10" s="122">
        <f>CEILING(SUM(E16:E25),1)</f>
        <v>39</v>
      </c>
      <c r="F10" s="122">
        <f>CEILING(SUM(G16:G25),1)</f>
        <v>27</v>
      </c>
    </row>
    <row r="11" spans="1:8">
      <c r="A11" t="s">
        <v>640</v>
      </c>
      <c r="B11" t="s">
        <v>648</v>
      </c>
      <c r="D11" s="122">
        <f>D30</f>
        <v>105</v>
      </c>
      <c r="F11" s="122">
        <f>F30</f>
        <v>75</v>
      </c>
    </row>
    <row r="12" spans="1:8">
      <c r="A12" t="s">
        <v>640</v>
      </c>
      <c r="B12" t="s">
        <v>647</v>
      </c>
      <c r="D12" s="122">
        <f>E38</f>
        <v>87</v>
      </c>
      <c r="F12" s="122">
        <f>G38</f>
        <v>92</v>
      </c>
    </row>
    <row r="13" spans="1:8">
      <c r="A13" t="s">
        <v>640</v>
      </c>
      <c r="B13" t="s">
        <v>514</v>
      </c>
    </row>
    <row r="15" spans="1:8">
      <c r="A15" t="s">
        <v>649</v>
      </c>
      <c r="B15" t="s">
        <v>636</v>
      </c>
      <c r="E15" s="123">
        <f>SUM(E16:E26)</f>
        <v>39</v>
      </c>
      <c r="G15" s="123">
        <f>SUM(G16:G26)</f>
        <v>27</v>
      </c>
    </row>
    <row r="16" spans="1:8">
      <c r="A16" t="s">
        <v>634</v>
      </c>
      <c r="B16">
        <v>1419</v>
      </c>
      <c r="D16" s="122">
        <f>FLOOR(B16/100000*$D$1,0.1)</f>
        <v>4.2</v>
      </c>
      <c r="E16" s="123">
        <f>IF(D16&gt;C16,FLOOR(D16,1),C16)</f>
        <v>4</v>
      </c>
      <c r="F16" s="122">
        <f>FLOOR(B16/100000*$F$1,0.1)</f>
        <v>2.7</v>
      </c>
      <c r="G16" s="123">
        <f>IF(F16&gt;C16,FLOOR(F16,1),C16)</f>
        <v>2</v>
      </c>
      <c r="H16" t="s">
        <v>659</v>
      </c>
    </row>
    <row r="17" spans="1:10">
      <c r="A17" t="s">
        <v>633</v>
      </c>
      <c r="B17">
        <v>568</v>
      </c>
      <c r="D17" s="122">
        <f t="shared" ref="D17:D26" si="0">FLOOR(B17/100000*$D$1,0.1)</f>
        <v>1.7000000000000002</v>
      </c>
      <c r="E17" s="123">
        <f t="shared" ref="E17:E28" si="1">IF(D17&gt;C17,FLOOR(D17,1),C17)</f>
        <v>1</v>
      </c>
      <c r="F17" s="122">
        <f t="shared" ref="F17:F26" si="2">FLOOR(B17/100000*$F$1,0.1)</f>
        <v>1.1000000000000001</v>
      </c>
      <c r="G17" s="123">
        <f t="shared" ref="G17:G26" si="3">IF(F17&gt;C17,FLOOR(F17,1),C17)</f>
        <v>1</v>
      </c>
      <c r="H17" t="s">
        <v>659</v>
      </c>
    </row>
    <row r="18" spans="1:10">
      <c r="A18" t="s">
        <v>631</v>
      </c>
      <c r="B18">
        <v>508</v>
      </c>
      <c r="D18" s="122">
        <f t="shared" si="0"/>
        <v>1.5</v>
      </c>
      <c r="E18" s="123">
        <f t="shared" si="1"/>
        <v>1</v>
      </c>
      <c r="F18" s="122">
        <f t="shared" si="2"/>
        <v>0.9</v>
      </c>
      <c r="G18" s="123">
        <f t="shared" si="3"/>
        <v>0</v>
      </c>
      <c r="H18" t="s">
        <v>659</v>
      </c>
    </row>
    <row r="19" spans="1:10">
      <c r="A19" t="s">
        <v>642</v>
      </c>
      <c r="B19">
        <f>FLOOR(B6*(18-4)/(18*12),1)</f>
        <v>1620</v>
      </c>
      <c r="C19">
        <v>1</v>
      </c>
      <c r="D19" s="122">
        <f t="shared" si="0"/>
        <v>4.8000000000000007</v>
      </c>
      <c r="E19" s="123">
        <f t="shared" si="1"/>
        <v>4</v>
      </c>
      <c r="F19" s="122">
        <f t="shared" si="2"/>
        <v>3.1</v>
      </c>
      <c r="G19" s="123">
        <f t="shared" si="3"/>
        <v>3</v>
      </c>
      <c r="H19" t="s">
        <v>645</v>
      </c>
    </row>
    <row r="20" spans="1:10">
      <c r="A20" t="s">
        <v>660</v>
      </c>
      <c r="B20">
        <v>300</v>
      </c>
      <c r="C20">
        <v>1</v>
      </c>
      <c r="D20" s="122">
        <f t="shared" si="0"/>
        <v>0.9</v>
      </c>
      <c r="E20" s="123">
        <f t="shared" ref="E20" si="4">IF(D20&gt;C20,FLOOR(D20,1),C20)</f>
        <v>1</v>
      </c>
      <c r="F20" s="122">
        <f t="shared" si="2"/>
        <v>0.5</v>
      </c>
      <c r="G20" s="123">
        <f t="shared" si="3"/>
        <v>1</v>
      </c>
      <c r="H20" t="s">
        <v>862</v>
      </c>
      <c r="J20" t="s">
        <v>661</v>
      </c>
    </row>
    <row r="21" spans="1:10">
      <c r="A21" t="s">
        <v>635</v>
      </c>
      <c r="B21">
        <v>667</v>
      </c>
      <c r="D21" s="122">
        <f t="shared" si="0"/>
        <v>2</v>
      </c>
      <c r="E21" s="123">
        <f t="shared" si="1"/>
        <v>2</v>
      </c>
      <c r="F21" s="122">
        <f t="shared" si="2"/>
        <v>1.2000000000000002</v>
      </c>
      <c r="G21" s="123">
        <f t="shared" si="3"/>
        <v>1</v>
      </c>
      <c r="H21" t="s">
        <v>659</v>
      </c>
    </row>
    <row r="22" spans="1:10">
      <c r="A22" t="s">
        <v>627</v>
      </c>
      <c r="B22">
        <v>95</v>
      </c>
      <c r="C22">
        <v>8</v>
      </c>
      <c r="D22" s="122">
        <f t="shared" si="0"/>
        <v>0.2</v>
      </c>
      <c r="E22" s="123">
        <f t="shared" si="1"/>
        <v>8</v>
      </c>
      <c r="F22" s="122">
        <f t="shared" si="2"/>
        <v>0.1</v>
      </c>
      <c r="G22" s="123">
        <f t="shared" si="3"/>
        <v>8</v>
      </c>
      <c r="H22" t="s">
        <v>650</v>
      </c>
    </row>
    <row r="23" spans="1:10">
      <c r="A23" t="s">
        <v>630</v>
      </c>
      <c r="B23">
        <v>3594</v>
      </c>
      <c r="D23" s="122">
        <f t="shared" si="0"/>
        <v>10.700000000000001</v>
      </c>
      <c r="E23" s="123">
        <f t="shared" si="1"/>
        <v>10</v>
      </c>
      <c r="F23" s="122">
        <f t="shared" si="2"/>
        <v>6.9</v>
      </c>
      <c r="G23" s="123">
        <f t="shared" si="3"/>
        <v>6</v>
      </c>
      <c r="H23" t="s">
        <v>659</v>
      </c>
    </row>
    <row r="24" spans="1:10">
      <c r="A24" t="s">
        <v>651</v>
      </c>
      <c r="B24">
        <f>FLOOR(B6*0.4*4/18,1)</f>
        <v>2222</v>
      </c>
      <c r="D24" s="122">
        <f t="shared" si="0"/>
        <v>6.6000000000000005</v>
      </c>
      <c r="E24" s="123">
        <f t="shared" ref="E24" si="5">IF(D24&gt;C24,FLOOR(D24,1),C24)</f>
        <v>6</v>
      </c>
      <c r="F24" s="122">
        <f t="shared" si="2"/>
        <v>4.3</v>
      </c>
      <c r="G24" s="123">
        <f t="shared" si="3"/>
        <v>4</v>
      </c>
      <c r="H24" t="s">
        <v>652</v>
      </c>
    </row>
    <row r="25" spans="1:10">
      <c r="A25" t="s">
        <v>632</v>
      </c>
      <c r="B25">
        <v>681</v>
      </c>
      <c r="D25" s="122">
        <f t="shared" si="0"/>
        <v>2</v>
      </c>
      <c r="E25" s="123">
        <f t="shared" si="1"/>
        <v>2</v>
      </c>
      <c r="F25" s="122">
        <f t="shared" si="2"/>
        <v>1.3</v>
      </c>
      <c r="G25" s="123">
        <f t="shared" si="3"/>
        <v>1</v>
      </c>
      <c r="H25" t="s">
        <v>659</v>
      </c>
    </row>
    <row r="26" spans="1:10">
      <c r="A26" t="s">
        <v>740</v>
      </c>
      <c r="B26" s="103">
        <f>1999474/144898471*1000</f>
        <v>13.799138018509526</v>
      </c>
      <c r="C26">
        <v>0</v>
      </c>
      <c r="D26" s="122">
        <f t="shared" si="0"/>
        <v>0</v>
      </c>
      <c r="E26" s="123">
        <f t="shared" ref="E26" si="6">IF(D26&gt;C26,FLOOR(D26,1),C26)</f>
        <v>0</v>
      </c>
      <c r="F26" s="122">
        <f t="shared" si="2"/>
        <v>0</v>
      </c>
      <c r="G26" s="123">
        <f t="shared" si="3"/>
        <v>0</v>
      </c>
      <c r="H26" t="s">
        <v>741</v>
      </c>
    </row>
    <row r="27" spans="1:10">
      <c r="B27" s="51"/>
    </row>
    <row r="28" spans="1:10">
      <c r="A28" t="s">
        <v>646</v>
      </c>
      <c r="B28">
        <v>300</v>
      </c>
      <c r="D28" s="122">
        <f>FLOOR(B28/100000*$D$1,0.1)</f>
        <v>0.9</v>
      </c>
      <c r="E28" s="123">
        <f t="shared" si="1"/>
        <v>0</v>
      </c>
      <c r="F28" s="122">
        <f>FLOOR(D28/100000*$D$1,0.1)</f>
        <v>0</v>
      </c>
      <c r="G28" s="123">
        <f t="shared" ref="G28" si="7">IF(F28&gt;E28,FLOOR(F28,1),E28)</f>
        <v>0</v>
      </c>
      <c r="H28" t="s">
        <v>659</v>
      </c>
    </row>
    <row r="30" spans="1:10">
      <c r="B30" t="s">
        <v>658</v>
      </c>
      <c r="D30" s="122">
        <f>SUM(D31:D35)</f>
        <v>105</v>
      </c>
      <c r="F30" s="122">
        <f>SUM(F31:F35)</f>
        <v>75</v>
      </c>
    </row>
    <row r="31" spans="1:10">
      <c r="A31" t="s">
        <v>721</v>
      </c>
      <c r="D31" s="122">
        <f>Automation!C4</f>
        <v>3</v>
      </c>
      <c r="E31" s="123">
        <f>D31</f>
        <v>3</v>
      </c>
      <c r="F31" s="122">
        <f>Automation!C4</f>
        <v>3</v>
      </c>
      <c r="G31" s="123">
        <f>F31</f>
        <v>3</v>
      </c>
    </row>
    <row r="32" spans="1:10">
      <c r="A32" t="s">
        <v>666</v>
      </c>
      <c r="D32" s="122">
        <f>CEILING((D31+D33)*0.05,1)</f>
        <v>5</v>
      </c>
      <c r="E32" s="123">
        <f t="shared" ref="E32:E35" si="8">D32</f>
        <v>5</v>
      </c>
      <c r="F32" s="122">
        <f>CEILING((F31+F33)*0.05,1)</f>
        <v>4</v>
      </c>
      <c r="G32" s="123">
        <f t="shared" ref="G32:G35" si="9">F32</f>
        <v>4</v>
      </c>
    </row>
    <row r="33" spans="1:8">
      <c r="A33" t="s">
        <v>656</v>
      </c>
      <c r="D33" s="122">
        <f>Automation!C3</f>
        <v>87</v>
      </c>
      <c r="E33" s="123">
        <f t="shared" si="8"/>
        <v>87</v>
      </c>
      <c r="F33" s="122">
        <f>CEILING(Automation!C3*0.75,1)</f>
        <v>66</v>
      </c>
      <c r="G33" s="123">
        <f t="shared" si="9"/>
        <v>66</v>
      </c>
      <c r="H33" t="s">
        <v>657</v>
      </c>
    </row>
    <row r="34" spans="1:8" ht="18" customHeight="1">
      <c r="A34" t="s">
        <v>641</v>
      </c>
      <c r="D34" s="122">
        <f>CEILING(SUM(D31:D33)*0.05,1)</f>
        <v>5</v>
      </c>
      <c r="E34" s="123">
        <f t="shared" si="8"/>
        <v>5</v>
      </c>
      <c r="F34" s="122">
        <f>CEILING(SUM(F31:F33)*0.001,1)</f>
        <v>1</v>
      </c>
      <c r="G34" s="123">
        <f t="shared" si="9"/>
        <v>1</v>
      </c>
    </row>
    <row r="35" spans="1:8" ht="18" customHeight="1">
      <c r="A35" t="s">
        <v>653</v>
      </c>
      <c r="D35" s="122">
        <f>CEILING(SUM(D31:D34)*0.05,1)</f>
        <v>5</v>
      </c>
      <c r="E35" s="123">
        <f t="shared" si="8"/>
        <v>5</v>
      </c>
      <c r="F35" s="122">
        <f>CEILING(SUM(F31:F34)*0.001,1)</f>
        <v>1</v>
      </c>
      <c r="G35" s="123">
        <f t="shared" si="9"/>
        <v>1</v>
      </c>
    </row>
    <row r="37" spans="1:8">
      <c r="B37" t="s">
        <v>658</v>
      </c>
      <c r="D37" s="122">
        <f>SUM(D39:D44)</f>
        <v>85</v>
      </c>
      <c r="F37" s="122">
        <f>SUM(F39:F44)</f>
        <v>90.5</v>
      </c>
    </row>
    <row r="38" spans="1:8">
      <c r="A38" t="s">
        <v>647</v>
      </c>
      <c r="B38">
        <f>SUM(B39:B44)</f>
        <v>1.375</v>
      </c>
      <c r="C38">
        <f>SUM(C39:C43)</f>
        <v>43</v>
      </c>
      <c r="D38" s="122">
        <f>C38*2</f>
        <v>86</v>
      </c>
      <c r="E38" s="123">
        <f>SUM(E39:E44)</f>
        <v>87</v>
      </c>
      <c r="F38" s="122">
        <f>CEILING(F9-F10-F11,1)</f>
        <v>92</v>
      </c>
      <c r="G38" s="123">
        <f>SUM(G39:G44)</f>
        <v>92</v>
      </c>
    </row>
    <row r="39" spans="1:8" ht="17">
      <c r="A39" t="s">
        <v>663</v>
      </c>
      <c r="B39" s="89">
        <v>0.05</v>
      </c>
      <c r="C39" s="89">
        <v>3</v>
      </c>
      <c r="D39" s="122">
        <f>$C39+FLOOR($B39*($D38-$C38)/$B$38,0.5)</f>
        <v>4.5</v>
      </c>
      <c r="E39" s="123">
        <f>CEILING(D39,1)</f>
        <v>5</v>
      </c>
      <c r="F39" s="122">
        <f>$C39+FLOOR($B39*($F$38-$C$38)/$B$38,0.5)</f>
        <v>4.5</v>
      </c>
      <c r="G39" s="123">
        <f>CEILING(F39,1)</f>
        <v>5</v>
      </c>
    </row>
    <row r="40" spans="1:8">
      <c r="A40" t="s">
        <v>655</v>
      </c>
      <c r="B40">
        <v>0.85</v>
      </c>
      <c r="C40">
        <v>30</v>
      </c>
      <c r="D40" s="122">
        <f>C40+FLOOR(B40*($D$38-$C$38)/$B$38,0.5)</f>
        <v>56.5</v>
      </c>
      <c r="E40" s="123">
        <f t="shared" ref="E40:E44" si="10">CEILING(D40,1)</f>
        <v>57</v>
      </c>
      <c r="F40" s="122">
        <f t="shared" ref="F40:F44" si="11">$C40+FLOOR($B40*($F$38-$C$38)/$B$38,0.5)</f>
        <v>60</v>
      </c>
      <c r="G40" s="123">
        <f t="shared" ref="G40:G44" si="12">CEILING(F40,1)</f>
        <v>60</v>
      </c>
    </row>
    <row r="41" spans="1:8">
      <c r="A41" t="s">
        <v>664</v>
      </c>
      <c r="B41">
        <v>0.1</v>
      </c>
      <c r="C41">
        <v>3</v>
      </c>
      <c r="D41" s="122">
        <f>C41+FLOOR(B41*($D$38-$C$38)/$B$38,0.5)</f>
        <v>6</v>
      </c>
      <c r="E41" s="123">
        <f t="shared" si="10"/>
        <v>6</v>
      </c>
      <c r="F41" s="122">
        <f t="shared" si="11"/>
        <v>6.5</v>
      </c>
      <c r="G41" s="123">
        <f t="shared" si="12"/>
        <v>7</v>
      </c>
    </row>
    <row r="42" spans="1:8">
      <c r="A42" t="s">
        <v>654</v>
      </c>
      <c r="B42">
        <v>0.2</v>
      </c>
      <c r="C42">
        <v>6</v>
      </c>
      <c r="D42" s="122">
        <f>C42+FLOOR(B42*($D$38-$C$38)/$B$38,0.5)</f>
        <v>12</v>
      </c>
      <c r="E42" s="123">
        <f t="shared" si="10"/>
        <v>12</v>
      </c>
      <c r="F42" s="122">
        <f t="shared" si="11"/>
        <v>13</v>
      </c>
      <c r="G42" s="123">
        <f t="shared" si="12"/>
        <v>13</v>
      </c>
    </row>
    <row r="43" spans="1:8">
      <c r="A43" t="s">
        <v>662</v>
      </c>
      <c r="B43">
        <v>0.05</v>
      </c>
      <c r="C43">
        <v>1</v>
      </c>
      <c r="D43" s="122">
        <f>C43+FLOOR(B43*($D$38-$C$38)/$B$38,0.5)</f>
        <v>2.5</v>
      </c>
      <c r="E43" s="123">
        <f t="shared" si="10"/>
        <v>3</v>
      </c>
      <c r="F43" s="122">
        <f t="shared" si="11"/>
        <v>2.5</v>
      </c>
      <c r="G43" s="123">
        <f t="shared" si="12"/>
        <v>3</v>
      </c>
    </row>
    <row r="44" spans="1:8">
      <c r="A44" t="s">
        <v>653</v>
      </c>
      <c r="B44">
        <f>SUM(B39:B43)*0.1</f>
        <v>0.125</v>
      </c>
      <c r="D44" s="122">
        <f>C44+FLOOR(B44*($D$38-$C$38)/$B$38,0.5)</f>
        <v>3.5</v>
      </c>
      <c r="E44" s="123">
        <f t="shared" si="10"/>
        <v>4</v>
      </c>
      <c r="F44" s="122">
        <f t="shared" si="11"/>
        <v>4</v>
      </c>
      <c r="G44" s="123">
        <f t="shared" si="12"/>
        <v>4</v>
      </c>
    </row>
  </sheetData>
  <sortState ref="A29:D41">
    <sortCondition ref="A32:A41"/>
    <sortCondition ref="B32:B41"/>
  </sortState>
  <mergeCells count="2">
    <mergeCell ref="D2:E2"/>
    <mergeCell ref="F2:G2"/>
  </mergeCells>
  <pageMargins left="0.7" right="0.7" top="0.75" bottom="0.75" header="0.3" footer="0.3"/>
  <pageSetup scale="71" orientation="portrait" horizontalDpi="0" verticalDpi="0" copies="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EB479-7E9A-E744-AB82-0BC477E4AC67}">
  <dimension ref="A1"/>
  <sheetViews>
    <sheetView workbookViewId="0"/>
  </sheetViews>
  <sheetFormatPr baseColWidth="10" defaultRowHeight="16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A1AE5-3090-F34A-BB87-7CAFAB9DCFD1}">
  <dimension ref="A1:AF73"/>
  <sheetViews>
    <sheetView topLeftCell="A14" workbookViewId="0">
      <selection activeCell="E37" sqref="E37"/>
    </sheetView>
  </sheetViews>
  <sheetFormatPr baseColWidth="10" defaultRowHeight="16"/>
  <cols>
    <col min="1" max="1" width="22.83203125" bestFit="1" customWidth="1"/>
    <col min="3" max="3" width="13.6640625" bestFit="1" customWidth="1"/>
    <col min="4" max="4" width="12.6640625" bestFit="1" customWidth="1"/>
    <col min="5" max="5" width="12.1640625" bestFit="1" customWidth="1"/>
    <col min="6" max="6" width="11.6640625" bestFit="1" customWidth="1"/>
    <col min="7" max="7" width="12.1640625" bestFit="1" customWidth="1"/>
    <col min="12" max="16" width="7" customWidth="1"/>
    <col min="17" max="17" width="7.5" customWidth="1"/>
    <col min="18" max="19" width="7" customWidth="1"/>
    <col min="20" max="20" width="9.6640625" customWidth="1"/>
    <col min="24" max="24" width="12.1640625" bestFit="1" customWidth="1"/>
  </cols>
  <sheetData>
    <row r="1" spans="1:29">
      <c r="A1" t="s">
        <v>92</v>
      </c>
      <c r="D1" s="3">
        <f>Vehicle!B41*0.000001</f>
        <v>1.6328427817032951</v>
      </c>
      <c r="E1" t="s">
        <v>80</v>
      </c>
    </row>
    <row r="2" spans="1:29">
      <c r="A2" t="s">
        <v>708</v>
      </c>
      <c r="D2">
        <f>Vehicle!E25</f>
        <v>291</v>
      </c>
      <c r="E2" s="7"/>
      <c r="F2" s="7"/>
      <c r="G2" s="7"/>
      <c r="H2" s="7"/>
      <c r="I2" s="7"/>
      <c r="J2" s="7"/>
      <c r="U2" s="7"/>
      <c r="V2" s="7"/>
      <c r="W2" s="7"/>
      <c r="X2" s="7"/>
      <c r="Y2" s="7"/>
      <c r="Z2" s="7"/>
      <c r="AA2" s="7"/>
      <c r="AB2" s="7"/>
      <c r="AC2" s="7"/>
    </row>
    <row r="4" spans="1:29">
      <c r="A4" t="s">
        <v>283</v>
      </c>
    </row>
    <row r="5" spans="1:29">
      <c r="A5" t="s">
        <v>285</v>
      </c>
      <c r="D5">
        <f>180*Conversion!G16</f>
        <v>69.498388800000001</v>
      </c>
      <c r="E5" t="s">
        <v>286</v>
      </c>
    </row>
    <row r="6" spans="1:29">
      <c r="A6" t="s">
        <v>284</v>
      </c>
      <c r="D6">
        <f>D2/D5</f>
        <v>4.1871474292365178</v>
      </c>
      <c r="E6" t="s">
        <v>80</v>
      </c>
      <c r="F6" t="s">
        <v>91</v>
      </c>
    </row>
    <row r="7" spans="1:29">
      <c r="A7" t="s">
        <v>90</v>
      </c>
      <c r="D7">
        <f>C45*0.000001</f>
        <v>1.817111660429908</v>
      </c>
      <c r="E7" t="s">
        <v>80</v>
      </c>
    </row>
    <row r="8" spans="1:29">
      <c r="D8">
        <f>D7*Conversion!D16</f>
        <v>181.71116604299081</v>
      </c>
      <c r="E8" t="s">
        <v>147</v>
      </c>
    </row>
    <row r="10" spans="1:29">
      <c r="A10" t="s">
        <v>243</v>
      </c>
      <c r="D10" t="s">
        <v>571</v>
      </c>
      <c r="E10" t="s">
        <v>442</v>
      </c>
      <c r="F10" t="s">
        <v>441</v>
      </c>
    </row>
    <row r="11" spans="1:29">
      <c r="C11" t="s">
        <v>252</v>
      </c>
      <c r="D11">
        <f>IF(SUM(D12:D15)&gt;G27,0,G27-SUM(D12:D15))</f>
        <v>5.2447664141414165</v>
      </c>
      <c r="E11" s="59">
        <f>Protein!B10</f>
        <v>186164.20318544056</v>
      </c>
    </row>
    <row r="12" spans="1:29">
      <c r="C12" t="s">
        <v>251</v>
      </c>
      <c r="D12">
        <f>H12/2.2</f>
        <v>18.18181818181818</v>
      </c>
      <c r="E12" s="59">
        <f>Cattle!D8</f>
        <v>705682.32</v>
      </c>
      <c r="F12">
        <f>Cattle!C18</f>
        <v>158</v>
      </c>
      <c r="H12" s="7">
        <v>40</v>
      </c>
      <c r="I12" s="67">
        <v>67.8</v>
      </c>
      <c r="J12" s="67" t="s">
        <v>304</v>
      </c>
      <c r="K12" s="67" t="s">
        <v>306</v>
      </c>
      <c r="L12" s="67"/>
    </row>
    <row r="13" spans="1:29">
      <c r="C13" t="s">
        <v>269</v>
      </c>
      <c r="D13">
        <f>H13/2.2</f>
        <v>13.636363636363635</v>
      </c>
      <c r="E13" s="59">
        <f>Protein!B27</f>
        <v>28258.264462809911</v>
      </c>
      <c r="F13">
        <f>SUM(Protein!B19:D19)</f>
        <v>1578.2541322314046</v>
      </c>
      <c r="H13" s="7">
        <v>30</v>
      </c>
      <c r="I13" s="67">
        <v>61.5</v>
      </c>
      <c r="J13" s="67" t="s">
        <v>304</v>
      </c>
      <c r="K13" s="67" t="s">
        <v>305</v>
      </c>
      <c r="L13" s="67"/>
    </row>
    <row r="14" spans="1:29">
      <c r="C14" t="s">
        <v>325</v>
      </c>
      <c r="D14">
        <f>H14/2.2</f>
        <v>4.545454545454545</v>
      </c>
      <c r="E14" s="59">
        <f>Protein!B44</f>
        <v>5726.0920897284514</v>
      </c>
      <c r="F14">
        <f>Protein!B35</f>
        <v>16.796536796536792</v>
      </c>
      <c r="H14" s="7">
        <v>10</v>
      </c>
      <c r="I14" s="67">
        <v>49.8</v>
      </c>
      <c r="J14" s="67" t="s">
        <v>304</v>
      </c>
      <c r="K14" s="67" t="s">
        <v>320</v>
      </c>
      <c r="L14" s="67"/>
    </row>
    <row r="15" spans="1:29">
      <c r="C15" t="s">
        <v>568</v>
      </c>
      <c r="D15">
        <v>18</v>
      </c>
      <c r="E15" s="59">
        <f>Protein!B60</f>
        <v>29281.152731565948</v>
      </c>
    </row>
    <row r="16" spans="1:29">
      <c r="C16" t="s">
        <v>18</v>
      </c>
      <c r="E16" s="3">
        <f>SUM(E12:E14)</f>
        <v>739666.67655253829</v>
      </c>
    </row>
    <row r="17" spans="1:32">
      <c r="C17" t="s">
        <v>508</v>
      </c>
      <c r="E17" s="3">
        <f>SUM(Crops!G4:G119)</f>
        <v>739666.67655253841</v>
      </c>
    </row>
    <row r="19" spans="1:32">
      <c r="B19" t="s">
        <v>253</v>
      </c>
      <c r="D19">
        <v>80</v>
      </c>
      <c r="E19" s="7" t="s">
        <v>148</v>
      </c>
      <c r="F19" s="7"/>
      <c r="G19" s="7"/>
      <c r="H19" s="7"/>
      <c r="I19" s="7"/>
      <c r="J19" s="7"/>
      <c r="U19" s="7"/>
      <c r="V19" s="7"/>
      <c r="W19" s="7"/>
      <c r="X19" s="7"/>
      <c r="Y19" s="7"/>
      <c r="Z19" s="7"/>
      <c r="AA19" s="7"/>
      <c r="AB19" s="7"/>
      <c r="AC19" s="7"/>
    </row>
    <row r="20" spans="1:32">
      <c r="B20" t="s">
        <v>254</v>
      </c>
      <c r="D20">
        <v>1.25E-3</v>
      </c>
      <c r="E20" s="7" t="s">
        <v>256</v>
      </c>
      <c r="F20" s="7" t="s">
        <v>255</v>
      </c>
      <c r="G20" s="7"/>
      <c r="H20" s="7"/>
      <c r="I20" s="7"/>
      <c r="J20" s="7"/>
      <c r="U20" s="7"/>
      <c r="V20" s="7"/>
      <c r="W20" s="7"/>
      <c r="X20" s="7"/>
      <c r="Y20" s="7"/>
      <c r="Z20" s="7"/>
      <c r="AA20" s="7"/>
      <c r="AB20" s="7"/>
      <c r="AC20" s="7"/>
    </row>
    <row r="21" spans="1:32">
      <c r="B21" t="s">
        <v>267</v>
      </c>
      <c r="D21" s="5">
        <f>SUM(AB:AB)+(D19*D20*3020)</f>
        <v>302</v>
      </c>
      <c r="E21" s="7" t="s">
        <v>268</v>
      </c>
      <c r="F21" s="7"/>
      <c r="G21" s="7"/>
      <c r="H21" s="7"/>
      <c r="I21" s="7"/>
      <c r="J21" s="7"/>
      <c r="U21" s="7"/>
      <c r="V21" s="7"/>
      <c r="W21" s="7"/>
      <c r="X21" s="7"/>
      <c r="Y21" s="7"/>
      <c r="Z21" s="7"/>
      <c r="AA21" s="7"/>
      <c r="AB21" s="7"/>
      <c r="AC21" s="7"/>
    </row>
    <row r="22" spans="1:32">
      <c r="D22" s="5"/>
      <c r="E22" s="7"/>
      <c r="F22" s="7"/>
      <c r="G22" s="7"/>
      <c r="H22" s="7"/>
      <c r="I22" s="7"/>
      <c r="J22" s="7"/>
      <c r="U22" s="7"/>
      <c r="V22" s="7"/>
      <c r="W22" s="7"/>
      <c r="X22" s="7"/>
      <c r="Y22" s="7"/>
      <c r="Z22" s="7"/>
      <c r="AA22" s="7"/>
      <c r="AB22" s="7"/>
      <c r="AC22" s="7"/>
    </row>
    <row r="23" spans="1:32">
      <c r="A23" t="s">
        <v>513</v>
      </c>
      <c r="B23" t="s">
        <v>557</v>
      </c>
      <c r="D23" t="s">
        <v>510</v>
      </c>
      <c r="E23" s="7" t="s">
        <v>511</v>
      </c>
      <c r="F23" s="7" t="s">
        <v>562</v>
      </c>
      <c r="G23" s="7" t="s">
        <v>496</v>
      </c>
      <c r="H23" s="7"/>
      <c r="I23" s="7"/>
      <c r="J23" s="7"/>
      <c r="U23" s="7"/>
      <c r="V23" s="7"/>
      <c r="W23" s="7"/>
      <c r="X23" s="7"/>
      <c r="Y23" s="7"/>
      <c r="Z23" s="7"/>
      <c r="AA23" s="7"/>
      <c r="AB23" s="7"/>
      <c r="AC23" s="7"/>
    </row>
    <row r="24" spans="1:32">
      <c r="B24" t="s">
        <v>514</v>
      </c>
      <c r="D24">
        <v>1</v>
      </c>
      <c r="E24" s="7">
        <f>Diet!G5</f>
        <v>54.307692307692307</v>
      </c>
      <c r="F24">
        <v>387</v>
      </c>
      <c r="G24" s="7">
        <f t="shared" ref="G24:G34" si="0">E24/F24*0.1*365.26</f>
        <v>5.1256919101570269</v>
      </c>
      <c r="H24" s="7"/>
      <c r="I24" s="7"/>
      <c r="J24" s="7"/>
      <c r="U24" s="7"/>
      <c r="V24" s="7"/>
      <c r="W24" s="7"/>
      <c r="X24" s="7"/>
      <c r="Y24" s="7"/>
      <c r="Z24" s="7"/>
      <c r="AA24" s="7"/>
      <c r="AB24" s="7"/>
      <c r="AC24" s="7"/>
    </row>
    <row r="25" spans="1:32">
      <c r="B25" t="s">
        <v>515</v>
      </c>
      <c r="D25">
        <v>2</v>
      </c>
      <c r="E25" s="7">
        <f>Diet!H5</f>
        <v>377.57142857142856</v>
      </c>
      <c r="F25">
        <v>387</v>
      </c>
      <c r="G25" s="7">
        <f t="shared" si="0"/>
        <v>35.636108527131782</v>
      </c>
      <c r="H25" s="7"/>
      <c r="I25" s="7" t="s">
        <v>563</v>
      </c>
      <c r="J25" s="7"/>
      <c r="U25" s="7"/>
      <c r="V25" s="7"/>
      <c r="W25" s="7"/>
      <c r="X25" s="7"/>
      <c r="Y25" s="7"/>
      <c r="Z25" s="7"/>
      <c r="AA25" s="7"/>
      <c r="AB25" s="7"/>
      <c r="AC25" s="7"/>
    </row>
    <row r="26" spans="1:32">
      <c r="B26" t="s">
        <v>558</v>
      </c>
      <c r="D26">
        <v>3</v>
      </c>
      <c r="E26" s="7">
        <f>Diet!I5</f>
        <v>666.75</v>
      </c>
      <c r="F26">
        <v>884</v>
      </c>
      <c r="G26" s="7">
        <f t="shared" si="0"/>
        <v>27.549446266968328</v>
      </c>
      <c r="H26" s="7"/>
      <c r="I26" s="7"/>
      <c r="J26" s="7"/>
      <c r="U26" s="7"/>
      <c r="V26" s="7"/>
      <c r="W26" s="7"/>
      <c r="X26" s="7"/>
      <c r="Y26" s="7"/>
      <c r="Z26" s="7"/>
      <c r="AA26" s="7"/>
      <c r="AB26" s="7"/>
      <c r="AC26" s="7"/>
    </row>
    <row r="27" spans="1:32">
      <c r="B27" t="s">
        <v>550</v>
      </c>
      <c r="D27">
        <v>4</v>
      </c>
      <c r="E27" s="7">
        <f>Diet!J5</f>
        <v>470</v>
      </c>
      <c r="F27">
        <v>288</v>
      </c>
      <c r="G27" s="7">
        <f t="shared" si="0"/>
        <v>59.608402777777776</v>
      </c>
      <c r="H27" s="7"/>
      <c r="I27" s="7"/>
      <c r="J27" s="7"/>
      <c r="U27" s="7"/>
      <c r="V27" s="7"/>
      <c r="W27" s="7"/>
      <c r="X27" s="7"/>
      <c r="Y27" s="7"/>
      <c r="Z27" s="7"/>
      <c r="AA27" s="7"/>
      <c r="AB27" s="7"/>
      <c r="AC27" s="7"/>
    </row>
    <row r="28" spans="1:32">
      <c r="B28" t="s">
        <v>551</v>
      </c>
      <c r="D28">
        <v>5</v>
      </c>
      <c r="E28">
        <f>Diet!K5</f>
        <v>358.66666666666669</v>
      </c>
      <c r="F28">
        <v>60</v>
      </c>
      <c r="G28" s="7">
        <f t="shared" si="0"/>
        <v>218.34431111111113</v>
      </c>
      <c r="H28" s="7"/>
      <c r="I28" s="7"/>
      <c r="J28" s="7"/>
      <c r="K28" s="7"/>
      <c r="L28" s="7"/>
      <c r="M28" s="7"/>
      <c r="X28" s="7"/>
      <c r="Y28" s="7"/>
      <c r="Z28" s="7"/>
      <c r="AA28" s="7"/>
      <c r="AB28" s="7"/>
      <c r="AC28" s="7"/>
      <c r="AD28" s="7"/>
      <c r="AE28" s="7"/>
      <c r="AF28" s="7"/>
    </row>
    <row r="29" spans="1:32">
      <c r="B29" t="s">
        <v>552</v>
      </c>
      <c r="D29">
        <v>6</v>
      </c>
      <c r="E29">
        <f>Diet!L5</f>
        <v>219.8</v>
      </c>
      <c r="F29">
        <v>57</v>
      </c>
      <c r="G29" s="7">
        <f t="shared" si="0"/>
        <v>140.84938245614035</v>
      </c>
      <c r="H29" s="7"/>
      <c r="I29" s="7"/>
      <c r="J29" s="7"/>
      <c r="K29" s="7"/>
      <c r="L29" s="7"/>
      <c r="M29" s="7"/>
      <c r="X29" s="7"/>
      <c r="Y29" s="7"/>
      <c r="Z29" s="7"/>
      <c r="AA29" s="7"/>
      <c r="AB29" s="7"/>
      <c r="AC29" s="7"/>
      <c r="AD29" s="7"/>
      <c r="AE29" s="7"/>
      <c r="AF29" s="7"/>
    </row>
    <row r="30" spans="1:32">
      <c r="B30" t="s">
        <v>559</v>
      </c>
      <c r="D30">
        <v>7</v>
      </c>
      <c r="E30">
        <f>Diet!M5</f>
        <v>107.84615384615384</v>
      </c>
      <c r="F30">
        <v>86</v>
      </c>
      <c r="G30" s="7">
        <f t="shared" si="0"/>
        <v>45.804518783542036</v>
      </c>
      <c r="H30" s="7"/>
      <c r="I30" s="7" t="s">
        <v>565</v>
      </c>
      <c r="J30" s="7"/>
      <c r="K30" s="7"/>
      <c r="L30" s="7"/>
      <c r="M30" s="7"/>
      <c r="X30" s="7"/>
      <c r="Y30" s="7"/>
      <c r="Z30" s="7"/>
      <c r="AA30" s="7"/>
      <c r="AB30" s="7"/>
      <c r="AC30" s="7"/>
      <c r="AD30" s="7"/>
      <c r="AE30" s="7"/>
      <c r="AF30" s="7"/>
    </row>
    <row r="31" spans="1:32">
      <c r="B31" t="s">
        <v>554</v>
      </c>
      <c r="D31">
        <v>8</v>
      </c>
      <c r="E31">
        <f>Diet!N5</f>
        <v>43</v>
      </c>
      <c r="F31">
        <v>81</v>
      </c>
      <c r="G31" s="7">
        <f t="shared" si="0"/>
        <v>19.390345679012345</v>
      </c>
      <c r="H31" s="7"/>
      <c r="I31" t="s">
        <v>566</v>
      </c>
      <c r="J31" s="7" t="s">
        <v>561</v>
      </c>
      <c r="K31" s="7"/>
      <c r="L31" s="7"/>
      <c r="M31" s="7"/>
      <c r="X31" s="7"/>
      <c r="Y31" s="7"/>
      <c r="Z31" s="7"/>
      <c r="AA31" s="7"/>
      <c r="AB31" s="7"/>
      <c r="AC31" s="7"/>
      <c r="AD31" s="7"/>
      <c r="AE31" s="7"/>
      <c r="AF31" s="7"/>
    </row>
    <row r="32" spans="1:32">
      <c r="B32" t="s">
        <v>555</v>
      </c>
      <c r="D32">
        <v>9</v>
      </c>
      <c r="E32">
        <f>Diet!O5</f>
        <v>1097.9230769230769</v>
      </c>
      <c r="F32">
        <v>129</v>
      </c>
      <c r="G32" s="7">
        <f t="shared" si="0"/>
        <v>310.87394036970784</v>
      </c>
      <c r="I32" t="s">
        <v>564</v>
      </c>
      <c r="K32" s="7"/>
      <c r="L32" s="7"/>
      <c r="M32" s="7"/>
      <c r="X32" s="7"/>
      <c r="Y32" s="7"/>
      <c r="Z32" s="7"/>
      <c r="AA32" s="7"/>
      <c r="AB32" s="7"/>
      <c r="AC32" s="7"/>
      <c r="AD32" s="7"/>
      <c r="AE32" s="7"/>
      <c r="AF32" s="7"/>
    </row>
    <row r="33" spans="1:32">
      <c r="B33" t="s">
        <v>560</v>
      </c>
      <c r="D33">
        <v>10</v>
      </c>
      <c r="E33">
        <f>Diet!P5</f>
        <v>157</v>
      </c>
      <c r="F33">
        <v>85</v>
      </c>
      <c r="G33" s="7">
        <f t="shared" si="0"/>
        <v>67.465670588235298</v>
      </c>
      <c r="H33" s="7"/>
      <c r="I33" s="7" t="s">
        <v>567</v>
      </c>
      <c r="J33" s="7"/>
      <c r="K33" s="7"/>
      <c r="L33" s="7"/>
      <c r="M33" s="7"/>
      <c r="X33" s="7"/>
      <c r="Y33" s="7"/>
      <c r="Z33" s="7"/>
      <c r="AA33" s="7"/>
      <c r="AB33" s="7"/>
      <c r="AC33" s="7"/>
      <c r="AD33" s="7"/>
      <c r="AE33" s="7"/>
      <c r="AF33" s="7"/>
    </row>
    <row r="34" spans="1:32">
      <c r="B34" t="s">
        <v>572</v>
      </c>
      <c r="D34">
        <v>11</v>
      </c>
      <c r="E34" s="7">
        <f>E27/2</f>
        <v>235</v>
      </c>
      <c r="F34" s="7">
        <f>F26</f>
        <v>884</v>
      </c>
      <c r="G34" s="7">
        <f t="shared" si="0"/>
        <v>9.7099660633484177</v>
      </c>
      <c r="H34" s="7"/>
      <c r="I34" s="7"/>
      <c r="J34" s="7"/>
      <c r="U34" s="7"/>
      <c r="V34" s="7"/>
      <c r="W34" s="7"/>
      <c r="X34" s="7"/>
      <c r="Y34" s="7"/>
      <c r="Z34" s="7"/>
      <c r="AA34" s="7"/>
      <c r="AB34" s="7"/>
      <c r="AC34" s="7"/>
    </row>
    <row r="35" spans="1:32">
      <c r="E35" s="7"/>
      <c r="F35" s="7"/>
      <c r="G35" s="7"/>
      <c r="H35" s="7"/>
      <c r="I35" s="7"/>
      <c r="J35" s="7"/>
      <c r="U35" s="7"/>
      <c r="V35" s="7"/>
      <c r="W35" s="7"/>
      <c r="X35" s="7"/>
      <c r="Y35" s="7"/>
      <c r="Z35" s="7"/>
      <c r="AA35" s="7"/>
      <c r="AB35" s="7"/>
      <c r="AC35" s="7"/>
    </row>
    <row r="36" spans="1:32">
      <c r="A36" t="s">
        <v>314</v>
      </c>
      <c r="D36" t="s">
        <v>316</v>
      </c>
      <c r="E36" s="7" t="s">
        <v>18</v>
      </c>
      <c r="F36" s="7"/>
      <c r="G36" s="7"/>
      <c r="H36" s="7"/>
      <c r="I36" s="7"/>
      <c r="J36" s="7"/>
      <c r="U36" s="7"/>
      <c r="V36" s="7"/>
      <c r="W36" s="7"/>
      <c r="X36" s="7"/>
      <c r="Y36" s="7"/>
      <c r="Z36" s="7"/>
      <c r="AA36" s="7"/>
      <c r="AB36" s="7"/>
      <c r="AC36" s="7"/>
    </row>
    <row r="37" spans="1:32">
      <c r="B37" t="s">
        <v>315</v>
      </c>
      <c r="D37">
        <f>G27</f>
        <v>59.608402777777776</v>
      </c>
      <c r="E37" s="7">
        <f>D37*$D$2</f>
        <v>17346.045208333333</v>
      </c>
      <c r="F37" s="7"/>
      <c r="G37" s="7"/>
      <c r="H37" s="7"/>
      <c r="I37" s="7"/>
      <c r="J37" s="7"/>
      <c r="U37" s="7"/>
      <c r="V37" s="7"/>
      <c r="W37" s="7"/>
      <c r="X37" s="7"/>
      <c r="Y37" s="7"/>
      <c r="Z37" s="7"/>
      <c r="AA37" s="7"/>
      <c r="AB37" s="7"/>
      <c r="AC37" s="7"/>
    </row>
    <row r="38" spans="1:32">
      <c r="B38" t="s">
        <v>317</v>
      </c>
      <c r="D38">
        <f>SUM(Crops!D6:D119)</f>
        <v>1259.7274162917024</v>
      </c>
      <c r="E38" s="58">
        <f>SUM(Crops!F6:F119)</f>
        <v>306098.59055332333</v>
      </c>
      <c r="F38" s="7"/>
      <c r="G38" s="7"/>
      <c r="H38" s="7"/>
      <c r="I38" s="7"/>
      <c r="J38" s="7"/>
      <c r="U38" s="7"/>
      <c r="V38" s="7"/>
      <c r="W38" s="7"/>
      <c r="X38" s="7"/>
      <c r="Y38" s="7"/>
      <c r="Z38" s="7"/>
      <c r="AA38" s="7"/>
      <c r="AB38" s="7"/>
      <c r="AC38" s="7"/>
    </row>
    <row r="39" spans="1:32">
      <c r="A39" t="s">
        <v>318</v>
      </c>
      <c r="C39">
        <v>0.15</v>
      </c>
      <c r="E39" s="7">
        <f>(E37+E42)*C39</f>
        <v>2601.9067812499998</v>
      </c>
      <c r="F39" s="7"/>
      <c r="G39" s="7"/>
      <c r="H39" s="7"/>
      <c r="I39" s="7"/>
      <c r="J39" s="7"/>
      <c r="U39" s="7"/>
      <c r="V39" s="7"/>
      <c r="W39" s="7"/>
      <c r="X39" s="7"/>
      <c r="Y39" s="7"/>
      <c r="Z39" s="7"/>
      <c r="AA39" s="7"/>
      <c r="AB39" s="7"/>
      <c r="AC39" s="7"/>
    </row>
    <row r="40" spans="1:32">
      <c r="A40" t="s">
        <v>744</v>
      </c>
      <c r="E40" s="7">
        <f>(E37+E38)*7</f>
        <v>2264112.4503315967</v>
      </c>
      <c r="F40" s="7"/>
      <c r="G40" s="7" t="s">
        <v>745</v>
      </c>
      <c r="H40" s="7"/>
      <c r="I40" s="7"/>
      <c r="J40" s="7"/>
      <c r="U40" s="7"/>
      <c r="V40" s="7"/>
      <c r="W40" s="7"/>
      <c r="X40" s="7"/>
      <c r="Y40" s="7"/>
      <c r="Z40" s="7"/>
      <c r="AA40" s="7"/>
      <c r="AB40" s="7"/>
      <c r="AC40" s="7"/>
    </row>
    <row r="41" spans="1:32">
      <c r="E41" s="7"/>
      <c r="F41" s="7"/>
      <c r="G41" s="7"/>
      <c r="H41" s="7"/>
      <c r="I41" s="7"/>
      <c r="J41" s="7"/>
      <c r="U41" s="7"/>
      <c r="V41" s="7"/>
      <c r="W41" s="7"/>
      <c r="X41" s="7"/>
      <c r="Y41" s="7"/>
      <c r="Z41" s="7"/>
      <c r="AA41" s="7"/>
      <c r="AB41" s="7"/>
      <c r="AC41" s="7"/>
    </row>
    <row r="43" spans="1:32">
      <c r="A43" t="s">
        <v>293</v>
      </c>
      <c r="C43" s="3">
        <f>SUM(Crops!X4:X119)</f>
        <v>1068930.2825324484</v>
      </c>
    </row>
    <row r="44" spans="1:32">
      <c r="A44" t="s">
        <v>294</v>
      </c>
      <c r="C44" s="3">
        <f>SUM(Crops!Y4:Y119)</f>
        <v>748181.37789745978</v>
      </c>
      <c r="F44" t="s">
        <v>445</v>
      </c>
      <c r="G44" t="s">
        <v>406</v>
      </c>
    </row>
    <row r="45" spans="1:32">
      <c r="A45" t="s">
        <v>125</v>
      </c>
      <c r="C45" s="50">
        <f>C43+C44</f>
        <v>1817111.6604299082</v>
      </c>
      <c r="D45" s="74">
        <f>C45*Conversion!F18</f>
        <v>449.02646240883456</v>
      </c>
      <c r="F45" t="s">
        <v>446</v>
      </c>
      <c r="G45" t="s">
        <v>447</v>
      </c>
    </row>
    <row r="46" spans="1:32">
      <c r="C46" s="16"/>
      <c r="D46" s="44"/>
      <c r="F46" t="s">
        <v>486</v>
      </c>
      <c r="G46" t="s">
        <v>131</v>
      </c>
    </row>
    <row r="47" spans="1:32">
      <c r="A47" t="s">
        <v>303</v>
      </c>
      <c r="C47" s="50">
        <f>SUM(Crops!Z4:Z119)</f>
        <v>1990520.6714286054</v>
      </c>
      <c r="D47" s="44"/>
      <c r="F47" t="s">
        <v>490</v>
      </c>
      <c r="G47" t="s">
        <v>491</v>
      </c>
    </row>
    <row r="48" spans="1:32">
      <c r="F48" t="s">
        <v>445</v>
      </c>
      <c r="G48" t="s">
        <v>446</v>
      </c>
      <c r="J48" t="s">
        <v>488</v>
      </c>
      <c r="P48" s="44"/>
    </row>
    <row r="49" spans="1:16">
      <c r="A49" t="s">
        <v>504</v>
      </c>
      <c r="C49">
        <f>SUM(Crops!L4:L119)</f>
        <v>93095</v>
      </c>
      <c r="P49" s="44"/>
    </row>
    <row r="50" spans="1:16">
      <c r="P50" s="44"/>
    </row>
    <row r="51" spans="1:16">
      <c r="A51" t="s">
        <v>699</v>
      </c>
      <c r="C51" t="s">
        <v>678</v>
      </c>
    </row>
    <row r="53" spans="1:16">
      <c r="A53" t="s">
        <v>700</v>
      </c>
      <c r="B53" t="s">
        <v>701</v>
      </c>
      <c r="C53" t="s">
        <v>702</v>
      </c>
      <c r="D53" t="s">
        <v>500</v>
      </c>
      <c r="E53" t="s">
        <v>703</v>
      </c>
    </row>
    <row r="54" spans="1:16">
      <c r="A54" t="s">
        <v>679</v>
      </c>
      <c r="B54">
        <v>10.5</v>
      </c>
    </row>
    <row r="55" spans="1:16">
      <c r="A55" t="s">
        <v>680</v>
      </c>
      <c r="B55">
        <v>24.4</v>
      </c>
    </row>
    <row r="56" spans="1:16">
      <c r="A56" t="s">
        <v>682</v>
      </c>
      <c r="B56">
        <v>5.2</v>
      </c>
    </row>
    <row r="57" spans="1:16">
      <c r="A57" t="s">
        <v>681</v>
      </c>
      <c r="B57">
        <v>8</v>
      </c>
    </row>
    <row r="58" spans="1:16">
      <c r="A58" t="s">
        <v>683</v>
      </c>
      <c r="B58">
        <v>6</v>
      </c>
    </row>
    <row r="59" spans="1:16">
      <c r="A59" t="s">
        <v>684</v>
      </c>
      <c r="B59">
        <v>6.7</v>
      </c>
    </row>
    <row r="60" spans="1:16">
      <c r="A60" t="s">
        <v>685</v>
      </c>
      <c r="B60">
        <v>3.9</v>
      </c>
    </row>
    <row r="61" spans="1:16">
      <c r="A61" t="s">
        <v>686</v>
      </c>
      <c r="B61">
        <v>4.7</v>
      </c>
    </row>
    <row r="62" spans="1:16">
      <c r="A62" t="s">
        <v>687</v>
      </c>
      <c r="B62">
        <v>11</v>
      </c>
    </row>
    <row r="63" spans="1:16">
      <c r="A63" t="s">
        <v>688</v>
      </c>
      <c r="B63">
        <v>17.600000000000001</v>
      </c>
    </row>
    <row r="64" spans="1:16">
      <c r="A64" t="s">
        <v>689</v>
      </c>
      <c r="B64">
        <v>12.6</v>
      </c>
    </row>
    <row r="65" spans="1:2">
      <c r="A65" t="s">
        <v>690</v>
      </c>
      <c r="B65">
        <v>5</v>
      </c>
    </row>
    <row r="66" spans="1:2">
      <c r="A66" t="s">
        <v>691</v>
      </c>
      <c r="B66">
        <v>9.6</v>
      </c>
    </row>
    <row r="67" spans="1:2">
      <c r="A67" t="s">
        <v>692</v>
      </c>
      <c r="B67">
        <v>12.4</v>
      </c>
    </row>
    <row r="68" spans="1:2">
      <c r="A68" t="s">
        <v>693</v>
      </c>
      <c r="B68">
        <v>16.3</v>
      </c>
    </row>
    <row r="69" spans="1:2">
      <c r="A69" t="s">
        <v>694</v>
      </c>
      <c r="B69">
        <v>46.7</v>
      </c>
    </row>
    <row r="70" spans="1:2">
      <c r="A70" t="s">
        <v>695</v>
      </c>
      <c r="B70">
        <v>4.5999999999999996</v>
      </c>
    </row>
    <row r="71" spans="1:2">
      <c r="A71" t="s">
        <v>696</v>
      </c>
      <c r="B71">
        <v>8.3000000000000007</v>
      </c>
    </row>
    <row r="72" spans="1:2">
      <c r="A72" t="s">
        <v>697</v>
      </c>
      <c r="B72">
        <v>18.2</v>
      </c>
    </row>
    <row r="73" spans="1:2">
      <c r="A73" t="s">
        <v>698</v>
      </c>
      <c r="B73">
        <v>84</v>
      </c>
    </row>
  </sheetData>
  <pageMargins left="0.7" right="0.7" top="0.75" bottom="0.75" header="0.3" footer="0.3"/>
  <pageSetup orientation="portrait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2C2C1-95D6-9246-A9EE-2B8B6389D5DA}">
  <dimension ref="A1:AE129"/>
  <sheetViews>
    <sheetView workbookViewId="0"/>
  </sheetViews>
  <sheetFormatPr baseColWidth="10" defaultRowHeight="16"/>
  <cols>
    <col min="30" max="30" width="12.1640625" bestFit="1" customWidth="1"/>
  </cols>
  <sheetData>
    <row r="1" spans="1:30">
      <c r="A1" t="s">
        <v>119</v>
      </c>
      <c r="B1" t="s">
        <v>510</v>
      </c>
      <c r="D1" t="s">
        <v>121</v>
      </c>
      <c r="E1" t="s">
        <v>503</v>
      </c>
      <c r="F1" t="s">
        <v>501</v>
      </c>
      <c r="G1" t="s">
        <v>502</v>
      </c>
      <c r="H1" t="s">
        <v>449</v>
      </c>
      <c r="I1" t="s">
        <v>122</v>
      </c>
      <c r="J1" t="s">
        <v>451</v>
      </c>
      <c r="K1" t="s">
        <v>122</v>
      </c>
      <c r="L1" t="s">
        <v>438</v>
      </c>
      <c r="M1" t="s">
        <v>489</v>
      </c>
      <c r="N1" t="s">
        <v>492</v>
      </c>
      <c r="O1" t="s">
        <v>394</v>
      </c>
      <c r="P1" t="s">
        <v>395</v>
      </c>
      <c r="Q1" t="s">
        <v>396</v>
      </c>
      <c r="R1" t="s">
        <v>397</v>
      </c>
      <c r="S1" t="s">
        <v>398</v>
      </c>
      <c r="T1" t="s">
        <v>499</v>
      </c>
      <c r="U1" t="s">
        <v>19</v>
      </c>
      <c r="V1" t="s">
        <v>152</v>
      </c>
      <c r="W1" t="s">
        <v>500</v>
      </c>
      <c r="X1" t="s">
        <v>505</v>
      </c>
      <c r="Y1" t="s">
        <v>506</v>
      </c>
      <c r="Z1" t="s">
        <v>302</v>
      </c>
      <c r="AA1" t="s">
        <v>507</v>
      </c>
      <c r="AB1" t="s">
        <v>30</v>
      </c>
      <c r="AC1" t="s">
        <v>709</v>
      </c>
      <c r="AD1" t="s">
        <v>710</v>
      </c>
    </row>
    <row r="2" spans="1:30">
      <c r="A2" t="s">
        <v>392</v>
      </c>
    </row>
    <row r="3" spans="1:30">
      <c r="A3" t="s">
        <v>512</v>
      </c>
    </row>
    <row r="4" spans="1:30">
      <c r="A4" t="s">
        <v>289</v>
      </c>
      <c r="B4">
        <v>0</v>
      </c>
      <c r="E4">
        <v>0.05</v>
      </c>
      <c r="F4" s="3">
        <f>IF(D4&gt;0,D4*Agriculture!$D$2+Agriculture!$E$16*E4,IF(E4&gt;0,0,Agriculture!$D$2*0.025))</f>
        <v>0</v>
      </c>
      <c r="G4" s="3">
        <f>L4*1/Agriculture!$C$49*Agriculture!$E$16</f>
        <v>198632.22422056456</v>
      </c>
      <c r="K4" s="59">
        <f>IF(I4&gt;0,I4,J4/2000*Conversion!$D$22)</f>
        <v>0</v>
      </c>
      <c r="L4">
        <v>25000</v>
      </c>
      <c r="W4">
        <f t="shared" ref="W4:W14" si="0">IF(N4&gt;0,1,IF(M4&gt;0,FLOOR(365.26/M4,0.1),1))</f>
        <v>1</v>
      </c>
      <c r="X4" s="3">
        <f>IF(K4&gt;0,F4/K4/W4*Conversion!$E$17,0)</f>
        <v>0</v>
      </c>
      <c r="Y4" s="3">
        <f>IF(L4&gt;0,G4/L4/W4*Conversion!$E$17,0)</f>
        <v>79452.889688225827</v>
      </c>
      <c r="Z4" s="3">
        <f t="shared" ref="Z4:Z14" si="1">(X4+Y4)*IF(U4&gt;0,U4,1)</f>
        <v>79452.889688225827</v>
      </c>
      <c r="AA4" s="3">
        <f>(F4*T4)/365.26/Agriculture!$D$2</f>
        <v>0</v>
      </c>
      <c r="AB4" s="4">
        <f>SUM(X4:Y4)*Conversion!$F$18</f>
        <v>19.633603570857481</v>
      </c>
      <c r="AC4">
        <f>16+12.4+4.6+6</f>
        <v>39</v>
      </c>
      <c r="AD4" s="4">
        <f>W4*AB4*AC4</f>
        <v>765.71053926344177</v>
      </c>
    </row>
    <row r="5" spans="1:30" ht="18">
      <c r="A5" t="s">
        <v>127</v>
      </c>
      <c r="B5">
        <v>0</v>
      </c>
      <c r="D5">
        <v>100</v>
      </c>
      <c r="F5" s="3">
        <f>IF(D5&gt;0,D5*Agriculture!$D$2+Agriculture!$E$16*E5,IF(E5&gt;0,0,Agriculture!$D$2*0.025))</f>
        <v>29100</v>
      </c>
      <c r="G5" s="3">
        <f>L5*1/Agriculture!$C$49*Agriculture!$E$16</f>
        <v>0</v>
      </c>
      <c r="I5">
        <v>5000</v>
      </c>
      <c r="K5" s="59">
        <f>IF(I5&gt;0,I5,J5/2000*Conversion!$D$22)</f>
        <v>5000</v>
      </c>
      <c r="N5">
        <v>1</v>
      </c>
      <c r="T5" s="73">
        <f t="shared" ref="T5:T14" si="2">(O5*4+R5*4+P5*9+Q5*9)*10</f>
        <v>0</v>
      </c>
      <c r="U5">
        <v>0.6</v>
      </c>
      <c r="W5">
        <f t="shared" si="0"/>
        <v>1</v>
      </c>
      <c r="X5" s="3">
        <f>IF(K5&gt;0,F5/K5/W5*Conversion!$E$17,0)</f>
        <v>58200</v>
      </c>
      <c r="Y5" s="3">
        <f>IF(L5&gt;0,G5/L5/W5*Conversion!$E$17,0)</f>
        <v>0</v>
      </c>
      <c r="Z5" s="3">
        <f t="shared" si="1"/>
        <v>34920</v>
      </c>
      <c r="AA5" s="3">
        <f>(F5*T5)/365.26/Agriculture!$D$2</f>
        <v>0</v>
      </c>
      <c r="AB5" s="4">
        <f>SUM(X5:Y5)*Conversion!$F$18</f>
        <v>14.381801999999999</v>
      </c>
      <c r="AC5">
        <f t="shared" ref="AC5:AC14" si="3">16+12.4+4.6</f>
        <v>33</v>
      </c>
      <c r="AD5" s="4">
        <f t="shared" ref="AD5:AD70" si="4">W5*AB5*AC5</f>
        <v>474.59946599999995</v>
      </c>
    </row>
    <row r="6" spans="1:30" ht="18">
      <c r="A6" t="s">
        <v>142</v>
      </c>
      <c r="B6">
        <v>0</v>
      </c>
      <c r="D6">
        <v>6</v>
      </c>
      <c r="F6" s="3">
        <f>IF(D6&gt;0,D6*Agriculture!$D$2+Agriculture!$E$16*E6,IF(E6&gt;0,0,Agriculture!$D$2*0.025))</f>
        <v>1746</v>
      </c>
      <c r="G6" s="3">
        <f>L6*1/Agriculture!$C$49*Agriculture!$E$16</f>
        <v>0</v>
      </c>
      <c r="I6">
        <v>1500</v>
      </c>
      <c r="K6" s="59">
        <f>IF(I6&gt;0,I6,J6/2000*Conversion!$D$22)</f>
        <v>1500</v>
      </c>
      <c r="N6">
        <v>1</v>
      </c>
      <c r="T6" s="73">
        <f t="shared" si="2"/>
        <v>0</v>
      </c>
      <c r="U6">
        <v>0.9</v>
      </c>
      <c r="W6">
        <f t="shared" si="0"/>
        <v>1</v>
      </c>
      <c r="X6" s="3">
        <f>IF(K6&gt;0,F6/K6/W6*Conversion!$E$17,0)</f>
        <v>11640</v>
      </c>
      <c r="Y6" s="3">
        <f>IF(L6&gt;0,G6/L6/W6*Conversion!$E$17,0)</f>
        <v>0</v>
      </c>
      <c r="Z6" s="3">
        <f t="shared" si="1"/>
        <v>10476</v>
      </c>
      <c r="AA6" s="3">
        <f>(F6*T6)/365.26/Agriculture!$D$2</f>
        <v>0</v>
      </c>
      <c r="AB6" s="4">
        <f>SUM(X6:Y6)*Conversion!$F$18</f>
        <v>2.8763603999999998</v>
      </c>
      <c r="AC6">
        <f t="shared" si="3"/>
        <v>33</v>
      </c>
      <c r="AD6" s="4">
        <f t="shared" si="4"/>
        <v>94.91989319999999</v>
      </c>
    </row>
    <row r="7" spans="1:30" ht="18">
      <c r="A7" t="s">
        <v>143</v>
      </c>
      <c r="B7">
        <v>0</v>
      </c>
      <c r="D7">
        <v>12</v>
      </c>
      <c r="F7" s="3">
        <f>IF(D7&gt;0,D7*Agriculture!$D$2+Agriculture!$E$16*E7,IF(E7&gt;0,0,Agriculture!$D$2*0.025))</f>
        <v>3492</v>
      </c>
      <c r="G7" s="3">
        <f>L7*1/Agriculture!$C$49*Agriculture!$E$16</f>
        <v>0</v>
      </c>
      <c r="I7">
        <v>1250</v>
      </c>
      <c r="K7" s="59">
        <f>IF(I7&gt;0,I7,J7/2000*Conversion!$D$22)</f>
        <v>1250</v>
      </c>
      <c r="N7" s="73">
        <v>1</v>
      </c>
      <c r="T7" s="73">
        <f t="shared" si="2"/>
        <v>0</v>
      </c>
      <c r="U7">
        <v>0.9</v>
      </c>
      <c r="W7">
        <f t="shared" si="0"/>
        <v>1</v>
      </c>
      <c r="X7" s="3">
        <f>IF(K7&gt;0,F7/K7/W7*Conversion!$E$17,0)</f>
        <v>27936</v>
      </c>
      <c r="Y7" s="3">
        <f>IF(L7&gt;0,G7/L7/W7*Conversion!$E$17,0)</f>
        <v>0</v>
      </c>
      <c r="Z7" s="3">
        <f t="shared" si="1"/>
        <v>25142.400000000001</v>
      </c>
      <c r="AA7" s="3">
        <f>(F7*T7)/365.26/Agriculture!$D$2</f>
        <v>0</v>
      </c>
      <c r="AB7" s="4">
        <f>SUM(X7:Y7)*Conversion!$F$18</f>
        <v>6.9032649599999996</v>
      </c>
      <c r="AC7">
        <f t="shared" si="3"/>
        <v>33</v>
      </c>
      <c r="AD7" s="4">
        <f t="shared" si="4"/>
        <v>227.80774367999999</v>
      </c>
    </row>
    <row r="8" spans="1:30" ht="18">
      <c r="A8" t="s">
        <v>126</v>
      </c>
      <c r="B8">
        <v>0</v>
      </c>
      <c r="D8">
        <v>40</v>
      </c>
      <c r="F8" s="3">
        <f>IF(D8&gt;0,D8*Agriculture!$D$2+Agriculture!$E$16*E8,IF(E8&gt;0,0,Agriculture!$D$2*0.025))</f>
        <v>11640</v>
      </c>
      <c r="G8" s="3">
        <f>L8*1/Agriculture!$C$49*Agriculture!$E$16</f>
        <v>0</v>
      </c>
      <c r="I8">
        <v>8000</v>
      </c>
      <c r="K8" s="59">
        <f>IF(I8&gt;0,I8,J8/2000*Conversion!$D$22)</f>
        <v>8000</v>
      </c>
      <c r="T8" s="73">
        <f t="shared" si="2"/>
        <v>0</v>
      </c>
      <c r="V8">
        <v>1</v>
      </c>
      <c r="W8">
        <f t="shared" si="0"/>
        <v>1</v>
      </c>
      <c r="X8" s="3">
        <f>IF(K8&gt;0,F8/K8/W8*Conversion!$E$17,0)</f>
        <v>14550</v>
      </c>
      <c r="Y8" s="3">
        <f>IF(L8&gt;0,G8/L8/W8*Conversion!$E$17,0)</f>
        <v>0</v>
      </c>
      <c r="Z8" s="3">
        <f t="shared" si="1"/>
        <v>14550</v>
      </c>
      <c r="AA8" s="3">
        <f>(F8*T8)/365.26/Agriculture!$D$2</f>
        <v>0</v>
      </c>
      <c r="AB8" s="4">
        <f>SUM(X8:Y8)*Conversion!$F$18</f>
        <v>3.5954504999999997</v>
      </c>
      <c r="AC8">
        <f t="shared" si="3"/>
        <v>33</v>
      </c>
      <c r="AD8" s="4">
        <f t="shared" si="4"/>
        <v>118.64986649999999</v>
      </c>
    </row>
    <row r="9" spans="1:30" ht="18">
      <c r="A9" t="s">
        <v>242</v>
      </c>
      <c r="B9">
        <v>0</v>
      </c>
      <c r="E9">
        <v>0.05</v>
      </c>
      <c r="F9" s="3">
        <f>IF(D9&gt;0,D9*Agriculture!$D$2+Agriculture!$E$16*E9,IF(E9&gt;0,0,Agriculture!$D$2*0.025))</f>
        <v>0</v>
      </c>
      <c r="G9" s="3">
        <f>L9*1/Agriculture!$C$49*Agriculture!$E$16</f>
        <v>95343.467625870995</v>
      </c>
      <c r="I9" s="73"/>
      <c r="J9" s="73"/>
      <c r="K9" s="59"/>
      <c r="L9" s="73">
        <v>12000</v>
      </c>
      <c r="M9" s="73"/>
      <c r="N9" s="73"/>
      <c r="O9" s="72"/>
      <c r="P9" s="72"/>
      <c r="Q9" s="72"/>
      <c r="R9" s="72"/>
      <c r="S9" s="72"/>
      <c r="T9" s="73">
        <f t="shared" si="2"/>
        <v>0</v>
      </c>
      <c r="W9">
        <f t="shared" si="0"/>
        <v>1</v>
      </c>
      <c r="X9" s="3">
        <f>IF(K9&gt;0,F9/K9/W9*Conversion!$E$17,0)</f>
        <v>0</v>
      </c>
      <c r="Y9" s="3">
        <f>IF(L9&gt;0,G9/L9/W9*Conversion!$E$17,0)</f>
        <v>79452.889688225827</v>
      </c>
      <c r="Z9" s="3">
        <f t="shared" si="1"/>
        <v>79452.889688225827</v>
      </c>
      <c r="AA9" s="3">
        <f>(F9*T9)/365.26/Agriculture!$D$2</f>
        <v>0</v>
      </c>
      <c r="AB9" s="4">
        <f>SUM(X9:Y9)*Conversion!$F$18</f>
        <v>19.633603570857481</v>
      </c>
      <c r="AC9">
        <f>16+12.4+4.6+6</f>
        <v>39</v>
      </c>
      <c r="AD9" s="4">
        <f t="shared" si="4"/>
        <v>765.71053926344177</v>
      </c>
    </row>
    <row r="10" spans="1:30" ht="18">
      <c r="A10" t="s">
        <v>794</v>
      </c>
      <c r="D10">
        <v>20</v>
      </c>
      <c r="F10" s="3">
        <f>IF(D10&gt;0,D10*Agriculture!$D$2+Agriculture!$E$16*E10,IF(E10&gt;0,0,Agriculture!$D$2*0.025))</f>
        <v>5820</v>
      </c>
      <c r="G10" s="3">
        <f>L10*1/Agriculture!$C$49*Agriculture!$E$16</f>
        <v>0</v>
      </c>
      <c r="I10" s="73">
        <v>2400</v>
      </c>
      <c r="J10" s="73"/>
      <c r="K10" s="59">
        <v>2400</v>
      </c>
      <c r="L10" s="73"/>
      <c r="M10" s="73"/>
      <c r="N10" s="73"/>
      <c r="O10" s="72"/>
      <c r="P10" s="72"/>
      <c r="Q10" s="72"/>
      <c r="R10" s="72"/>
      <c r="S10" s="72"/>
      <c r="T10" s="73"/>
      <c r="W10">
        <f t="shared" ref="W10" si="5">IF(N10&gt;0,1,IF(M10&gt;0,FLOOR(365.26/M10,0.1),1))</f>
        <v>1</v>
      </c>
      <c r="X10" s="3">
        <f>IF(K10&gt;0,F10/K10/W10*Conversion!$E$17,0)</f>
        <v>24250</v>
      </c>
      <c r="Y10" s="3">
        <f>IF(L10&gt;0,G10/L10/W10*Conversion!$E$17,0)</f>
        <v>0</v>
      </c>
      <c r="Z10" s="3">
        <f t="shared" ref="Z10" si="6">(X10+Y10)*IF(U10&gt;0,U10,1)</f>
        <v>24250</v>
      </c>
      <c r="AA10" s="3">
        <f>(F10*T10)/365.26/Agriculture!$D$2</f>
        <v>0</v>
      </c>
      <c r="AB10" s="4">
        <f>SUM(X10:Y10)*Conversion!$F$18</f>
        <v>5.9924174999999993</v>
      </c>
      <c r="AC10">
        <f t="shared" si="3"/>
        <v>33</v>
      </c>
      <c r="AD10" s="4">
        <f t="shared" ref="AD10" si="7">W10*AB10*AC10</f>
        <v>197.74977749999996</v>
      </c>
    </row>
    <row r="11" spans="1:30" ht="18">
      <c r="A11" t="s">
        <v>474</v>
      </c>
      <c r="B11">
        <v>0</v>
      </c>
      <c r="D11">
        <v>0.1</v>
      </c>
      <c r="F11" s="3">
        <f>IF(D11&gt;0,D11*Agriculture!$D$2+Agriculture!$E$16*E11,IF(E11&gt;0,0,Agriculture!$D$2*0.025))</f>
        <v>29.1</v>
      </c>
      <c r="G11" s="3">
        <f>L11*1/Agriculture!$C$49*Agriculture!$E$16</f>
        <v>0</v>
      </c>
      <c r="I11">
        <v>390</v>
      </c>
      <c r="K11" s="59">
        <f>IF(I11&gt;0,I11,J11/2000*Conversion!$D$22)</f>
        <v>390</v>
      </c>
      <c r="M11">
        <v>150</v>
      </c>
      <c r="T11" s="73">
        <f t="shared" si="2"/>
        <v>0</v>
      </c>
      <c r="U11">
        <v>0.5</v>
      </c>
      <c r="V11">
        <v>1</v>
      </c>
      <c r="W11">
        <f t="shared" si="0"/>
        <v>2.4000000000000004</v>
      </c>
      <c r="X11" s="3">
        <f>IF(K11&gt;0,F11/K11/W11*Conversion!$E$17,0)</f>
        <v>310.89743589743591</v>
      </c>
      <c r="Y11" s="3">
        <f>IF(L11&gt;0,G11/L11/W11*Conversion!$E$17,0)</f>
        <v>0</v>
      </c>
      <c r="Z11" s="3">
        <f t="shared" si="1"/>
        <v>155.44871794871796</v>
      </c>
      <c r="AA11" s="3">
        <f>(F11*T11)/365.26/Agriculture!$D$2</f>
        <v>0</v>
      </c>
      <c r="AB11" s="4">
        <f>SUM(X11:Y11)*Conversion!$F$18</f>
        <v>7.6825865384615388E-2</v>
      </c>
      <c r="AC11">
        <f t="shared" si="3"/>
        <v>33</v>
      </c>
      <c r="AD11" s="4">
        <f t="shared" si="4"/>
        <v>6.0846085384615396</v>
      </c>
    </row>
    <row r="12" spans="1:30" ht="18">
      <c r="A12" t="s">
        <v>144</v>
      </c>
      <c r="B12">
        <v>0</v>
      </c>
      <c r="D12">
        <v>2</v>
      </c>
      <c r="F12" s="3">
        <f>IF(D12&gt;0,D12*Agriculture!$D$2+Agriculture!$E$16*E12,IF(E12&gt;0,0,Agriculture!$D$2*0.025))</f>
        <v>582</v>
      </c>
      <c r="G12" s="3">
        <f>L12*1/Agriculture!$C$49*Agriculture!$E$16</f>
        <v>0</v>
      </c>
      <c r="I12">
        <v>1650</v>
      </c>
      <c r="K12" s="59">
        <f>IF(I12&gt;0,I12,J12/2000*Conversion!$D$22)</f>
        <v>1650</v>
      </c>
      <c r="T12" s="73">
        <f t="shared" si="2"/>
        <v>0</v>
      </c>
      <c r="U12">
        <v>0.5</v>
      </c>
      <c r="V12">
        <v>1</v>
      </c>
      <c r="W12">
        <f t="shared" si="0"/>
        <v>1</v>
      </c>
      <c r="X12" s="3">
        <f>IF(K12&gt;0,F12/K12/W12*Conversion!$E$17,0)</f>
        <v>3527.272727272727</v>
      </c>
      <c r="Y12" s="3">
        <f>IF(L12&gt;0,G12/L12/W12*Conversion!$E$17,0)</f>
        <v>0</v>
      </c>
      <c r="Z12" s="3">
        <f t="shared" si="1"/>
        <v>1763.6363636363635</v>
      </c>
      <c r="AA12" s="3">
        <f>(F12*T12)/365.26/Agriculture!$D$2</f>
        <v>0</v>
      </c>
      <c r="AB12" s="4">
        <f>SUM(X12:Y12)*Conversion!$F$18</f>
        <v>0.87162436363636353</v>
      </c>
      <c r="AC12">
        <f t="shared" si="3"/>
        <v>33</v>
      </c>
      <c r="AD12" s="4">
        <f t="shared" si="4"/>
        <v>28.763603999999997</v>
      </c>
    </row>
    <row r="13" spans="1:30" ht="18">
      <c r="F13" s="3"/>
      <c r="G13" s="3"/>
      <c r="K13" s="59"/>
      <c r="T13" s="73"/>
      <c r="X13" s="3"/>
      <c r="Y13" s="3"/>
      <c r="Z13" s="3"/>
      <c r="AA13" s="3"/>
      <c r="AB13" s="4"/>
      <c r="AD13" s="4"/>
    </row>
    <row r="14" spans="1:30" ht="18">
      <c r="A14" t="s">
        <v>439</v>
      </c>
      <c r="B14">
        <v>0</v>
      </c>
      <c r="F14" s="3">
        <f>IF(D14&gt;0,D14*Agriculture!$D$2+Agriculture!$E$16*E14,IF(E14&gt;0,0,Agriculture!$D$2*0.025))</f>
        <v>7.2750000000000004</v>
      </c>
      <c r="G14" s="3">
        <f>L14*1/Agriculture!$C$49*Agriculture!$E$16</f>
        <v>204988.45539562262</v>
      </c>
      <c r="J14">
        <v>12000</v>
      </c>
      <c r="K14" s="59">
        <f>IF(I14&gt;0,I14,J14/2000*Conversion!$D$22)</f>
        <v>13450.21386</v>
      </c>
      <c r="L14">
        <v>25800</v>
      </c>
      <c r="O14" s="72"/>
      <c r="P14" s="72"/>
      <c r="Q14" s="72"/>
      <c r="R14" s="72"/>
      <c r="S14" s="72"/>
      <c r="T14" s="73">
        <f t="shared" si="2"/>
        <v>0</v>
      </c>
      <c r="W14">
        <f t="shared" si="0"/>
        <v>1</v>
      </c>
      <c r="X14" s="3">
        <f>IF(K14&gt;0,F14/K14/W14*Conversion!$E$17,0)</f>
        <v>5.4088359305834866</v>
      </c>
      <c r="Y14" s="3">
        <f>IF(L14&gt;0,G14/L14/W14*Conversion!$E$17,0)</f>
        <v>79452.889688225812</v>
      </c>
      <c r="Z14" s="3">
        <f t="shared" si="1"/>
        <v>79458.298524156402</v>
      </c>
      <c r="AA14" s="3">
        <f>(F14*T14)/365.26/Agriculture!$D$2</f>
        <v>0</v>
      </c>
      <c r="AB14" s="4">
        <f>SUM(X14:Y14)*Conversion!$F$18</f>
        <v>19.634940148304288</v>
      </c>
      <c r="AC14">
        <f t="shared" si="3"/>
        <v>33</v>
      </c>
      <c r="AD14" s="4">
        <f t="shared" si="4"/>
        <v>647.9530248940415</v>
      </c>
    </row>
    <row r="15" spans="1:30" ht="18">
      <c r="F15" s="3"/>
      <c r="G15" s="3"/>
      <c r="K15" s="59"/>
      <c r="O15" s="72"/>
      <c r="P15" s="72"/>
      <c r="Q15" s="72"/>
      <c r="R15" s="72"/>
      <c r="S15" s="72"/>
      <c r="T15" s="73"/>
      <c r="X15" s="3"/>
      <c r="Y15" s="3"/>
      <c r="Z15" s="3"/>
      <c r="AA15" s="3"/>
      <c r="AB15" s="4">
        <f>SUM(X15:Y15)*Conversion!$F$18</f>
        <v>0</v>
      </c>
      <c r="AD15" s="4">
        <f t="shared" si="4"/>
        <v>0</v>
      </c>
    </row>
    <row r="16" spans="1:30" ht="18">
      <c r="A16" t="str">
        <f>Agriculture!B25</f>
        <v>Sugar</v>
      </c>
      <c r="C16">
        <f>SUM(C17:C18)</f>
        <v>1</v>
      </c>
      <c r="D16">
        <f>Agriculture!G25</f>
        <v>35.636108527131782</v>
      </c>
      <c r="F16" s="3"/>
      <c r="G16" s="3"/>
      <c r="K16" s="59"/>
      <c r="O16" s="72"/>
      <c r="P16" s="72"/>
      <c r="Q16" s="72"/>
      <c r="R16" s="72"/>
      <c r="S16" s="72"/>
      <c r="T16" s="73"/>
      <c r="X16" s="3"/>
      <c r="Y16" s="3"/>
      <c r="Z16" s="3"/>
      <c r="AA16" s="3"/>
      <c r="AB16" s="4">
        <f>SUM(X16:Y16)*Conversion!$F$18</f>
        <v>0</v>
      </c>
      <c r="AD16" s="4">
        <f t="shared" si="4"/>
        <v>0</v>
      </c>
    </row>
    <row r="17" spans="1:30" ht="18">
      <c r="A17" t="s">
        <v>301</v>
      </c>
      <c r="B17">
        <v>2</v>
      </c>
      <c r="C17">
        <v>1</v>
      </c>
      <c r="D17">
        <f>$D$16*C17/$C$16</f>
        <v>35.636108527131782</v>
      </c>
      <c r="F17" s="3">
        <f>IF(D17&gt;0,D17*Agriculture!$D$2+Agriculture!$E$16*E17,IF(E17&gt;0,0,Agriculture!$D$2*0.025))</f>
        <v>10370.107581395348</v>
      </c>
      <c r="G17" s="3">
        <f>L17*1/Agriculture!$C$49*Agriculture!$E$16</f>
        <v>0</v>
      </c>
      <c r="H17" t="s">
        <v>450</v>
      </c>
      <c r="I17">
        <v>9339</v>
      </c>
      <c r="K17" s="59">
        <f>IF(I17&gt;0,I17,J17/2000*Conversion!$D$22)</f>
        <v>9339</v>
      </c>
      <c r="O17" s="72">
        <v>0</v>
      </c>
      <c r="P17" s="72">
        <v>0</v>
      </c>
      <c r="Q17" s="72">
        <v>0</v>
      </c>
      <c r="R17" s="72">
        <v>99.98</v>
      </c>
      <c r="S17" s="72">
        <v>3634</v>
      </c>
      <c r="T17" s="73">
        <f>(O17*4+R17*4+P17*9+Q17*9)*10</f>
        <v>3999.2000000000003</v>
      </c>
      <c r="W17">
        <f>IF(N17&gt;0,1,IF(M17&gt;0,FLOOR(365.26/M17,0.1),1))</f>
        <v>1</v>
      </c>
      <c r="X17" s="3">
        <f>IF(K17&gt;0,F17/K17/W17*Conversion!$E$17,0)</f>
        <v>11104.087783911928</v>
      </c>
      <c r="Y17" s="3">
        <f>IF(L17&gt;0,G17/L17/W17*Conversion!$E$17,0)</f>
        <v>0</v>
      </c>
      <c r="Z17" s="3">
        <f>(X17+Y17)*IF(U17&gt;0,U17,1)</f>
        <v>11104.087783911928</v>
      </c>
      <c r="AA17" s="3">
        <f>(F17*T17)/365.26/Agriculture!$D$2</f>
        <v>390.17665559246956</v>
      </c>
      <c r="AB17" s="4">
        <f>SUM(X17:Y17)*Conversion!$F$18</f>
        <v>2.7439311322824764</v>
      </c>
      <c r="AC17">
        <f t="shared" ref="AC17" si="8">16+12.4+4.6</f>
        <v>33</v>
      </c>
      <c r="AD17" s="4">
        <f t="shared" si="4"/>
        <v>90.549727365321729</v>
      </c>
    </row>
    <row r="18" spans="1:30" ht="18">
      <c r="A18" t="s">
        <v>426</v>
      </c>
      <c r="B18">
        <v>2</v>
      </c>
      <c r="C18">
        <v>0</v>
      </c>
      <c r="D18">
        <f>$D$16*C18/$C$16</f>
        <v>0</v>
      </c>
      <c r="F18" s="3">
        <f>IF(D18&gt;0,D18*Agriculture!$D$2+Agriculture!$E$16*E18,IF(E18&gt;0,0,Agriculture!$D$2*0.025))</f>
        <v>7.2750000000000004</v>
      </c>
      <c r="G18" s="3">
        <f>L18*1/Agriculture!$C$49*Agriculture!$E$16</f>
        <v>0</v>
      </c>
      <c r="H18" t="s">
        <v>450</v>
      </c>
      <c r="I18">
        <v>7151</v>
      </c>
      <c r="K18" s="59">
        <f>IF(I18&gt;0,I18,J18/2000*Conversion!$D$22)</f>
        <v>7151</v>
      </c>
      <c r="O18" s="72">
        <v>0</v>
      </c>
      <c r="P18" s="72">
        <v>0</v>
      </c>
      <c r="Q18" s="72">
        <v>0</v>
      </c>
      <c r="R18" s="72">
        <v>99.98</v>
      </c>
      <c r="S18" s="72">
        <v>2781</v>
      </c>
      <c r="T18" s="73">
        <f>(O18*4+R18*4+P18*9+Q18*9)*10</f>
        <v>3999.2000000000003</v>
      </c>
      <c r="W18">
        <f>IF(N18&gt;0,1,IF(M18&gt;0,FLOOR(365.26/M18,0.1),1))</f>
        <v>1</v>
      </c>
      <c r="X18" s="3">
        <f>IF(K18&gt;0,F18/K18/W18*Conversion!$E$17,0)</f>
        <v>10.173402321353656</v>
      </c>
      <c r="Y18" s="3">
        <f>IF(L18&gt;0,G18/L18/W18*Conversion!$E$17,0)</f>
        <v>0</v>
      </c>
      <c r="Z18" s="3">
        <f>(X18+Y18)*IF(U18&gt;0,U18,1)</f>
        <v>10.173402321353656</v>
      </c>
      <c r="AA18" s="3">
        <f>(F18*T18)/365.26/Agriculture!$D$2</f>
        <v>0.27372282757487826</v>
      </c>
      <c r="AB18" s="4">
        <f>SUM(X18:Y18)*Conversion!$F$18</f>
        <v>2.5139494476297017E-3</v>
      </c>
      <c r="AC18">
        <f>16+6+10.5</f>
        <v>32.5</v>
      </c>
      <c r="AD18" s="4">
        <f t="shared" si="4"/>
        <v>8.1703357047965303E-2</v>
      </c>
    </row>
    <row r="19" spans="1:30" ht="18">
      <c r="F19" s="3"/>
      <c r="G19" s="3"/>
      <c r="K19" s="59"/>
      <c r="O19" s="72"/>
      <c r="P19" s="72"/>
      <c r="Q19" s="72"/>
      <c r="R19" s="72"/>
      <c r="S19" s="72"/>
      <c r="T19" s="73"/>
      <c r="X19" s="3"/>
      <c r="Y19" s="3"/>
      <c r="Z19" s="3"/>
      <c r="AA19" s="3"/>
      <c r="AB19" s="4">
        <f>SUM(X19:Y19)*Conversion!$F$18</f>
        <v>0</v>
      </c>
      <c r="AD19" s="4">
        <f t="shared" si="4"/>
        <v>0</v>
      </c>
    </row>
    <row r="20" spans="1:30" ht="18">
      <c r="A20" t="str">
        <f>Agriculture!B26</f>
        <v>Oil &amp; Fats</v>
      </c>
      <c r="C20">
        <f>SUM(C21:C43)</f>
        <v>4.9999999999999982</v>
      </c>
      <c r="D20">
        <f>Agriculture!G26</f>
        <v>27.549446266968328</v>
      </c>
      <c r="F20" s="3"/>
      <c r="G20" s="3"/>
      <c r="K20" s="59"/>
      <c r="O20" s="72"/>
      <c r="P20" s="72"/>
      <c r="Q20" s="72"/>
      <c r="R20" s="72"/>
      <c r="S20" s="72"/>
      <c r="T20" s="73"/>
      <c r="X20" s="3"/>
      <c r="Y20" s="3"/>
      <c r="Z20" s="3"/>
      <c r="AA20" s="3"/>
      <c r="AB20" s="4">
        <f>SUM(X20:Y20)*Conversion!$F$18</f>
        <v>0</v>
      </c>
      <c r="AD20" s="4">
        <f t="shared" si="4"/>
        <v>0</v>
      </c>
    </row>
    <row r="21" spans="1:30">
      <c r="A21" t="s">
        <v>452</v>
      </c>
      <c r="B21">
        <v>3</v>
      </c>
      <c r="C21">
        <v>0.2</v>
      </c>
      <c r="D21">
        <f>$D$20*C21/$C$20</f>
        <v>1.1019778506787337</v>
      </c>
      <c r="F21" s="3">
        <f>IF(D21&gt;0,D21*Agriculture!$D$2+Agriculture!$E$16*E21,IF(E21&gt;0,0,Agriculture!$D$2*0.025))</f>
        <v>320.67555454751147</v>
      </c>
      <c r="G21" s="3">
        <f>L21*1/Agriculture!$C$49*Agriculture!$E$16</f>
        <v>0</v>
      </c>
      <c r="J21">
        <v>1150</v>
      </c>
      <c r="K21" s="59">
        <f>IF(I21&gt;0,I21,J21/2000*Conversion!$D$22)</f>
        <v>1288.9788282499999</v>
      </c>
      <c r="N21">
        <v>1</v>
      </c>
      <c r="W21">
        <f t="shared" ref="W21:W43" si="9">IF(N21&gt;0,1,IF(M21&gt;0,FLOOR(365.26/M21,0.1),1))</f>
        <v>1</v>
      </c>
      <c r="X21" s="3">
        <f>IF(K21&gt;0,F21/K21/W21*Conversion!$E$17,0)</f>
        <v>2487.8263903130287</v>
      </c>
      <c r="Y21" s="3">
        <f>IF(L21&gt;0,G21/L21/W21*Conversion!$E$17,0)</f>
        <v>0</v>
      </c>
      <c r="Z21" s="3">
        <f t="shared" ref="Z21:Z43" si="10">(X21+Y21)*IF(U21&gt;0,U21,1)</f>
        <v>2487.8263903130287</v>
      </c>
      <c r="AA21" s="3">
        <f>(F21*T21)/365.26/Agriculture!$D$2</f>
        <v>0</v>
      </c>
      <c r="AB21" s="4">
        <f>SUM(X21:Y21)*Conversion!$F$18</f>
        <v>0.61476677931025248</v>
      </c>
      <c r="AC21">
        <f>1.5+9.4+3.9</f>
        <v>14.8</v>
      </c>
      <c r="AD21" s="4">
        <f t="shared" si="4"/>
        <v>9.0985483337917366</v>
      </c>
    </row>
    <row r="22" spans="1:30" ht="18">
      <c r="A22" t="s">
        <v>448</v>
      </c>
      <c r="B22">
        <v>3</v>
      </c>
      <c r="C22">
        <v>1</v>
      </c>
      <c r="D22">
        <f t="shared" ref="D22:D43" si="11">$D$20*C22/$C$20</f>
        <v>5.5098892533936672</v>
      </c>
      <c r="F22" s="3">
        <f>IF(D22&gt;0,D22*Agriculture!$D$2+Agriculture!$E$16*E22,IF(E22&gt;0,0,Agriculture!$D$2*0.025))</f>
        <v>1603.3777727375571</v>
      </c>
      <c r="G22" s="3">
        <f>L22*1/Agriculture!$C$49*Agriculture!$E$16</f>
        <v>0</v>
      </c>
      <c r="I22" s="59"/>
      <c r="J22">
        <v>3680</v>
      </c>
      <c r="K22" s="59">
        <f>IF(I22&gt;0,I22,J22/2000*Conversion!$D$22)</f>
        <v>4124.7322504000003</v>
      </c>
      <c r="N22">
        <v>1</v>
      </c>
      <c r="T22" s="73">
        <f t="shared" ref="T22:T43" si="12">(O22*4+R22*4+P22*9+Q22*9)*10</f>
        <v>0</v>
      </c>
      <c r="W22">
        <f t="shared" si="9"/>
        <v>1</v>
      </c>
      <c r="X22" s="3">
        <f>IF(K22&gt;0,F22/K22/W22*Conversion!$E$17,0)</f>
        <v>3887.2287348641062</v>
      </c>
      <c r="Y22" s="3">
        <f>IF(L22&gt;0,G22/L22/W22*Conversion!$E$17,0)</f>
        <v>0</v>
      </c>
      <c r="Z22" s="3">
        <f t="shared" si="10"/>
        <v>3887.2287348641062</v>
      </c>
      <c r="AA22" s="3">
        <f>(F22*T22)/365.26/Agriculture!$D$2</f>
        <v>0</v>
      </c>
      <c r="AB22" s="4">
        <f>SUM(X22:Y22)*Conversion!$F$18</f>
        <v>0.9605730926722692</v>
      </c>
      <c r="AC22">
        <f t="shared" ref="AC22:AC85" si="13">1.5+9.4+3.9</f>
        <v>14.8</v>
      </c>
      <c r="AD22" s="4">
        <f t="shared" si="4"/>
        <v>14.216481771549585</v>
      </c>
    </row>
    <row r="23" spans="1:30" ht="18">
      <c r="A23" t="s">
        <v>400</v>
      </c>
      <c r="B23">
        <v>3</v>
      </c>
      <c r="C23">
        <v>0</v>
      </c>
      <c r="D23">
        <f t="shared" si="11"/>
        <v>0</v>
      </c>
      <c r="F23" s="3">
        <f>IF(D23&gt;0,D23*Agriculture!$D$2+Agriculture!$E$16*E23,IF(E23&gt;0,0,Agriculture!$D$2*0.025))</f>
        <v>7.2750000000000004</v>
      </c>
      <c r="G23" s="3">
        <f>L23*1/Agriculture!$C$49*Agriculture!$E$16</f>
        <v>0</v>
      </c>
      <c r="H23" t="s">
        <v>450</v>
      </c>
      <c r="I23" s="73">
        <v>3370</v>
      </c>
      <c r="J23" s="73"/>
      <c r="K23" s="59">
        <f>IF(I23&gt;0,I23,J23/2000*Conversion!$D$22)</f>
        <v>3370</v>
      </c>
      <c r="L23" s="73"/>
      <c r="M23" s="73"/>
      <c r="N23" s="73"/>
      <c r="O23" s="72">
        <v>27</v>
      </c>
      <c r="P23" s="72">
        <v>34</v>
      </c>
      <c r="Q23" s="72">
        <v>53</v>
      </c>
      <c r="R23" s="72">
        <v>30</v>
      </c>
      <c r="S23" s="73">
        <v>1747</v>
      </c>
      <c r="T23" s="73">
        <f t="shared" si="12"/>
        <v>10110</v>
      </c>
      <c r="W23">
        <f t="shared" si="9"/>
        <v>1</v>
      </c>
      <c r="X23" s="3">
        <f>IF(K23&gt;0,F23/K23/W23*Conversion!$E$17,0)</f>
        <v>21.587537091988132</v>
      </c>
      <c r="Y23" s="3">
        <f>IF(L23&gt;0,G23/L23/W23*Conversion!$E$17,0)</f>
        <v>0</v>
      </c>
      <c r="Z23" s="3">
        <f t="shared" si="10"/>
        <v>21.587537091988132</v>
      </c>
      <c r="AA23" s="3">
        <f>(F23*T23)/365.26/Agriculture!$D$2</f>
        <v>0.69197284126375735</v>
      </c>
      <c r="AB23" s="4">
        <f>SUM(X23:Y23)*Conversion!$F$18</f>
        <v>5.3344962908011872E-3</v>
      </c>
      <c r="AC23">
        <f t="shared" si="13"/>
        <v>14.8</v>
      </c>
      <c r="AD23" s="4">
        <f t="shared" si="4"/>
        <v>7.8950545103857572E-2</v>
      </c>
    </row>
    <row r="24" spans="1:30" ht="18">
      <c r="A24" t="s">
        <v>401</v>
      </c>
      <c r="B24">
        <v>3</v>
      </c>
      <c r="C24">
        <v>0</v>
      </c>
      <c r="D24">
        <f t="shared" si="11"/>
        <v>0</v>
      </c>
      <c r="F24" s="3">
        <f>IF(D24&gt;0,D24*Agriculture!$D$2+Agriculture!$E$16*E24,IF(E24&gt;0,0,Agriculture!$D$2*0.025))</f>
        <v>7.2750000000000004</v>
      </c>
      <c r="G24" s="3">
        <f>L24*1/Agriculture!$C$49*Agriculture!$E$16</f>
        <v>0</v>
      </c>
      <c r="H24" t="s">
        <v>450</v>
      </c>
      <c r="I24" s="73">
        <v>1500</v>
      </c>
      <c r="J24" s="73"/>
      <c r="K24" s="59">
        <f>IF(I24&gt;0,I24,J24/2000*Conversion!$D$22)</f>
        <v>1500</v>
      </c>
      <c r="L24" s="73"/>
      <c r="M24" s="73"/>
      <c r="N24" s="73"/>
      <c r="O24" s="72">
        <v>15.62</v>
      </c>
      <c r="P24" s="72">
        <v>30.75</v>
      </c>
      <c r="Q24" s="72">
        <v>76</v>
      </c>
      <c r="R24" s="72">
        <v>43.85</v>
      </c>
      <c r="S24" s="72">
        <v>751</v>
      </c>
      <c r="T24" s="73">
        <f t="shared" si="12"/>
        <v>11986.300000000001</v>
      </c>
      <c r="W24">
        <f t="shared" si="9"/>
        <v>1</v>
      </c>
      <c r="X24" s="3">
        <f>IF(K24&gt;0,F24/K24/W24*Conversion!$E$17,0)</f>
        <v>48.5</v>
      </c>
      <c r="Y24" s="3">
        <f>IF(L24&gt;0,G24/L24/W24*Conversion!$E$17,0)</f>
        <v>0</v>
      </c>
      <c r="Z24" s="3">
        <f t="shared" si="10"/>
        <v>48.5</v>
      </c>
      <c r="AA24" s="3">
        <f>(F24*T24)/365.26/Agriculture!$D$2</f>
        <v>0.82039506105240123</v>
      </c>
      <c r="AB24" s="4">
        <f>SUM(X24:Y24)*Conversion!$F$18</f>
        <v>1.1984834999999999E-2</v>
      </c>
      <c r="AC24">
        <f t="shared" si="13"/>
        <v>14.8</v>
      </c>
      <c r="AD24" s="4">
        <f t="shared" si="4"/>
        <v>0.17737555799999999</v>
      </c>
    </row>
    <row r="25" spans="1:30" ht="18">
      <c r="A25" t="s">
        <v>487</v>
      </c>
      <c r="B25">
        <v>3</v>
      </c>
      <c r="C25">
        <v>0</v>
      </c>
      <c r="D25">
        <f t="shared" si="11"/>
        <v>0</v>
      </c>
      <c r="F25" s="3">
        <f>IF(D25&gt;0,D25*Agriculture!$D$2+Agriculture!$E$16*E25,IF(E25&gt;0,0,Agriculture!$D$2*0.025))</f>
        <v>7.2750000000000004</v>
      </c>
      <c r="G25" s="3">
        <f>L25*1/Agriculture!$C$49*Agriculture!$E$16</f>
        <v>0</v>
      </c>
      <c r="H25" t="s">
        <v>450</v>
      </c>
      <c r="I25">
        <v>8000</v>
      </c>
      <c r="K25" s="59">
        <f>IF(I25&gt;0,I25,J25/2000*Conversion!$D$22)</f>
        <v>8000</v>
      </c>
      <c r="O25" s="72">
        <v>8.6</v>
      </c>
      <c r="P25" s="72">
        <v>21.8</v>
      </c>
      <c r="Q25" s="72">
        <v>9.1999999999999993</v>
      </c>
      <c r="R25" s="72">
        <v>48</v>
      </c>
      <c r="S25" s="73">
        <v>3290</v>
      </c>
      <c r="T25" s="73">
        <f t="shared" si="12"/>
        <v>5054</v>
      </c>
      <c r="V25">
        <v>1</v>
      </c>
      <c r="W25">
        <f t="shared" si="9"/>
        <v>1</v>
      </c>
      <c r="X25" s="3">
        <f>IF(K25&gt;0,F25/K25/W25*Conversion!$E$17,0)</f>
        <v>9.09375</v>
      </c>
      <c r="Y25" s="3">
        <f>IF(L25&gt;0,G25/L25/W25*Conversion!$E$17,0)</f>
        <v>0</v>
      </c>
      <c r="Z25" s="3">
        <f t="shared" si="10"/>
        <v>9.09375</v>
      </c>
      <c r="AA25" s="3">
        <f>(F25*T25)/365.26/Agriculture!$D$2</f>
        <v>0.34591797623610582</v>
      </c>
      <c r="AB25" s="4">
        <f>SUM(X25:Y25)*Conversion!$F$18</f>
        <v>2.2471565624999999E-3</v>
      </c>
      <c r="AC25">
        <f t="shared" si="13"/>
        <v>14.8</v>
      </c>
      <c r="AD25" s="4">
        <f t="shared" si="4"/>
        <v>3.3257917125000001E-2</v>
      </c>
    </row>
    <row r="26" spans="1:30" ht="18">
      <c r="A26" t="s">
        <v>402</v>
      </c>
      <c r="B26">
        <v>3</v>
      </c>
      <c r="C26">
        <v>0.1</v>
      </c>
      <c r="D26">
        <f t="shared" si="11"/>
        <v>0.55098892533936683</v>
      </c>
      <c r="F26" s="3">
        <f>IF(D26&gt;0,D26*Agriculture!$D$2+Agriculture!$E$16*E26,IF(E26&gt;0,0,Agriculture!$D$2*0.025))</f>
        <v>160.33777727375573</v>
      </c>
      <c r="G26" s="3">
        <f>L26*1/Agriculture!$C$49*Agriculture!$E$16</f>
        <v>0</v>
      </c>
      <c r="H26" t="s">
        <v>450</v>
      </c>
      <c r="I26" s="73">
        <v>1350</v>
      </c>
      <c r="J26" s="73"/>
      <c r="K26" s="59">
        <f>IF(I26&gt;0,I26,J26/2000*Conversion!$D$22)</f>
        <v>1350</v>
      </c>
      <c r="L26" s="73"/>
      <c r="M26" s="73"/>
      <c r="N26" s="73">
        <v>1</v>
      </c>
      <c r="O26" s="72">
        <v>0</v>
      </c>
      <c r="P26" s="72">
        <v>100</v>
      </c>
      <c r="Q26" s="72">
        <v>3</v>
      </c>
      <c r="R26" s="72">
        <v>0</v>
      </c>
      <c r="S26" s="73">
        <v>1188</v>
      </c>
      <c r="T26" s="73">
        <f t="shared" si="12"/>
        <v>9270</v>
      </c>
      <c r="W26">
        <f t="shared" si="9"/>
        <v>1</v>
      </c>
      <c r="X26" s="3">
        <f>IF(K26&gt;0,F26/K26/W26*Conversion!$E$17,0)</f>
        <v>1187.6872390648573</v>
      </c>
      <c r="Y26" s="3">
        <f>IF(L26&gt;0,G26/L26/W26*Conversion!$E$17,0)</f>
        <v>0</v>
      </c>
      <c r="Z26" s="3">
        <f t="shared" si="10"/>
        <v>1187.6872390648573</v>
      </c>
      <c r="AA26" s="3">
        <f>(F26*T26)/365.26/Agriculture!$D$2</f>
        <v>13.983648190045256</v>
      </c>
      <c r="AB26" s="4">
        <f>SUM(X26:Y26)*Conversion!$F$18</f>
        <v>0.29348939364531684</v>
      </c>
      <c r="AC26">
        <f t="shared" si="13"/>
        <v>14.8</v>
      </c>
      <c r="AD26" s="4">
        <f t="shared" si="4"/>
        <v>4.3436430259506897</v>
      </c>
    </row>
    <row r="27" spans="1:30" ht="18">
      <c r="A27" t="s">
        <v>403</v>
      </c>
      <c r="B27">
        <v>3</v>
      </c>
      <c r="C27">
        <v>0.1</v>
      </c>
      <c r="D27">
        <f t="shared" si="11"/>
        <v>0.55098892533936683</v>
      </c>
      <c r="F27" s="3">
        <f>IF(D27&gt;0,D27*Agriculture!$D$2+Agriculture!$E$16*E27,IF(E27&gt;0,0,Agriculture!$D$2*0.025))</f>
        <v>160.33777727375573</v>
      </c>
      <c r="G27" s="3">
        <f>L27*1/Agriculture!$C$49*Agriculture!$E$16</f>
        <v>0</v>
      </c>
      <c r="H27" t="s">
        <v>450</v>
      </c>
      <c r="I27" s="73">
        <v>3333</v>
      </c>
      <c r="J27" s="73"/>
      <c r="K27" s="59">
        <f>IF(I27&gt;0,I27,J27/2000*Conversion!$D$22)</f>
        <v>3333</v>
      </c>
      <c r="L27" s="73"/>
      <c r="M27" s="73"/>
      <c r="N27" s="73"/>
      <c r="O27" s="72">
        <v>35</v>
      </c>
      <c r="P27" s="72">
        <v>5</v>
      </c>
      <c r="Q27" s="72">
        <v>0</v>
      </c>
      <c r="R27" s="72">
        <v>30</v>
      </c>
      <c r="S27" s="72">
        <v>979</v>
      </c>
      <c r="T27" s="73">
        <f t="shared" si="12"/>
        <v>3050</v>
      </c>
      <c r="W27">
        <f t="shared" si="9"/>
        <v>1</v>
      </c>
      <c r="X27" s="3">
        <f>IF(K27&gt;0,F27/K27/W27*Conversion!$E$17,0)</f>
        <v>481.0614379650637</v>
      </c>
      <c r="Y27" s="3">
        <f>IF(L27&gt;0,G27/L27/W27*Conversion!$E$17,0)</f>
        <v>0</v>
      </c>
      <c r="Z27" s="3">
        <f t="shared" si="10"/>
        <v>481.0614379650637</v>
      </c>
      <c r="AA27" s="3">
        <f>(F27*T27)/365.26/Agriculture!$D$2</f>
        <v>4.6008766968325823</v>
      </c>
      <c r="AB27" s="4">
        <f>SUM(X27:Y27)*Conversion!$F$18</f>
        <v>0.11887509193554688</v>
      </c>
      <c r="AC27">
        <f t="shared" si="13"/>
        <v>14.8</v>
      </c>
      <c r="AD27" s="4">
        <f t="shared" si="4"/>
        <v>1.759351360646094</v>
      </c>
    </row>
    <row r="28" spans="1:30" ht="18">
      <c r="A28" t="s">
        <v>404</v>
      </c>
      <c r="B28">
        <v>3</v>
      </c>
      <c r="C28">
        <v>0.2</v>
      </c>
      <c r="D28">
        <f t="shared" si="11"/>
        <v>1.1019778506787337</v>
      </c>
      <c r="E28">
        <v>0.05</v>
      </c>
      <c r="F28" s="3">
        <f>IF(D28&gt;0,D28*Agriculture!$D$2+Agriculture!$E$16*E28,IF(E28&gt;0,0,Agriculture!$D$2*0.025))</f>
        <v>37304.009382174423</v>
      </c>
      <c r="G28" s="3">
        <f>L28*1/Agriculture!$C$49*Agriculture!$E$16</f>
        <v>15890.577937645163</v>
      </c>
      <c r="H28" t="s">
        <v>450</v>
      </c>
      <c r="I28" s="73">
        <v>2000</v>
      </c>
      <c r="J28" s="73"/>
      <c r="K28" s="59">
        <f>IF(I28&gt;0,I28,J28/2000*Conversion!$D$22)</f>
        <v>2000</v>
      </c>
      <c r="L28" s="73">
        <f>I28</f>
        <v>2000</v>
      </c>
      <c r="M28" s="73"/>
      <c r="N28" s="73"/>
      <c r="O28" s="72">
        <v>18.29</v>
      </c>
      <c r="P28" s="72">
        <v>42.16</v>
      </c>
      <c r="Q28" s="72">
        <v>68</v>
      </c>
      <c r="R28" s="72">
        <v>28.88</v>
      </c>
      <c r="S28" s="73">
        <v>1106</v>
      </c>
      <c r="T28" s="73">
        <f t="shared" si="12"/>
        <v>11801.199999999999</v>
      </c>
      <c r="W28">
        <f t="shared" si="9"/>
        <v>1</v>
      </c>
      <c r="X28" s="3">
        <f>IF(K28&gt;0,F28/K28/W28*Conversion!$E$17,0)</f>
        <v>186520.0469108721</v>
      </c>
      <c r="Y28" s="3">
        <f>IF(L28&gt;0,G28/L28/W28*Conversion!$E$17,0)</f>
        <v>79452.889688225812</v>
      </c>
      <c r="Z28" s="3">
        <f t="shared" si="10"/>
        <v>265972.93659909791</v>
      </c>
      <c r="AA28" s="3">
        <f>(F28*T28)/365.26/Agriculture!$D$2</f>
        <v>4141.7757263048024</v>
      </c>
      <c r="AB28" s="4">
        <f>SUM(X28:Y28)*Conversion!$F$18</f>
        <v>65.724572363003077</v>
      </c>
      <c r="AC28">
        <f t="shared" si="13"/>
        <v>14.8</v>
      </c>
      <c r="AD28" s="4">
        <f t="shared" si="4"/>
        <v>972.72367097244557</v>
      </c>
    </row>
    <row r="29" spans="1:30" ht="18">
      <c r="A29" t="s">
        <v>405</v>
      </c>
      <c r="B29">
        <v>3</v>
      </c>
      <c r="C29">
        <v>0</v>
      </c>
      <c r="D29">
        <f t="shared" si="11"/>
        <v>0</v>
      </c>
      <c r="F29" s="3">
        <f>IF(D29&gt;0,D29*Agriculture!$D$2+Agriculture!$E$16*E29,IF(E29&gt;0,0,Agriculture!$D$2*0.025))</f>
        <v>7.2750000000000004</v>
      </c>
      <c r="G29" s="3">
        <f>L29*1/Agriculture!$C$49*Agriculture!$E$16</f>
        <v>0</v>
      </c>
      <c r="H29" t="s">
        <v>450</v>
      </c>
      <c r="I29" s="73">
        <v>1071</v>
      </c>
      <c r="J29" s="73"/>
      <c r="K29" s="59">
        <f>IF(I29&gt;0,I29,J29/2000*Conversion!$D$22)</f>
        <v>1071</v>
      </c>
      <c r="L29" s="73"/>
      <c r="M29" s="73"/>
      <c r="N29" s="73"/>
      <c r="O29" s="72">
        <v>9</v>
      </c>
      <c r="P29" s="72">
        <v>1.8</v>
      </c>
      <c r="Q29" s="72"/>
      <c r="R29" s="72">
        <v>75</v>
      </c>
      <c r="S29" s="72">
        <v>366</v>
      </c>
      <c r="T29" s="73">
        <f t="shared" si="12"/>
        <v>3522</v>
      </c>
      <c r="W29">
        <f t="shared" si="9"/>
        <v>1</v>
      </c>
      <c r="X29" s="3">
        <f>IF(K29&gt;0,F29/K29/W29*Conversion!$E$17,0)</f>
        <v>67.927170868347346</v>
      </c>
      <c r="Y29" s="3">
        <f>IF(L29&gt;0,G29/L29/W29*Conversion!$E$17,0)</f>
        <v>0</v>
      </c>
      <c r="Z29" s="3">
        <f t="shared" si="10"/>
        <v>67.927170868347346</v>
      </c>
      <c r="AA29" s="3">
        <f>(F29*T29)/365.26/Agriculture!$D$2</f>
        <v>0.24106116191206267</v>
      </c>
      <c r="AB29" s="4">
        <f>SUM(X29:Y29)*Conversion!$F$18</f>
        <v>1.6785483193277311E-2</v>
      </c>
      <c r="AC29">
        <f t="shared" si="13"/>
        <v>14.8</v>
      </c>
      <c r="AD29" s="4">
        <f t="shared" si="4"/>
        <v>0.24842515126050421</v>
      </c>
    </row>
    <row r="30" spans="1:30" ht="18">
      <c r="A30" t="s">
        <v>407</v>
      </c>
      <c r="B30">
        <v>3</v>
      </c>
      <c r="C30">
        <v>0.2</v>
      </c>
      <c r="D30">
        <f t="shared" si="11"/>
        <v>1.1019778506787337</v>
      </c>
      <c r="F30" s="3">
        <f>IF(D30&gt;0,D30*Agriculture!$D$2+Agriculture!$E$16*E30,IF(E30&gt;0,0,Agriculture!$D$2*0.025))</f>
        <v>320.67555454751147</v>
      </c>
      <c r="G30" s="3">
        <f>L30*1/Agriculture!$C$49*Agriculture!$E$16</f>
        <v>0</v>
      </c>
      <c r="H30" t="s">
        <v>450</v>
      </c>
      <c r="I30" s="73">
        <v>2035</v>
      </c>
      <c r="J30" s="73"/>
      <c r="K30" s="59">
        <f>IF(I30&gt;0,I30,J30/2000*Conversion!$D$22)</f>
        <v>2035</v>
      </c>
      <c r="L30" s="73"/>
      <c r="M30" s="73"/>
      <c r="N30" s="73"/>
      <c r="O30" s="72">
        <v>25</v>
      </c>
      <c r="P30" s="72">
        <v>33</v>
      </c>
      <c r="Q30" s="72">
        <v>82</v>
      </c>
      <c r="R30" s="72">
        <v>30</v>
      </c>
      <c r="S30" s="72">
        <v>1022</v>
      </c>
      <c r="T30" s="73">
        <f t="shared" si="12"/>
        <v>12550</v>
      </c>
      <c r="W30">
        <f t="shared" si="9"/>
        <v>1</v>
      </c>
      <c r="X30" s="3">
        <f>IF(K30&gt;0,F30/K30/W30*Conversion!$E$17,0)</f>
        <v>1575.8012508477223</v>
      </c>
      <c r="Y30" s="3">
        <f>IF(L30&gt;0,G30/L30/W30*Conversion!$E$17,0)</f>
        <v>0</v>
      </c>
      <c r="Z30" s="3">
        <f t="shared" si="10"/>
        <v>1575.8012508477223</v>
      </c>
      <c r="AA30" s="3">
        <f>(F30*T30)/365.26/Agriculture!$D$2</f>
        <v>37.862952488687803</v>
      </c>
      <c r="AB30" s="4">
        <f>SUM(X30:Y30)*Conversion!$F$18</f>
        <v>0.38939624709698062</v>
      </c>
      <c r="AC30">
        <f t="shared" si="13"/>
        <v>14.8</v>
      </c>
      <c r="AD30" s="4">
        <f t="shared" si="4"/>
        <v>5.7630644570353136</v>
      </c>
    </row>
    <row r="31" spans="1:30" ht="18">
      <c r="A31" t="s">
        <v>410</v>
      </c>
      <c r="B31">
        <v>3</v>
      </c>
      <c r="C31">
        <v>0.2</v>
      </c>
      <c r="D31">
        <f t="shared" si="11"/>
        <v>1.1019778506787337</v>
      </c>
      <c r="F31" s="3">
        <f>IF(D31&gt;0,D31*Agriculture!$D$2+Agriculture!$E$16*E31,IF(E31&gt;0,0,Agriculture!$D$2*0.025))</f>
        <v>320.67555454751147</v>
      </c>
      <c r="G31" s="3">
        <f>L31*1/Agriculture!$C$49*Agriculture!$E$16</f>
        <v>7571.8603872879203</v>
      </c>
      <c r="H31" t="s">
        <v>450</v>
      </c>
      <c r="I31">
        <v>953</v>
      </c>
      <c r="K31" s="59">
        <f>IF(I31&gt;0,I31,J31/2000*Conversion!$D$22)</f>
        <v>953</v>
      </c>
      <c r="L31">
        <f>I31</f>
        <v>953</v>
      </c>
      <c r="O31" s="72">
        <v>11.02</v>
      </c>
      <c r="P31" s="72">
        <v>4.22</v>
      </c>
      <c r="Q31" s="72">
        <v>50.57</v>
      </c>
      <c r="R31" s="72">
        <v>72.849999999999994</v>
      </c>
      <c r="S31" s="72">
        <v>345</v>
      </c>
      <c r="T31" s="73">
        <f t="shared" si="12"/>
        <v>8285.9</v>
      </c>
      <c r="W31">
        <f t="shared" si="9"/>
        <v>1</v>
      </c>
      <c r="X31" s="3">
        <f>IF(K31&gt;0,F31/K31/W31*Conversion!$E$17,0)</f>
        <v>3364.906133761925</v>
      </c>
      <c r="Y31" s="3">
        <f>IF(L31&gt;0,G31/L31/W31*Conversion!$E$17,0)</f>
        <v>79452.889688225812</v>
      </c>
      <c r="Z31" s="3">
        <f t="shared" si="10"/>
        <v>82817.795821987733</v>
      </c>
      <c r="AA31" s="3">
        <f>(F31*T31)/365.26/Agriculture!$D$2</f>
        <v>24.998297850678746</v>
      </c>
      <c r="AB31" s="4">
        <f>SUM(X31:Y31)*Conversion!$F$18</f>
        <v>20.465105525571389</v>
      </c>
      <c r="AC31">
        <f t="shared" si="13"/>
        <v>14.8</v>
      </c>
      <c r="AD31" s="4">
        <f t="shared" si="4"/>
        <v>302.88356177845657</v>
      </c>
    </row>
    <row r="32" spans="1:30" ht="18">
      <c r="A32" t="s">
        <v>412</v>
      </c>
      <c r="B32">
        <v>3</v>
      </c>
      <c r="C32">
        <v>2</v>
      </c>
      <c r="D32">
        <f t="shared" si="11"/>
        <v>11.019778506787334</v>
      </c>
      <c r="F32" s="3">
        <f>IF(D32&gt;0,D32*Agriculture!$D$2+Agriculture!$E$16*E32,IF(E32&gt;0,0,Agriculture!$D$2*0.025))</f>
        <v>3206.7555454751141</v>
      </c>
      <c r="G32" s="3">
        <f>L32*1/Agriculture!$C$49*Agriculture!$E$16</f>
        <v>0</v>
      </c>
      <c r="H32" t="s">
        <v>450</v>
      </c>
      <c r="I32">
        <v>2000</v>
      </c>
      <c r="K32" s="59">
        <f>IF(I32&gt;0,I32,J32/2000*Conversion!$D$22)</f>
        <v>2000</v>
      </c>
      <c r="N32">
        <v>1</v>
      </c>
      <c r="O32" s="72">
        <v>0</v>
      </c>
      <c r="P32" s="72">
        <v>100</v>
      </c>
      <c r="Q32" s="72">
        <v>8</v>
      </c>
      <c r="R32" s="72">
        <v>0</v>
      </c>
      <c r="S32" s="72">
        <v>1760</v>
      </c>
      <c r="T32" s="73">
        <f t="shared" si="12"/>
        <v>9720</v>
      </c>
      <c r="W32">
        <f t="shared" si="9"/>
        <v>1</v>
      </c>
      <c r="X32" s="3">
        <f>IF(K32&gt;0,F32/K32/W32*Conversion!$E$17,0)</f>
        <v>16033.777727375571</v>
      </c>
      <c r="Y32" s="3">
        <f>IF(L32&gt;0,G32/L32/W32*Conversion!$E$17,0)</f>
        <v>0</v>
      </c>
      <c r="Z32" s="3">
        <f t="shared" si="10"/>
        <v>16033.777727375571</v>
      </c>
      <c r="AA32" s="3">
        <f>(F32*T32)/365.26/Agriculture!$D$2</f>
        <v>293.24932126696842</v>
      </c>
      <c r="AB32" s="4">
        <f>SUM(X32:Y32)*Conversion!$F$18</f>
        <v>3.962106814211777</v>
      </c>
      <c r="AC32">
        <f t="shared" si="13"/>
        <v>14.8</v>
      </c>
      <c r="AD32" s="4">
        <f t="shared" si="4"/>
        <v>58.639180850334306</v>
      </c>
    </row>
    <row r="33" spans="1:30" ht="18">
      <c r="A33" t="s">
        <v>462</v>
      </c>
      <c r="B33">
        <v>3</v>
      </c>
      <c r="C33">
        <v>0</v>
      </c>
      <c r="D33">
        <f t="shared" si="11"/>
        <v>0</v>
      </c>
      <c r="F33" s="3">
        <f>IF(D33&gt;0,D33*Agriculture!$D$2+Agriculture!$E$16*E33,IF(E33&gt;0,0,Agriculture!$D$2*0.025))</f>
        <v>7.2750000000000004</v>
      </c>
      <c r="G33" s="3">
        <f>L33*1/Agriculture!$C$49*Agriculture!$E$16</f>
        <v>0</v>
      </c>
      <c r="J33">
        <v>4320</v>
      </c>
      <c r="K33" s="59">
        <f>IF(I33&gt;0,I33,J33/2000*Conversion!$D$22)</f>
        <v>4842.0769896000002</v>
      </c>
      <c r="N33">
        <v>1</v>
      </c>
      <c r="O33" s="72"/>
      <c r="P33" s="72"/>
      <c r="Q33" s="72"/>
      <c r="R33" s="72"/>
      <c r="S33" s="72"/>
      <c r="T33" s="73">
        <f t="shared" si="12"/>
        <v>0</v>
      </c>
      <c r="W33">
        <f t="shared" si="9"/>
        <v>1</v>
      </c>
      <c r="X33" s="3">
        <f>IF(K33&gt;0,F33/K33/W33*Conversion!$E$17,0)</f>
        <v>15.024544251620794</v>
      </c>
      <c r="Y33" s="3">
        <f>IF(L33&gt;0,G33/L33/W33*Conversion!$E$17,0)</f>
        <v>0</v>
      </c>
      <c r="Z33" s="3">
        <f t="shared" si="10"/>
        <v>15.024544251620794</v>
      </c>
      <c r="AA33" s="3">
        <f>(F33*T33)/365.26/Agriculture!$D$2</f>
        <v>0</v>
      </c>
      <c r="AB33" s="4">
        <f>SUM(X33:Y33)*Conversion!$F$18</f>
        <v>3.7127151300180143E-3</v>
      </c>
      <c r="AC33">
        <f t="shared" si="13"/>
        <v>14.8</v>
      </c>
      <c r="AD33" s="4">
        <f t="shared" si="4"/>
        <v>5.4948183924266612E-2</v>
      </c>
    </row>
    <row r="34" spans="1:30" ht="18">
      <c r="A34" t="s">
        <v>414</v>
      </c>
      <c r="B34">
        <v>3</v>
      </c>
      <c r="C34">
        <v>0</v>
      </c>
      <c r="D34">
        <f t="shared" si="11"/>
        <v>0</v>
      </c>
      <c r="F34" s="3">
        <f>IF(D34&gt;0,D34*Agriculture!$D$2+Agriculture!$E$16*E34,IF(E34&gt;0,0,Agriculture!$D$2*0.025))</f>
        <v>7.2750000000000004</v>
      </c>
      <c r="G34" s="3">
        <f>L34*1/Agriculture!$C$49*Agriculture!$E$16</f>
        <v>0</v>
      </c>
      <c r="H34" t="s">
        <v>450</v>
      </c>
      <c r="I34">
        <v>291</v>
      </c>
      <c r="K34" s="59">
        <f>IF(I34&gt;0,I34,J34/2000*Conversion!$D$22)</f>
        <v>291</v>
      </c>
      <c r="N34">
        <v>1</v>
      </c>
      <c r="O34" s="72"/>
      <c r="P34" s="72">
        <v>100</v>
      </c>
      <c r="Q34" s="72">
        <v>2.2999999999999998</v>
      </c>
      <c r="R34" s="72"/>
      <c r="S34" s="72">
        <v>256</v>
      </c>
      <c r="T34" s="73">
        <f t="shared" si="12"/>
        <v>9207</v>
      </c>
      <c r="W34">
        <f t="shared" si="9"/>
        <v>1</v>
      </c>
      <c r="X34" s="3">
        <f>IF(K34&gt;0,F34/K34/W34*Conversion!$E$17,0)</f>
        <v>250</v>
      </c>
      <c r="Y34" s="3">
        <f>IF(L34&gt;0,G34/L34/W34*Conversion!$E$17,0)</f>
        <v>0</v>
      </c>
      <c r="Z34" s="3">
        <f t="shared" si="10"/>
        <v>250</v>
      </c>
      <c r="AA34" s="3">
        <f>(F34*T34)/365.26/Agriculture!$D$2</f>
        <v>0.63016755188085205</v>
      </c>
      <c r="AB34" s="4">
        <f>SUM(X34:Y34)*Conversion!$F$18</f>
        <v>6.1777499999999999E-2</v>
      </c>
      <c r="AC34">
        <f t="shared" si="13"/>
        <v>14.8</v>
      </c>
      <c r="AD34" s="4">
        <f t="shared" si="4"/>
        <v>0.91430699999999998</v>
      </c>
    </row>
    <row r="35" spans="1:30" ht="18">
      <c r="A35" t="s">
        <v>413</v>
      </c>
      <c r="B35">
        <v>3</v>
      </c>
      <c r="C35">
        <v>0</v>
      </c>
      <c r="D35">
        <f t="shared" si="11"/>
        <v>0</v>
      </c>
      <c r="F35" s="3">
        <f>IF(D35&gt;0,D35*Agriculture!$D$2+Agriculture!$E$16*E35,IF(E35&gt;0,0,Agriculture!$D$2*0.025))</f>
        <v>7.2750000000000004</v>
      </c>
      <c r="G35" s="3">
        <f>L35*1/Agriculture!$C$49*Agriculture!$E$16</f>
        <v>0</v>
      </c>
      <c r="H35" t="s">
        <v>450</v>
      </c>
      <c r="I35">
        <v>4000</v>
      </c>
      <c r="K35" s="59">
        <f>IF(I35&gt;0,I35,J35/2000*Conversion!$D$22)</f>
        <v>4000</v>
      </c>
      <c r="N35">
        <v>1</v>
      </c>
      <c r="O35" s="72">
        <v>0</v>
      </c>
      <c r="P35" s="72">
        <v>100</v>
      </c>
      <c r="Q35" s="72">
        <v>10.8</v>
      </c>
      <c r="R35" s="72">
        <v>0</v>
      </c>
      <c r="S35" s="72">
        <v>3520</v>
      </c>
      <c r="T35" s="73">
        <f t="shared" si="12"/>
        <v>9972</v>
      </c>
      <c r="W35">
        <f t="shared" si="9"/>
        <v>1</v>
      </c>
      <c r="X35" s="3">
        <f>IF(K35&gt;0,F35/K35/W35*Conversion!$E$17,0)</f>
        <v>18.1875</v>
      </c>
      <c r="Y35" s="3">
        <f>IF(L35&gt;0,G35/L35/W35*Conversion!$E$17,0)</f>
        <v>0</v>
      </c>
      <c r="Z35" s="3">
        <f t="shared" si="10"/>
        <v>18.1875</v>
      </c>
      <c r="AA35" s="3">
        <f>(F35*T35)/365.26/Agriculture!$D$2</f>
        <v>0.68252751464710082</v>
      </c>
      <c r="AB35" s="4">
        <f>SUM(X35:Y35)*Conversion!$F$18</f>
        <v>4.4943131249999997E-3</v>
      </c>
      <c r="AC35">
        <f t="shared" si="13"/>
        <v>14.8</v>
      </c>
      <c r="AD35" s="4">
        <f t="shared" si="4"/>
        <v>6.6515834250000003E-2</v>
      </c>
    </row>
    <row r="36" spans="1:30" ht="18">
      <c r="A36" t="s">
        <v>453</v>
      </c>
      <c r="B36">
        <v>3</v>
      </c>
      <c r="C36">
        <v>0.1</v>
      </c>
      <c r="D36">
        <f t="shared" si="11"/>
        <v>0.55098892533936683</v>
      </c>
      <c r="F36" s="3">
        <f>IF(D36&gt;0,D36*Agriculture!$D$2+Agriculture!$E$16*E36,IF(E36&gt;0,0,Agriculture!$D$2*0.025))</f>
        <v>160.33777727375573</v>
      </c>
      <c r="G36" s="3">
        <f>L36*1/Agriculture!$C$49*Agriculture!$E$16</f>
        <v>0</v>
      </c>
      <c r="J36">
        <v>962</v>
      </c>
      <c r="K36" s="59">
        <f>IF(I36&gt;0,I36,J36/2000*Conversion!$D$22)</f>
        <v>1078.2588111100001</v>
      </c>
      <c r="N36">
        <v>1</v>
      </c>
      <c r="O36" s="72"/>
      <c r="P36" s="72"/>
      <c r="Q36" s="72"/>
      <c r="R36" s="72"/>
      <c r="S36" s="72"/>
      <c r="T36" s="73">
        <f t="shared" si="12"/>
        <v>0</v>
      </c>
      <c r="W36">
        <f t="shared" si="9"/>
        <v>1</v>
      </c>
      <c r="X36" s="3">
        <f>IF(K36&gt;0,F36/K36/W36*Conversion!$E$17,0)</f>
        <v>1487.0064183263942</v>
      </c>
      <c r="Y36" s="3">
        <f>IF(L36&gt;0,G36/L36/W36*Conversion!$E$17,0)</f>
        <v>0</v>
      </c>
      <c r="Z36" s="3">
        <f t="shared" si="10"/>
        <v>1487.0064183263942</v>
      </c>
      <c r="AA36" s="3">
        <f>(F36*T36)/365.26/Agriculture!$D$2</f>
        <v>0</v>
      </c>
      <c r="AB36" s="4">
        <f>SUM(X36:Y36)*Conversion!$F$18</f>
        <v>0.36745415603263526</v>
      </c>
      <c r="AC36">
        <f t="shared" si="13"/>
        <v>14.8</v>
      </c>
      <c r="AD36" s="4">
        <f t="shared" si="4"/>
        <v>5.4383215092830017</v>
      </c>
    </row>
    <row r="37" spans="1:30" ht="18">
      <c r="A37" t="s">
        <v>454</v>
      </c>
      <c r="B37">
        <v>3</v>
      </c>
      <c r="C37">
        <v>0.1</v>
      </c>
      <c r="D37">
        <f t="shared" si="11"/>
        <v>0.55098892533936683</v>
      </c>
      <c r="F37" s="3">
        <f>IF(D37&gt;0,D37*Agriculture!$D$2+Agriculture!$E$16*E37,IF(E37&gt;0,0,Agriculture!$D$2*0.025))</f>
        <v>160.33777727375573</v>
      </c>
      <c r="G37" s="3">
        <f>L37*1/Agriculture!$C$49*Agriculture!$E$16</f>
        <v>0</v>
      </c>
      <c r="J37">
        <v>1490</v>
      </c>
      <c r="K37" s="59">
        <f>IF(I37&gt;0,I37,J37/2000*Conversion!$D$22)</f>
        <v>1670.0682209500001</v>
      </c>
      <c r="N37">
        <v>1</v>
      </c>
      <c r="O37" s="72"/>
      <c r="P37" s="72"/>
      <c r="Q37" s="72"/>
      <c r="R37" s="72"/>
      <c r="S37" s="72"/>
      <c r="T37" s="73">
        <f t="shared" si="12"/>
        <v>0</v>
      </c>
      <c r="W37">
        <f t="shared" si="9"/>
        <v>1</v>
      </c>
      <c r="X37" s="3">
        <f>IF(K37&gt;0,F37/K37/W37*Conversion!$E$17,0)</f>
        <v>960.06723116106809</v>
      </c>
      <c r="Y37" s="3">
        <f>IF(L37&gt;0,G37/L37/W37*Conversion!$E$17,0)</f>
        <v>0</v>
      </c>
      <c r="Z37" s="3">
        <f t="shared" si="10"/>
        <v>960.06723116106809</v>
      </c>
      <c r="AA37" s="3">
        <f>(F37*T37)/365.26/Agriculture!$D$2</f>
        <v>0</v>
      </c>
      <c r="AB37" s="4">
        <f>SUM(X37:Y37)*Conversion!$F$18</f>
        <v>0.23724221349221153</v>
      </c>
      <c r="AC37">
        <f t="shared" si="13"/>
        <v>14.8</v>
      </c>
      <c r="AD37" s="4">
        <f t="shared" si="4"/>
        <v>3.5111847596847308</v>
      </c>
    </row>
    <row r="38" spans="1:30" ht="18">
      <c r="A38" t="s">
        <v>434</v>
      </c>
      <c r="B38">
        <v>3</v>
      </c>
      <c r="C38">
        <v>0.1</v>
      </c>
      <c r="D38">
        <f t="shared" si="11"/>
        <v>0.55098892533936683</v>
      </c>
      <c r="F38" s="3">
        <f>IF(D38&gt;0,D38*Agriculture!$D$2+Agriculture!$E$16*E38,IF(E38&gt;0,0,Agriculture!$D$2*0.025))</f>
        <v>160.33777727375573</v>
      </c>
      <c r="G38" s="3">
        <f>L38*1/Agriculture!$C$49*Agriculture!$E$16</f>
        <v>0</v>
      </c>
      <c r="I38">
        <v>924</v>
      </c>
      <c r="K38" s="59">
        <f>IF(I38&gt;0,I38,J38/2000*Conversion!$D$22)</f>
        <v>924</v>
      </c>
      <c r="M38">
        <v>150</v>
      </c>
      <c r="O38" s="72">
        <v>30.23</v>
      </c>
      <c r="P38" s="72">
        <v>49</v>
      </c>
      <c r="Q38" s="72">
        <v>42</v>
      </c>
      <c r="R38" s="72">
        <v>11</v>
      </c>
      <c r="S38" s="72">
        <v>543</v>
      </c>
      <c r="T38" s="73">
        <f t="shared" si="12"/>
        <v>9839.2000000000007</v>
      </c>
      <c r="W38">
        <f t="shared" si="9"/>
        <v>2.4000000000000004</v>
      </c>
      <c r="X38" s="3">
        <f>IF(K38&gt;0,F38/K38/W38*Conversion!$E$17,0)</f>
        <v>723.02388741772961</v>
      </c>
      <c r="Y38" s="3">
        <f>IF(L38&gt;0,G38/L38/W38*Conversion!$E$17,0)</f>
        <v>0</v>
      </c>
      <c r="Z38" s="3">
        <f t="shared" si="10"/>
        <v>723.02388741772961</v>
      </c>
      <c r="AA38" s="3">
        <f>(F38*T38)/365.26/Agriculture!$D$2</f>
        <v>14.842277375565619</v>
      </c>
      <c r="AB38" s="4">
        <f>SUM(X38:Y38)*Conversion!$F$18</f>
        <v>0.17866643281979516</v>
      </c>
      <c r="AC38">
        <f t="shared" si="13"/>
        <v>14.8</v>
      </c>
      <c r="AD38" s="4">
        <f t="shared" si="4"/>
        <v>6.3462316937591261</v>
      </c>
    </row>
    <row r="39" spans="1:30" ht="18">
      <c r="A39" t="s">
        <v>418</v>
      </c>
      <c r="B39">
        <v>3</v>
      </c>
      <c r="C39">
        <v>0.2</v>
      </c>
      <c r="D39">
        <f t="shared" si="11"/>
        <v>1.1019778506787337</v>
      </c>
      <c r="F39" s="3">
        <f>IF(D39&gt;0,D39*Agriculture!$D$2+Agriculture!$E$16*E39,IF(E39&gt;0,0,Agriculture!$D$2*0.025))</f>
        <v>320.67555454751147</v>
      </c>
      <c r="G39" s="3">
        <f>L39*1/Agriculture!$C$49*Agriculture!$E$16</f>
        <v>75837.783207411543</v>
      </c>
      <c r="H39" t="s">
        <v>450</v>
      </c>
      <c r="I39">
        <v>1909</v>
      </c>
      <c r="K39" s="59">
        <f>IF(I39&gt;0,I39,J39/2000*Conversion!$D$22)</f>
        <v>1909</v>
      </c>
      <c r="L39">
        <f>I39*5</f>
        <v>9545</v>
      </c>
      <c r="O39" s="72">
        <v>0</v>
      </c>
      <c r="P39" s="72">
        <v>44</v>
      </c>
      <c r="Q39" s="72">
        <v>0</v>
      </c>
      <c r="R39" s="72">
        <v>0</v>
      </c>
      <c r="S39" s="72">
        <v>739</v>
      </c>
      <c r="T39" s="73">
        <f t="shared" si="12"/>
        <v>3960</v>
      </c>
      <c r="W39">
        <f t="shared" si="9"/>
        <v>1</v>
      </c>
      <c r="X39" s="3">
        <f>IF(K39&gt;0,F39/K39/W39*Conversion!$E$17,0)</f>
        <v>1679.8090861577341</v>
      </c>
      <c r="Y39" s="3">
        <f>IF(L39&gt;0,G39/L39/W39*Conversion!$E$17,0)</f>
        <v>79452.889688225812</v>
      </c>
      <c r="Z39" s="3">
        <f t="shared" si="10"/>
        <v>81132.698774383549</v>
      </c>
      <c r="AA39" s="3">
        <f>(F39*T39)/365.26/Agriculture!$D$2</f>
        <v>11.947194570135753</v>
      </c>
      <c r="AB39" s="4">
        <f>SUM(X39:Y39)*Conversion!$F$18</f>
        <v>20.048701194137916</v>
      </c>
      <c r="AC39">
        <f t="shared" si="13"/>
        <v>14.8</v>
      </c>
      <c r="AD39" s="4">
        <f t="shared" si="4"/>
        <v>296.72077767324117</v>
      </c>
    </row>
    <row r="40" spans="1:30" ht="18">
      <c r="A40" t="s">
        <v>422</v>
      </c>
      <c r="B40">
        <v>3</v>
      </c>
      <c r="C40">
        <v>0.2</v>
      </c>
      <c r="D40">
        <f t="shared" si="11"/>
        <v>1.1019778506787337</v>
      </c>
      <c r="F40" s="3">
        <f>IF(D40&gt;0,D40*Agriculture!$D$2+Agriculture!$E$16*E40,IF(E40&gt;0,0,Agriculture!$D$2*0.025))</f>
        <v>320.67555454751147</v>
      </c>
      <c r="G40" s="3">
        <f>L40*1/Agriculture!$C$49*Agriculture!$E$16</f>
        <v>0</v>
      </c>
      <c r="H40" t="s">
        <v>450</v>
      </c>
      <c r="I40">
        <v>890</v>
      </c>
      <c r="K40" s="59">
        <f>IF(I40&gt;0,I40,J40/2000*Conversion!$D$22)</f>
        <v>890</v>
      </c>
      <c r="O40" s="72">
        <v>16.18</v>
      </c>
      <c r="P40" s="72">
        <v>38.450000000000003</v>
      </c>
      <c r="Q40" s="72">
        <v>73.400000000000006</v>
      </c>
      <c r="R40" s="72">
        <v>34.39</v>
      </c>
      <c r="S40" s="72">
        <v>475</v>
      </c>
      <c r="T40" s="73">
        <f t="shared" si="12"/>
        <v>12089.300000000001</v>
      </c>
      <c r="W40">
        <f t="shared" si="9"/>
        <v>1</v>
      </c>
      <c r="X40" s="3">
        <f>IF(K40&gt;0,F40/K40/W40*Conversion!$E$17,0)</f>
        <v>3603.0961185113647</v>
      </c>
      <c r="Y40" s="3">
        <f>IF(L40&gt;0,G40/L40/W40*Conversion!$E$17,0)</f>
        <v>0</v>
      </c>
      <c r="Z40" s="3">
        <f t="shared" si="10"/>
        <v>3603.0961185113647</v>
      </c>
      <c r="AA40" s="3">
        <f>(F40*T40)/365.26/Agriculture!$D$2</f>
        <v>36.473035180995502</v>
      </c>
      <c r="AB40" s="4">
        <f>SUM(X40:Y40)*Conversion!$F$18</f>
        <v>0.89036108184534324</v>
      </c>
      <c r="AC40">
        <f t="shared" si="13"/>
        <v>14.8</v>
      </c>
      <c r="AD40" s="4">
        <f t="shared" si="4"/>
        <v>13.17734401131108</v>
      </c>
    </row>
    <row r="41" spans="1:30" ht="18">
      <c r="A41" t="s">
        <v>423</v>
      </c>
      <c r="B41">
        <v>3</v>
      </c>
      <c r="C41">
        <v>0.1</v>
      </c>
      <c r="D41">
        <f t="shared" si="11"/>
        <v>0.55098892533936683</v>
      </c>
      <c r="F41" s="3">
        <f>IF(D41&gt;0,D41*Agriculture!$D$2+Agriculture!$E$16*E41,IF(E41&gt;0,0,Agriculture!$D$2*0.025))</f>
        <v>160.33777727375573</v>
      </c>
      <c r="G41" s="3">
        <f>L41*1/Agriculture!$C$49*Agriculture!$E$16</f>
        <v>0</v>
      </c>
      <c r="H41" t="s">
        <v>450</v>
      </c>
      <c r="I41">
        <v>478</v>
      </c>
      <c r="K41" s="59">
        <f>IF(I41&gt;0,I41,J41/2000*Conversion!$D$22)</f>
        <v>478</v>
      </c>
      <c r="O41" s="72">
        <v>17.73</v>
      </c>
      <c r="P41" s="72">
        <v>49.67</v>
      </c>
      <c r="Q41" s="72">
        <v>44</v>
      </c>
      <c r="R41" s="72">
        <v>23.45</v>
      </c>
      <c r="S41" s="72">
        <v>285</v>
      </c>
      <c r="T41" s="73">
        <f t="shared" si="12"/>
        <v>10077.5</v>
      </c>
      <c r="W41">
        <f t="shared" si="9"/>
        <v>1</v>
      </c>
      <c r="X41" s="3">
        <f>IF(K41&gt;0,F41/K41/W41*Conversion!$E$17,0)</f>
        <v>3354.3468048902873</v>
      </c>
      <c r="Y41" s="3">
        <f>IF(L41&gt;0,G41/L41/W41*Conversion!$E$17,0)</f>
        <v>0</v>
      </c>
      <c r="Z41" s="3">
        <f t="shared" si="10"/>
        <v>3354.3468048902873</v>
      </c>
      <c r="AA41" s="3">
        <f>(F41*T41)/365.26/Agriculture!$D$2</f>
        <v>15.201749151583718</v>
      </c>
      <c r="AB41" s="4">
        <f>SUM(X41:Y41)*Conversion!$F$18</f>
        <v>0.82889263895643883</v>
      </c>
      <c r="AC41">
        <f t="shared" si="13"/>
        <v>14.8</v>
      </c>
      <c r="AD41" s="4">
        <f t="shared" si="4"/>
        <v>12.267611056555296</v>
      </c>
    </row>
    <row r="42" spans="1:30" ht="18">
      <c r="A42" t="s">
        <v>427</v>
      </c>
      <c r="B42">
        <v>3</v>
      </c>
      <c r="C42">
        <v>0.1</v>
      </c>
      <c r="D42">
        <f t="shared" si="11"/>
        <v>0.55098892533936683</v>
      </c>
      <c r="F42" s="3">
        <f>IF(D42&gt;0,D42*Agriculture!$D$2+Agriculture!$E$16*E42,IF(E42&gt;0,0,Agriculture!$D$2*0.025))</f>
        <v>160.33777727375573</v>
      </c>
      <c r="G42" s="3">
        <f>L42*1/Agriculture!$C$49*Agriculture!$E$16</f>
        <v>0</v>
      </c>
      <c r="H42" t="s">
        <v>450</v>
      </c>
      <c r="I42">
        <v>1424</v>
      </c>
      <c r="K42" s="59">
        <f>IF(I42&gt;0,I42,J42/2000*Conversion!$D$22)</f>
        <v>1424</v>
      </c>
      <c r="O42" s="72">
        <v>20.78</v>
      </c>
      <c r="P42" s="72">
        <v>51.64</v>
      </c>
      <c r="Q42" s="72">
        <v>45</v>
      </c>
      <c r="R42" s="72">
        <v>20</v>
      </c>
      <c r="S42" s="72">
        <v>868</v>
      </c>
      <c r="T42" s="73">
        <f t="shared" si="12"/>
        <v>10328.800000000001</v>
      </c>
      <c r="W42">
        <f t="shared" si="9"/>
        <v>1</v>
      </c>
      <c r="X42" s="3">
        <f>IF(K42&gt;0,F42/K42/W42*Conversion!$E$17,0)</f>
        <v>1125.9675370348016</v>
      </c>
      <c r="Y42" s="3">
        <f>IF(L42&gt;0,G42/L42/W42*Conversion!$E$17,0)</f>
        <v>0</v>
      </c>
      <c r="Z42" s="3">
        <f t="shared" si="10"/>
        <v>1125.9675370348016</v>
      </c>
      <c r="AA42" s="3">
        <f>(F42*T42)/365.26/Agriculture!$D$2</f>
        <v>15.580831221719466</v>
      </c>
      <c r="AB42" s="4">
        <f>SUM(X42:Y42)*Conversion!$F$18</f>
        <v>0.2782378380766698</v>
      </c>
      <c r="AC42">
        <f t="shared" si="13"/>
        <v>14.8</v>
      </c>
      <c r="AD42" s="4">
        <f t="shared" si="4"/>
        <v>4.1179200035347128</v>
      </c>
    </row>
    <row r="43" spans="1:30" ht="18">
      <c r="A43" t="s">
        <v>455</v>
      </c>
      <c r="B43">
        <v>3</v>
      </c>
      <c r="C43">
        <v>0.1</v>
      </c>
      <c r="D43">
        <f t="shared" si="11"/>
        <v>0.55098892533936683</v>
      </c>
      <c r="F43" s="3">
        <f>IF(D43&gt;0,D43*Agriculture!$D$2+Agriculture!$E$16*E43,IF(E43&gt;0,0,Agriculture!$D$2*0.025))</f>
        <v>160.33777727375573</v>
      </c>
      <c r="G43" s="3">
        <f>L43*1/Agriculture!$C$49*Agriculture!$E$16</f>
        <v>0</v>
      </c>
      <c r="J43">
        <v>2760</v>
      </c>
      <c r="K43" s="59">
        <f>IF(I43&gt;0,I43,J43/2000*Conversion!$D$22)</f>
        <v>3093.5491877999998</v>
      </c>
      <c r="T43" s="73">
        <f t="shared" si="12"/>
        <v>0</v>
      </c>
      <c r="W43">
        <f t="shared" si="9"/>
        <v>1</v>
      </c>
      <c r="X43" s="3">
        <f>IF(K43&gt;0,F43/K43/W43*Conversion!$E$17,0)</f>
        <v>518.29716464854766</v>
      </c>
      <c r="Y43" s="3">
        <f>IF(L43&gt;0,G43/L43/W43*Conversion!$E$17,0)</f>
        <v>0</v>
      </c>
      <c r="Z43" s="3">
        <f t="shared" si="10"/>
        <v>518.29716464854766</v>
      </c>
      <c r="AA43" s="3">
        <f>(F43*T43)/365.26/Agriculture!$D$2</f>
        <v>0</v>
      </c>
      <c r="AB43" s="4">
        <f>SUM(X43:Y43)*Conversion!$F$18</f>
        <v>0.1280764123563026</v>
      </c>
      <c r="AC43">
        <f t="shared" si="13"/>
        <v>14.8</v>
      </c>
      <c r="AD43" s="4">
        <f t="shared" si="4"/>
        <v>1.8955309028732785</v>
      </c>
    </row>
    <row r="44" spans="1:30" ht="18">
      <c r="F44" s="3"/>
      <c r="G44" s="3"/>
      <c r="K44" s="59"/>
      <c r="T44" s="73"/>
      <c r="X44" s="3"/>
      <c r="Y44" s="3"/>
      <c r="Z44" s="3"/>
      <c r="AA44" s="3"/>
      <c r="AB44" s="4">
        <f>SUM(X44:Y44)*Conversion!$F$18</f>
        <v>0</v>
      </c>
      <c r="AC44">
        <f t="shared" si="13"/>
        <v>14.8</v>
      </c>
      <c r="AD44" s="4">
        <f t="shared" si="4"/>
        <v>0</v>
      </c>
    </row>
    <row r="45" spans="1:30" ht="18">
      <c r="A45" t="str">
        <f>Agriculture!B29</f>
        <v>Fruits &amp; Vegetables</v>
      </c>
      <c r="B45">
        <f>COUNT(B46:B81)</f>
        <v>36</v>
      </c>
      <c r="C45">
        <f>SUM(C46:C81)</f>
        <v>35.400000000000006</v>
      </c>
      <c r="D45">
        <f>Agriculture!G29</f>
        <v>140.84938245614035</v>
      </c>
      <c r="F45" s="3"/>
      <c r="G45" s="3"/>
      <c r="K45" s="59"/>
      <c r="T45" s="73"/>
      <c r="X45" s="3"/>
      <c r="Y45" s="3"/>
      <c r="Z45" s="3"/>
      <c r="AA45" s="3"/>
      <c r="AB45" s="4">
        <f>SUM(X45:Y45)*Conversion!$F$18</f>
        <v>0</v>
      </c>
      <c r="AC45">
        <f t="shared" si="13"/>
        <v>14.8</v>
      </c>
      <c r="AD45" s="4">
        <f t="shared" si="4"/>
        <v>0</v>
      </c>
    </row>
    <row r="46" spans="1:30" ht="18">
      <c r="A46" t="s">
        <v>128</v>
      </c>
      <c r="B46">
        <v>6</v>
      </c>
      <c r="C46">
        <v>1</v>
      </c>
      <c r="D46">
        <f>$D$45*C46/$C$45</f>
        <v>3.9787961145802351</v>
      </c>
      <c r="F46" s="3">
        <f>IF(D46&gt;0,D46*Agriculture!$D$2+Agriculture!$E$16*E46,IF(E46&gt;0,0,Agriculture!$D$2*0.025))</f>
        <v>1157.8296693428483</v>
      </c>
      <c r="G46" s="3">
        <f>L46*1/Agriculture!$C$49*Agriculture!$E$16</f>
        <v>0</v>
      </c>
      <c r="J46">
        <v>25400</v>
      </c>
      <c r="K46" s="59">
        <f>IF(I46&gt;0,I46,J46/2000*Conversion!$D$22)</f>
        <v>28469.619337</v>
      </c>
      <c r="N46">
        <v>1</v>
      </c>
      <c r="R46">
        <v>98</v>
      </c>
      <c r="T46" s="73">
        <f t="shared" ref="T46:T81" si="14">(O46*4+R46*4+P46*9+Q46*9)*10</f>
        <v>3920</v>
      </c>
      <c r="W46">
        <f t="shared" ref="W46:W81" si="15">IF(N46&gt;0,1,IF(M46&gt;0,FLOOR(365.26/M46,0.1),1))</f>
        <v>1</v>
      </c>
      <c r="X46" s="3">
        <f>IF(K46&gt;0,F46/K46/W46*Conversion!$E$17,0)</f>
        <v>406.68955058281972</v>
      </c>
      <c r="Y46" s="3">
        <f>IF(L46&gt;0,G46/L46/W46*Conversion!$E$17,0)</f>
        <v>0</v>
      </c>
      <c r="Z46" s="3">
        <f t="shared" ref="Z46:Z81" si="16">(X46+Y46)*IF(U46&gt;0,U46,1)</f>
        <v>406.68955058281972</v>
      </c>
      <c r="AA46" s="3">
        <f>(F46*T46)/365.26/Agriculture!$D$2</f>
        <v>42.700763207453655</v>
      </c>
      <c r="AB46" s="4">
        <f>SUM(X46:Y46)*Conversion!$F$18</f>
        <v>0.10049705484452058</v>
      </c>
      <c r="AC46">
        <f t="shared" si="13"/>
        <v>14.8</v>
      </c>
      <c r="AD46" s="4">
        <f t="shared" si="4"/>
        <v>1.4873564116989046</v>
      </c>
    </row>
    <row r="47" spans="1:30" ht="18">
      <c r="A47" t="s">
        <v>456</v>
      </c>
      <c r="B47">
        <v>6</v>
      </c>
      <c r="C47">
        <v>1</v>
      </c>
      <c r="D47">
        <f t="shared" ref="D47:D81" si="17">$D$45*C47/$C$45</f>
        <v>3.9787961145802351</v>
      </c>
      <c r="F47" s="3">
        <f>IF(D47&gt;0,D47*Agriculture!$D$2+Agriculture!$E$16*E47,IF(E47&gt;0,0,Agriculture!$D$2*0.025))</f>
        <v>1157.8296693428483</v>
      </c>
      <c r="G47" s="3">
        <f>L47*1/Agriculture!$C$49*Agriculture!$E$16</f>
        <v>0</v>
      </c>
      <c r="J47">
        <v>11260</v>
      </c>
      <c r="K47" s="59">
        <f>IF(I47&gt;0,I47,J47/2000*Conversion!$D$22)</f>
        <v>12620.7840053</v>
      </c>
      <c r="N47">
        <v>1</v>
      </c>
      <c r="R47">
        <v>98</v>
      </c>
      <c r="T47" s="73">
        <f t="shared" si="14"/>
        <v>3920</v>
      </c>
      <c r="W47">
        <f t="shared" si="15"/>
        <v>1</v>
      </c>
      <c r="X47" s="3">
        <f>IF(K47&gt;0,F47/K47/W47*Conversion!$E$17,0)</f>
        <v>917.39916383691127</v>
      </c>
      <c r="Y47" s="3">
        <f>IF(L47&gt;0,G47/L47/W47*Conversion!$E$17,0)</f>
        <v>0</v>
      </c>
      <c r="Z47" s="3">
        <f t="shared" si="16"/>
        <v>917.39916383691127</v>
      </c>
      <c r="AA47" s="3">
        <f>(F47*T47)/365.26/Agriculture!$D$2</f>
        <v>42.700763207453655</v>
      </c>
      <c r="AB47" s="4">
        <f>SUM(X47:Y47)*Conversion!$F$18</f>
        <v>0.22669850737573913</v>
      </c>
      <c r="AC47">
        <f t="shared" si="13"/>
        <v>14.8</v>
      </c>
      <c r="AD47" s="4">
        <f t="shared" si="4"/>
        <v>3.3551379091609395</v>
      </c>
    </row>
    <row r="48" spans="1:30" ht="18">
      <c r="A48" t="s">
        <v>478</v>
      </c>
      <c r="B48">
        <v>6</v>
      </c>
      <c r="C48">
        <v>0.1</v>
      </c>
      <c r="D48">
        <f t="shared" si="17"/>
        <v>0.39787961145802353</v>
      </c>
      <c r="F48" s="3">
        <f>IF(D48&gt;0,D48*Agriculture!$D$2+Agriculture!$E$16*E48,IF(E48&gt;0,0,Agriculture!$D$2*0.025))</f>
        <v>115.78296693428484</v>
      </c>
      <c r="G48" s="3">
        <f>L48*1/Agriculture!$C$49*Agriculture!$E$16</f>
        <v>0</v>
      </c>
      <c r="J48">
        <v>4400</v>
      </c>
      <c r="K48" s="59">
        <f>IF(I48&gt;0,I48,J48/2000*Conversion!$D$22)</f>
        <v>4931.7450820000004</v>
      </c>
      <c r="N48">
        <v>1</v>
      </c>
      <c r="T48" s="73">
        <f t="shared" si="14"/>
        <v>0</v>
      </c>
      <c r="W48">
        <f t="shared" si="15"/>
        <v>1</v>
      </c>
      <c r="X48" s="3">
        <f>IF(K48&gt;0,F48/K48/W48*Conversion!$E$17,0)</f>
        <v>234.77078601826409</v>
      </c>
      <c r="Y48" s="3">
        <f>IF(L48&gt;0,G48/L48/W48*Conversion!$E$17,0)</f>
        <v>0</v>
      </c>
      <c r="Z48" s="3">
        <f t="shared" si="16"/>
        <v>234.77078601826409</v>
      </c>
      <c r="AA48" s="3">
        <f>(F48*T48)/365.26/Agriculture!$D$2</f>
        <v>0</v>
      </c>
      <c r="AB48" s="4">
        <f>SUM(X48:Y48)*Conversion!$F$18</f>
        <v>5.8014208932973238E-2</v>
      </c>
      <c r="AC48">
        <f t="shared" si="13"/>
        <v>14.8</v>
      </c>
      <c r="AD48" s="4">
        <f t="shared" si="4"/>
        <v>0.858610292208004</v>
      </c>
    </row>
    <row r="49" spans="1:30" ht="18">
      <c r="A49" t="s">
        <v>476</v>
      </c>
      <c r="B49">
        <v>6</v>
      </c>
      <c r="C49">
        <v>0.1</v>
      </c>
      <c r="D49">
        <f t="shared" si="17"/>
        <v>0.39787961145802353</v>
      </c>
      <c r="F49" s="3">
        <f>IF(D49&gt;0,D49*Agriculture!$D$2+Agriculture!$E$16*E49,IF(E49&gt;0,0,Agriculture!$D$2*0.025))</f>
        <v>115.78296693428484</v>
      </c>
      <c r="G49" s="3">
        <f>L49*1/Agriculture!$C$49*Agriculture!$E$16</f>
        <v>0</v>
      </c>
      <c r="J49">
        <v>10800</v>
      </c>
      <c r="K49" s="59">
        <f>IF(I49&gt;0,I49,J49/2000*Conversion!$D$22)</f>
        <v>12105.192474000001</v>
      </c>
      <c r="M49">
        <v>60</v>
      </c>
      <c r="O49" s="72"/>
      <c r="R49" s="72"/>
      <c r="S49" s="72"/>
      <c r="T49" s="73">
        <f t="shared" si="14"/>
        <v>0</v>
      </c>
      <c r="W49">
        <f t="shared" si="15"/>
        <v>6</v>
      </c>
      <c r="X49" s="3">
        <f>IF(K49&gt;0,F49/K49/W49*Conversion!$E$17,0)</f>
        <v>15.941226211116698</v>
      </c>
      <c r="Y49" s="3">
        <f>IF(L49&gt;0,G49/L49/W49*Conversion!$E$17,0)</f>
        <v>0</v>
      </c>
      <c r="Z49" s="3">
        <f t="shared" si="16"/>
        <v>15.941226211116698</v>
      </c>
      <c r="AA49" s="3">
        <f>(F49*T49)/365.26/Agriculture!$D$2</f>
        <v>0</v>
      </c>
      <c r="AB49" s="4">
        <f>SUM(X49:Y49)*Conversion!$F$18</f>
        <v>3.9392364090290472E-3</v>
      </c>
      <c r="AC49">
        <f t="shared" si="13"/>
        <v>14.8</v>
      </c>
      <c r="AD49" s="4">
        <f t="shared" si="4"/>
        <v>0.34980419312177941</v>
      </c>
    </row>
    <row r="50" spans="1:30" ht="18">
      <c r="A50" t="s">
        <v>393</v>
      </c>
      <c r="B50">
        <v>6</v>
      </c>
      <c r="C50">
        <v>2</v>
      </c>
      <c r="D50">
        <f t="shared" si="17"/>
        <v>7.9575922291604702</v>
      </c>
      <c r="F50" s="3">
        <f>IF(D50&gt;0,D50*Agriculture!$D$2+Agriculture!$E$16*E50,IF(E50&gt;0,0,Agriculture!$D$2*0.025))</f>
        <v>2315.6593386856966</v>
      </c>
      <c r="G50" s="3">
        <f>L50*1/Agriculture!$C$49*Agriculture!$E$16</f>
        <v>0</v>
      </c>
      <c r="H50" t="s">
        <v>450</v>
      </c>
      <c r="I50">
        <v>16951</v>
      </c>
      <c r="J50">
        <v>7300</v>
      </c>
      <c r="K50" s="59">
        <f>IF(I50&gt;0,I50,J50/2000*Conversion!$D$22)</f>
        <v>16951</v>
      </c>
      <c r="M50">
        <v>150</v>
      </c>
      <c r="O50" s="72">
        <v>2.82</v>
      </c>
      <c r="P50" s="72">
        <v>0.37</v>
      </c>
      <c r="R50" s="72">
        <v>6.64</v>
      </c>
      <c r="S50" s="72">
        <v>675</v>
      </c>
      <c r="T50" s="73">
        <f t="shared" si="14"/>
        <v>411.69999999999993</v>
      </c>
      <c r="W50">
        <f t="shared" si="15"/>
        <v>2.4000000000000004</v>
      </c>
      <c r="X50" s="3">
        <f>IF(K50&gt;0,F50/K50/W50*Conversion!$E$17,0)</f>
        <v>569.20421083458609</v>
      </c>
      <c r="Y50" s="3">
        <f>IF(L50&gt;0,G50/L50/W50*Conversion!$E$17,0)</f>
        <v>0</v>
      </c>
      <c r="Z50" s="3">
        <f t="shared" si="16"/>
        <v>569.20421083458609</v>
      </c>
      <c r="AA50" s="3">
        <f>(F50*T50)/365.26/Agriculture!$D$2</f>
        <v>8.9693388839329931</v>
      </c>
      <c r="AB50" s="4">
        <f>SUM(X50:Y50)*Conversion!$F$18</f>
        <v>0.14065605253933455</v>
      </c>
      <c r="AC50">
        <f t="shared" si="13"/>
        <v>14.8</v>
      </c>
      <c r="AD50" s="4">
        <f t="shared" si="4"/>
        <v>4.9961029861971644</v>
      </c>
    </row>
    <row r="51" spans="1:30" ht="18">
      <c r="A51" t="s">
        <v>399</v>
      </c>
      <c r="B51">
        <v>6</v>
      </c>
      <c r="C51">
        <v>1</v>
      </c>
      <c r="D51">
        <f t="shared" si="17"/>
        <v>3.9787961145802351</v>
      </c>
      <c r="F51" s="3">
        <f>IF(D51&gt;0,D51*Agriculture!$D$2+Agriculture!$E$16*E51,IF(E51&gt;0,0,Agriculture!$D$2*0.025))</f>
        <v>1157.8296693428483</v>
      </c>
      <c r="G51" s="3">
        <f>L51*1/Agriculture!$C$49*Agriculture!$E$16</f>
        <v>0</v>
      </c>
      <c r="H51" t="s">
        <v>450</v>
      </c>
      <c r="I51" s="73">
        <v>22422</v>
      </c>
      <c r="J51" s="73">
        <v>13700</v>
      </c>
      <c r="K51" s="59">
        <f>IF(I51&gt;0,I51,J51/2000*Conversion!$D$22)</f>
        <v>22422</v>
      </c>
      <c r="L51" s="73"/>
      <c r="M51" s="73">
        <v>150</v>
      </c>
      <c r="N51" s="73"/>
      <c r="O51" s="72">
        <v>1.28</v>
      </c>
      <c r="P51" s="72">
        <v>0.1</v>
      </c>
      <c r="R51" s="72">
        <v>5.8</v>
      </c>
      <c r="S51" s="72">
        <v>635</v>
      </c>
      <c r="T51" s="73">
        <f t="shared" si="14"/>
        <v>292.2</v>
      </c>
      <c r="W51">
        <f t="shared" si="15"/>
        <v>2.4000000000000004</v>
      </c>
      <c r="X51" s="3">
        <f>IF(K51&gt;0,F51/K51/W51*Conversion!$E$17,0)</f>
        <v>215.15878551995959</v>
      </c>
      <c r="Y51" s="3">
        <f>IF(L51&gt;0,G51/L51/W51*Conversion!$E$17,0)</f>
        <v>0</v>
      </c>
      <c r="Z51" s="3">
        <f t="shared" si="16"/>
        <v>215.15878551995959</v>
      </c>
      <c r="AA51" s="3">
        <f>(F51*T51)/365.26/Agriculture!$D$2</f>
        <v>3.182949747249479</v>
      </c>
      <c r="AB51" s="4">
        <f>SUM(X51:Y51)*Conversion!$F$18</f>
        <v>5.3167887489837209E-2</v>
      </c>
      <c r="AC51">
        <f t="shared" si="13"/>
        <v>14.8</v>
      </c>
      <c r="AD51" s="4">
        <f t="shared" si="4"/>
        <v>1.888523363639018</v>
      </c>
    </row>
    <row r="52" spans="1:30" ht="18">
      <c r="A52" t="s">
        <v>477</v>
      </c>
      <c r="B52">
        <v>6</v>
      </c>
      <c r="C52">
        <v>1</v>
      </c>
      <c r="D52">
        <f t="shared" si="17"/>
        <v>3.9787961145802351</v>
      </c>
      <c r="F52" s="3">
        <f>IF(D52&gt;0,D52*Agriculture!$D$2+Agriculture!$E$16*E52,IF(E52&gt;0,0,Agriculture!$D$2*0.025))</f>
        <v>1157.8296693428483</v>
      </c>
      <c r="G52" s="3">
        <f>L52*1/Agriculture!$C$49*Agriculture!$E$16</f>
        <v>0</v>
      </c>
      <c r="I52" s="73"/>
      <c r="J52" s="73">
        <v>9800</v>
      </c>
      <c r="K52" s="59">
        <f>IF(I52&gt;0,I52,J52/2000*Conversion!$D$22)</f>
        <v>10984.341319000001</v>
      </c>
      <c r="L52" s="73"/>
      <c r="M52" s="73">
        <v>150</v>
      </c>
      <c r="N52" s="73"/>
      <c r="O52" s="72"/>
      <c r="P52" s="72"/>
      <c r="Q52" s="72"/>
      <c r="R52" s="72"/>
      <c r="S52" s="73"/>
      <c r="T52" s="73">
        <f t="shared" si="14"/>
        <v>0</v>
      </c>
      <c r="W52">
        <f t="shared" si="15"/>
        <v>2.4000000000000004</v>
      </c>
      <c r="X52" s="3">
        <f>IF(K52&gt;0,F52/K52/W52*Conversion!$E$17,0)</f>
        <v>439.19704867362316</v>
      </c>
      <c r="Y52" s="3">
        <f>IF(L52&gt;0,G52/L52/W52*Conversion!$E$17,0)</f>
        <v>0</v>
      </c>
      <c r="Z52" s="3">
        <f t="shared" si="16"/>
        <v>439.19704867362316</v>
      </c>
      <c r="AA52" s="3">
        <f>(F52*T52)/365.26/Agriculture!$D$2</f>
        <v>0</v>
      </c>
      <c r="AB52" s="4">
        <f>SUM(X52:Y52)*Conversion!$F$18</f>
        <v>0.10852998269773902</v>
      </c>
      <c r="AC52">
        <f t="shared" si="13"/>
        <v>14.8</v>
      </c>
      <c r="AD52" s="4">
        <f t="shared" si="4"/>
        <v>3.8549849854236902</v>
      </c>
    </row>
    <row r="53" spans="1:30" ht="18">
      <c r="A53" t="s">
        <v>467</v>
      </c>
      <c r="B53">
        <v>6</v>
      </c>
      <c r="C53">
        <v>2</v>
      </c>
      <c r="D53">
        <f t="shared" si="17"/>
        <v>7.9575922291604702</v>
      </c>
      <c r="F53" s="3">
        <f>IF(D53&gt;0,D53*Agriculture!$D$2+Agriculture!$E$16*E53,IF(E53&gt;0,0,Agriculture!$D$2*0.025))</f>
        <v>2315.6593386856966</v>
      </c>
      <c r="G53" s="3">
        <f>L53*1/Agriculture!$C$49*Agriculture!$E$16</f>
        <v>0</v>
      </c>
      <c r="I53" s="73"/>
      <c r="J53" s="73">
        <v>19400</v>
      </c>
      <c r="K53" s="59">
        <f>IF(I53&gt;0,I53,J53/2000*Conversion!$D$22)</f>
        <v>21744.512406999998</v>
      </c>
      <c r="L53" s="73"/>
      <c r="M53" s="73">
        <v>150</v>
      </c>
      <c r="N53" s="73"/>
      <c r="O53" s="72"/>
      <c r="P53" s="72"/>
      <c r="Q53" s="72"/>
      <c r="R53" s="72"/>
      <c r="S53" s="73"/>
      <c r="T53" s="73">
        <f t="shared" si="14"/>
        <v>0</v>
      </c>
      <c r="W53">
        <f t="shared" si="15"/>
        <v>2.4000000000000004</v>
      </c>
      <c r="X53" s="3">
        <f>IF(K53&gt;0,F53/K53/W53*Conversion!$E$17,0)</f>
        <v>443.72485329912456</v>
      </c>
      <c r="Y53" s="3">
        <f>IF(L53&gt;0,G53/L53/W53*Conversion!$E$17,0)</f>
        <v>0</v>
      </c>
      <c r="Z53" s="3">
        <f t="shared" si="16"/>
        <v>443.72485329912456</v>
      </c>
      <c r="AA53" s="3">
        <f>(F53*T53)/365.26/Agriculture!$D$2</f>
        <v>0</v>
      </c>
      <c r="AB53" s="4">
        <f>SUM(X53:Y53)*Conversion!$F$18</f>
        <v>0.10964884849874666</v>
      </c>
      <c r="AC53">
        <f t="shared" si="13"/>
        <v>14.8</v>
      </c>
      <c r="AD53" s="4">
        <f t="shared" si="4"/>
        <v>3.8947270986754821</v>
      </c>
    </row>
    <row r="54" spans="1:30" ht="18">
      <c r="A54" t="s">
        <v>472</v>
      </c>
      <c r="B54">
        <v>6</v>
      </c>
      <c r="C54">
        <v>1</v>
      </c>
      <c r="D54">
        <f t="shared" si="17"/>
        <v>3.9787961145802351</v>
      </c>
      <c r="F54" s="3">
        <f>IF(D54&gt;0,D54*Agriculture!$D$2+Agriculture!$E$16*E54,IF(E54&gt;0,0,Agriculture!$D$2*0.025))</f>
        <v>1157.8296693428483</v>
      </c>
      <c r="G54" s="3">
        <f>L54*1/Agriculture!$C$49*Agriculture!$E$16</f>
        <v>0</v>
      </c>
      <c r="I54" s="73"/>
      <c r="J54" s="73">
        <v>10800</v>
      </c>
      <c r="K54" s="59">
        <f>IF(I54&gt;0,I54,J54/2000*Conversion!$D$22)</f>
        <v>12105.192474000001</v>
      </c>
      <c r="L54" s="73"/>
      <c r="M54" s="73">
        <v>150</v>
      </c>
      <c r="N54" s="73"/>
      <c r="O54" s="72"/>
      <c r="P54" s="72"/>
      <c r="Q54" s="72"/>
      <c r="R54" s="72"/>
      <c r="S54" s="73"/>
      <c r="T54" s="73">
        <f t="shared" si="14"/>
        <v>0</v>
      </c>
      <c r="W54">
        <f t="shared" si="15"/>
        <v>2.4000000000000004</v>
      </c>
      <c r="X54" s="3">
        <f>IF(K54&gt;0,F54/K54/W54*Conversion!$E$17,0)</f>
        <v>398.53065527791733</v>
      </c>
      <c r="Y54" s="3">
        <f>IF(L54&gt;0,G54/L54/W54*Conversion!$E$17,0)</f>
        <v>0</v>
      </c>
      <c r="Z54" s="3">
        <f t="shared" si="16"/>
        <v>398.53065527791733</v>
      </c>
      <c r="AA54" s="3">
        <f>(F54*T54)/365.26/Agriculture!$D$2</f>
        <v>0</v>
      </c>
      <c r="AB54" s="4">
        <f>SUM(X54:Y54)*Conversion!$F$18</f>
        <v>9.8480910225726151E-2</v>
      </c>
      <c r="AC54">
        <f t="shared" si="13"/>
        <v>14.8</v>
      </c>
      <c r="AD54" s="4">
        <f t="shared" si="4"/>
        <v>3.4980419312177933</v>
      </c>
    </row>
    <row r="55" spans="1:30" ht="18">
      <c r="A55" t="s">
        <v>469</v>
      </c>
      <c r="B55">
        <v>6</v>
      </c>
      <c r="C55">
        <v>2</v>
      </c>
      <c r="D55">
        <f t="shared" si="17"/>
        <v>7.9575922291604702</v>
      </c>
      <c r="F55" s="3">
        <f>IF(D55&gt;0,D55*Agriculture!$D$2+Agriculture!$E$16*E55,IF(E55&gt;0,0,Agriculture!$D$2*0.025))</f>
        <v>2315.6593386856966</v>
      </c>
      <c r="G55" s="3">
        <f>L55*1/Agriculture!$C$49*Agriculture!$E$16</f>
        <v>0</v>
      </c>
      <c r="I55" s="73"/>
      <c r="J55" s="73">
        <v>32000</v>
      </c>
      <c r="K55" s="59">
        <f>IF(I55&gt;0,I55,J55/2000*Conversion!$D$22)</f>
        <v>35867.236960000002</v>
      </c>
      <c r="L55" s="73"/>
      <c r="M55" s="73"/>
      <c r="N55" s="73"/>
      <c r="O55" s="72"/>
      <c r="P55" s="72"/>
      <c r="Q55" s="72"/>
      <c r="R55" s="72"/>
      <c r="S55" s="73"/>
      <c r="T55" s="73">
        <f t="shared" si="14"/>
        <v>0</v>
      </c>
      <c r="W55">
        <f t="shared" si="15"/>
        <v>1</v>
      </c>
      <c r="X55" s="3">
        <f>IF(K55&gt;0,F55/K55/W55*Conversion!$E$17,0)</f>
        <v>645.61966155022617</v>
      </c>
      <c r="Y55" s="3">
        <f>IF(L55&gt;0,G55/L55/W55*Conversion!$E$17,0)</f>
        <v>0</v>
      </c>
      <c r="Z55" s="3">
        <f t="shared" si="16"/>
        <v>645.61966155022617</v>
      </c>
      <c r="AA55" s="3">
        <f>(F55*T55)/365.26/Agriculture!$D$2</f>
        <v>0</v>
      </c>
      <c r="AB55" s="4">
        <f>SUM(X55:Y55)*Conversion!$F$18</f>
        <v>0.15953907456567637</v>
      </c>
      <c r="AC55">
        <f t="shared" si="13"/>
        <v>14.8</v>
      </c>
      <c r="AD55" s="4">
        <f t="shared" si="4"/>
        <v>2.3611783035720104</v>
      </c>
    </row>
    <row r="56" spans="1:30" ht="18">
      <c r="A56" t="s">
        <v>457</v>
      </c>
      <c r="B56">
        <v>6</v>
      </c>
      <c r="C56">
        <v>1</v>
      </c>
      <c r="D56">
        <f t="shared" si="17"/>
        <v>3.9787961145802351</v>
      </c>
      <c r="F56" s="3">
        <f>IF(D56&gt;0,D56*Agriculture!$D$2+Agriculture!$E$16*E56,IF(E56&gt;0,0,Agriculture!$D$2*0.025))</f>
        <v>1157.8296693428483</v>
      </c>
      <c r="G56" s="3">
        <f>L56*1/Agriculture!$C$49*Agriculture!$E$16</f>
        <v>0</v>
      </c>
      <c r="I56" s="73"/>
      <c r="J56" s="73">
        <v>6660</v>
      </c>
      <c r="K56" s="59">
        <f>IF(I56&gt;0,I56,J56/2000*Conversion!$D$22)</f>
        <v>7464.8686923000005</v>
      </c>
      <c r="L56" s="73"/>
      <c r="M56" s="73"/>
      <c r="N56" s="73">
        <v>1</v>
      </c>
      <c r="O56" s="72"/>
      <c r="P56" s="72"/>
      <c r="Q56" s="72"/>
      <c r="R56" s="72"/>
      <c r="S56" s="73"/>
      <c r="T56" s="73">
        <f t="shared" si="14"/>
        <v>0</v>
      </c>
      <c r="W56">
        <f t="shared" si="15"/>
        <v>1</v>
      </c>
      <c r="X56" s="3">
        <f>IF(K56&gt;0,F56/K56/W56*Conversion!$E$17,0)</f>
        <v>1551.0382259464895</v>
      </c>
      <c r="Y56" s="3">
        <f>IF(L56&gt;0,G56/L56/W56*Conversion!$E$17,0)</f>
        <v>0</v>
      </c>
      <c r="Z56" s="3">
        <f t="shared" si="16"/>
        <v>1551.0382259464895</v>
      </c>
      <c r="AA56" s="3">
        <f>(F56*T56)/365.26/Agriculture!$D$2</f>
        <v>0</v>
      </c>
      <c r="AB56" s="4">
        <f>SUM(X56:Y56)*Conversion!$F$18</f>
        <v>0.38327705601363699</v>
      </c>
      <c r="AC56">
        <f t="shared" si="13"/>
        <v>14.8</v>
      </c>
      <c r="AD56" s="4">
        <f t="shared" si="4"/>
        <v>5.6725004290018273</v>
      </c>
    </row>
    <row r="57" spans="1:30" ht="18">
      <c r="A57" t="s">
        <v>479</v>
      </c>
      <c r="B57">
        <v>6</v>
      </c>
      <c r="C57">
        <v>2</v>
      </c>
      <c r="D57">
        <f t="shared" si="17"/>
        <v>7.9575922291604702</v>
      </c>
      <c r="F57" s="3">
        <f>IF(D57&gt;0,D57*Agriculture!$D$2+Agriculture!$E$16*E57,IF(E57&gt;0,0,Agriculture!$D$2*0.025))</f>
        <v>2315.6593386856966</v>
      </c>
      <c r="G57" s="3">
        <f>L57*1/Agriculture!$C$49*Agriculture!$E$16</f>
        <v>0</v>
      </c>
      <c r="J57">
        <v>8400</v>
      </c>
      <c r="K57" s="59">
        <f>IF(I57&gt;0,I57,J57/2000*Conversion!$D$22)</f>
        <v>9415.1497020000006</v>
      </c>
      <c r="M57">
        <v>150</v>
      </c>
      <c r="T57" s="73">
        <f t="shared" si="14"/>
        <v>0</v>
      </c>
      <c r="W57">
        <f t="shared" si="15"/>
        <v>2.4000000000000004</v>
      </c>
      <c r="X57" s="3">
        <f>IF(K57&gt;0,F57/K57/W57*Conversion!$E$17,0)</f>
        <v>1024.7931135717874</v>
      </c>
      <c r="Y57" s="3">
        <f>IF(L57&gt;0,G57/L57/W57*Conversion!$E$17,0)</f>
        <v>0</v>
      </c>
      <c r="Z57" s="3">
        <f t="shared" si="16"/>
        <v>1024.7931135717874</v>
      </c>
      <c r="AA57" s="3">
        <f>(F57*T57)/365.26/Agriculture!$D$2</f>
        <v>0</v>
      </c>
      <c r="AB57" s="4">
        <f>SUM(X57:Y57)*Conversion!$F$18</f>
        <v>0.25323662629472438</v>
      </c>
      <c r="AC57">
        <f t="shared" si="13"/>
        <v>14.8</v>
      </c>
      <c r="AD57" s="4">
        <f t="shared" si="4"/>
        <v>8.9949649659886131</v>
      </c>
    </row>
    <row r="58" spans="1:30" ht="18">
      <c r="A58" t="s">
        <v>458</v>
      </c>
      <c r="B58">
        <v>6</v>
      </c>
      <c r="C58">
        <v>0</v>
      </c>
      <c r="D58">
        <f t="shared" si="17"/>
        <v>0</v>
      </c>
      <c r="F58" s="3">
        <f>IF(D58&gt;0,D58*Agriculture!$D$2+Agriculture!$E$16*E58,IF(E58&gt;0,0,Agriculture!$D$2*0.025))</f>
        <v>7.2750000000000004</v>
      </c>
      <c r="G58" s="3">
        <f>L58*1/Agriculture!$C$49*Agriculture!$E$16</f>
        <v>0</v>
      </c>
      <c r="J58">
        <v>9420</v>
      </c>
      <c r="K58" s="59">
        <f>IF(I58&gt;0,I58,J58/2000*Conversion!$D$22)</f>
        <v>10558.4178801</v>
      </c>
      <c r="T58" s="73">
        <f t="shared" si="14"/>
        <v>0</v>
      </c>
      <c r="W58">
        <f t="shared" si="15"/>
        <v>1</v>
      </c>
      <c r="X58" s="3">
        <f>IF(K58&gt;0,F58/K58/W58*Conversion!$E$17,0)</f>
        <v>6.8902368542464787</v>
      </c>
      <c r="Y58" s="3">
        <f>IF(L58&gt;0,G58/L58/W58*Conversion!$E$17,0)</f>
        <v>0</v>
      </c>
      <c r="Z58" s="3">
        <f t="shared" si="16"/>
        <v>6.8902368542464787</v>
      </c>
      <c r="AA58" s="3">
        <f>(F58*T58)/365.26/Agriculture!$D$2</f>
        <v>0</v>
      </c>
      <c r="AB58" s="4">
        <f>SUM(X58:Y58)*Conversion!$F$18</f>
        <v>1.7026464290528472E-3</v>
      </c>
      <c r="AC58">
        <f t="shared" si="13"/>
        <v>14.8</v>
      </c>
      <c r="AD58" s="4">
        <f t="shared" si="4"/>
        <v>2.5199167149982139E-2</v>
      </c>
    </row>
    <row r="59" spans="1:30" ht="18">
      <c r="A59" t="s">
        <v>459</v>
      </c>
      <c r="B59">
        <v>6</v>
      </c>
      <c r="C59">
        <v>0</v>
      </c>
      <c r="D59">
        <f t="shared" si="17"/>
        <v>0</v>
      </c>
      <c r="F59" s="3">
        <f>IF(D59&gt;0,D59*Agriculture!$D$2+Agriculture!$E$16*E59,IF(E59&gt;0,0,Agriculture!$D$2*0.025))</f>
        <v>7.2750000000000004</v>
      </c>
      <c r="G59" s="3">
        <f>L59*1/Agriculture!$C$49*Agriculture!$E$16</f>
        <v>0</v>
      </c>
      <c r="I59" s="73"/>
      <c r="J59" s="73">
        <v>4620</v>
      </c>
      <c r="K59" s="59">
        <f>IF(I59&gt;0,I59,J59/2000*Conversion!$D$22)</f>
        <v>5178.3323361000002</v>
      </c>
      <c r="L59" s="73"/>
      <c r="M59" s="73"/>
      <c r="N59" s="73">
        <v>1</v>
      </c>
      <c r="O59" s="72"/>
      <c r="P59" s="72"/>
      <c r="Q59" s="72"/>
      <c r="R59" s="72"/>
      <c r="S59" s="72"/>
      <c r="T59" s="73">
        <f t="shared" si="14"/>
        <v>0</v>
      </c>
      <c r="W59">
        <f t="shared" si="15"/>
        <v>1</v>
      </c>
      <c r="X59" s="3">
        <f>IF(K59&gt;0,F59/K59/W59*Conversion!$E$17,0)</f>
        <v>14.048924495022042</v>
      </c>
      <c r="Y59" s="3">
        <f>IF(L59&gt;0,G59/L59/W59*Conversion!$E$17,0)</f>
        <v>0</v>
      </c>
      <c r="Z59" s="3">
        <f t="shared" si="16"/>
        <v>14.048924495022042</v>
      </c>
      <c r="AA59" s="3">
        <f>(F59*T59)/365.26/Agriculture!$D$2</f>
        <v>0</v>
      </c>
      <c r="AB59" s="4">
        <f>SUM(X59:Y59)*Conversion!$F$18</f>
        <v>3.4716297319648966E-3</v>
      </c>
      <c r="AC59">
        <f t="shared" si="13"/>
        <v>14.8</v>
      </c>
      <c r="AD59" s="4">
        <f t="shared" si="4"/>
        <v>5.138012003308047E-2</v>
      </c>
    </row>
    <row r="60" spans="1:30" ht="18">
      <c r="A60" t="s">
        <v>135</v>
      </c>
      <c r="B60">
        <v>6</v>
      </c>
      <c r="C60">
        <v>1</v>
      </c>
      <c r="D60">
        <f t="shared" si="17"/>
        <v>3.9787961145802351</v>
      </c>
      <c r="F60" s="3">
        <f>IF(D60&gt;0,D60*Agriculture!$D$2+Agriculture!$E$16*E60,IF(E60&gt;0,0,Agriculture!$D$2*0.025))</f>
        <v>1157.8296693428483</v>
      </c>
      <c r="G60" s="3">
        <f>L60*1/Agriculture!$C$49*Agriculture!$E$16</f>
        <v>0</v>
      </c>
      <c r="I60">
        <v>4000</v>
      </c>
      <c r="K60" s="59">
        <f>IF(I60&gt;0,I60,J60/2000*Conversion!$D$22)</f>
        <v>4000</v>
      </c>
      <c r="T60" s="73">
        <f t="shared" si="14"/>
        <v>0</v>
      </c>
      <c r="U60">
        <v>0.5</v>
      </c>
      <c r="V60">
        <v>1</v>
      </c>
      <c r="W60">
        <f t="shared" si="15"/>
        <v>1</v>
      </c>
      <c r="X60" s="3">
        <f>IF(K60&gt;0,F60/K60/W60*Conversion!$E$17,0)</f>
        <v>2894.5741733571208</v>
      </c>
      <c r="Y60" s="3">
        <f>IF(L60&gt;0,G60/L60/W60*Conversion!$E$17,0)</f>
        <v>0</v>
      </c>
      <c r="Z60" s="3">
        <f t="shared" si="16"/>
        <v>1447.2870866785604</v>
      </c>
      <c r="AA60" s="3">
        <f>(F60*T60)/365.26/Agriculture!$D$2</f>
        <v>0</v>
      </c>
      <c r="AB60" s="4">
        <f>SUM(X60:Y60)*Conversion!$F$18</f>
        <v>0.71527822397827812</v>
      </c>
      <c r="AC60">
        <f t="shared" si="13"/>
        <v>14.8</v>
      </c>
      <c r="AD60" s="4">
        <f t="shared" si="4"/>
        <v>10.586117714878517</v>
      </c>
    </row>
    <row r="61" spans="1:30" ht="18">
      <c r="A61" t="s">
        <v>145</v>
      </c>
      <c r="B61">
        <v>6</v>
      </c>
      <c r="C61">
        <v>1</v>
      </c>
      <c r="D61">
        <f t="shared" si="17"/>
        <v>3.9787961145802351</v>
      </c>
      <c r="F61" s="3">
        <f>IF(D61&gt;0,D61*Agriculture!$D$2+Agriculture!$E$16*E61,IF(E61&gt;0,0,Agriculture!$D$2*0.025))</f>
        <v>1157.8296693428483</v>
      </c>
      <c r="G61" s="3">
        <f>L61*1/Agriculture!$C$49*Agriculture!$E$16</f>
        <v>0</v>
      </c>
      <c r="I61">
        <v>2000</v>
      </c>
      <c r="J61">
        <v>14770</v>
      </c>
      <c r="K61" s="59">
        <f>IF(I61&gt;0,I61,J61/2000*Conversion!$D$22)</f>
        <v>2000</v>
      </c>
      <c r="N61">
        <v>1</v>
      </c>
      <c r="R61" s="72">
        <v>98</v>
      </c>
      <c r="T61" s="73">
        <f t="shared" si="14"/>
        <v>3920</v>
      </c>
      <c r="U61">
        <v>2</v>
      </c>
      <c r="W61">
        <f t="shared" si="15"/>
        <v>1</v>
      </c>
      <c r="X61" s="3">
        <f>IF(K61&gt;0,F61/K61/W61*Conversion!$E$17,0)</f>
        <v>5789.1483467142416</v>
      </c>
      <c r="Y61" s="3">
        <f>IF(L61&gt;0,G61/L61/W61*Conversion!$E$17,0)</f>
        <v>0</v>
      </c>
      <c r="Z61" s="3">
        <f t="shared" si="16"/>
        <v>11578.296693428483</v>
      </c>
      <c r="AA61" s="3">
        <f>(F61*T61)/365.26/Agriculture!$D$2</f>
        <v>42.700763207453655</v>
      </c>
      <c r="AB61" s="4">
        <f>SUM(X61:Y61)*Conversion!$F$18</f>
        <v>1.4305564479565562</v>
      </c>
      <c r="AC61">
        <f t="shared" si="13"/>
        <v>14.8</v>
      </c>
      <c r="AD61" s="4">
        <f t="shared" si="4"/>
        <v>21.172235429757034</v>
      </c>
    </row>
    <row r="62" spans="1:30" ht="18">
      <c r="A62" t="s">
        <v>460</v>
      </c>
      <c r="B62">
        <v>6</v>
      </c>
      <c r="C62">
        <v>0</v>
      </c>
      <c r="D62">
        <f t="shared" si="17"/>
        <v>0</v>
      </c>
      <c r="F62" s="3">
        <f>IF(D62&gt;0,D62*Agriculture!$D$2+Agriculture!$E$16*E62,IF(E62&gt;0,0,Agriculture!$D$2*0.025))</f>
        <v>7.2750000000000004</v>
      </c>
      <c r="G62" s="3">
        <f>L62*1/Agriculture!$C$49*Agriculture!$E$16</f>
        <v>0</v>
      </c>
      <c r="I62" s="73"/>
      <c r="J62" s="73">
        <v>7860</v>
      </c>
      <c r="K62" s="59">
        <f>IF(I62&gt;0,I62,J62/2000*Conversion!$D$22)</f>
        <v>8809.8900783000008</v>
      </c>
      <c r="L62" s="73"/>
      <c r="M62" s="73"/>
      <c r="N62" s="73">
        <v>1</v>
      </c>
      <c r="O62" s="72"/>
      <c r="P62" s="72"/>
      <c r="Q62" s="72"/>
      <c r="R62" s="72"/>
      <c r="S62" s="72"/>
      <c r="T62" s="73">
        <f t="shared" si="14"/>
        <v>0</v>
      </c>
      <c r="W62">
        <f t="shared" si="15"/>
        <v>1</v>
      </c>
      <c r="X62" s="3">
        <f>IF(K62&gt;0,F62/K62/W62*Conversion!$E$17,0)</f>
        <v>8.2577647795167728</v>
      </c>
      <c r="Y62" s="3">
        <f>IF(L62&gt;0,G62/L62/W62*Conversion!$E$17,0)</f>
        <v>0</v>
      </c>
      <c r="Z62" s="3">
        <f t="shared" si="16"/>
        <v>8.2577647795167728</v>
      </c>
      <c r="AA62" s="3">
        <f>(F62*T62)/365.26/Agriculture!$D$2</f>
        <v>0</v>
      </c>
      <c r="AB62" s="4">
        <f>SUM(X62:Y62)*Conversion!$F$18</f>
        <v>2.0405762546663896E-3</v>
      </c>
      <c r="AC62">
        <f t="shared" si="13"/>
        <v>14.8</v>
      </c>
      <c r="AD62" s="4">
        <f t="shared" si="4"/>
        <v>3.0200528569062569E-2</v>
      </c>
    </row>
    <row r="63" spans="1:30" ht="18">
      <c r="A63" t="s">
        <v>494</v>
      </c>
      <c r="B63">
        <v>6</v>
      </c>
      <c r="C63">
        <v>1</v>
      </c>
      <c r="D63">
        <f t="shared" si="17"/>
        <v>3.9787961145802351</v>
      </c>
      <c r="F63" s="3">
        <f>IF(D63&gt;0,D63*Agriculture!$D$2+Agriculture!$E$16*E63,IF(E63&gt;0,0,Agriculture!$D$2*0.025))</f>
        <v>1157.8296693428483</v>
      </c>
      <c r="G63" s="3">
        <f>L63*1/Agriculture!$C$49*Agriculture!$E$16</f>
        <v>0</v>
      </c>
      <c r="I63" s="73"/>
      <c r="J63" s="73"/>
      <c r="K63" s="73">
        <f>320*50</f>
        <v>16000</v>
      </c>
      <c r="M63" s="73"/>
      <c r="N63" s="73"/>
      <c r="O63" s="72"/>
      <c r="P63" s="72"/>
      <c r="Q63" s="72"/>
      <c r="R63" s="72"/>
      <c r="S63" s="72"/>
      <c r="T63" s="73">
        <f t="shared" si="14"/>
        <v>0</v>
      </c>
      <c r="W63">
        <f t="shared" si="15"/>
        <v>1</v>
      </c>
      <c r="X63" s="3">
        <f>IF(K63&gt;0,F63/K63/W63*Conversion!$E$17,0)</f>
        <v>723.6435433392802</v>
      </c>
      <c r="Y63" s="3">
        <f>IF(L63&gt;0,G63/L63/W63*Conversion!$E$17,0)</f>
        <v>0</v>
      </c>
      <c r="Z63" s="3">
        <f t="shared" si="16"/>
        <v>723.6435433392802</v>
      </c>
      <c r="AA63" s="3">
        <f>(F63*T63)/365.26/Agriculture!$D$2</f>
        <v>0</v>
      </c>
      <c r="AB63" s="4">
        <f>SUM(X63:Y63)*Conversion!$F$18</f>
        <v>0.17881955599456953</v>
      </c>
      <c r="AC63">
        <f t="shared" si="13"/>
        <v>14.8</v>
      </c>
      <c r="AD63" s="4">
        <f t="shared" si="4"/>
        <v>2.6465294287196293</v>
      </c>
    </row>
    <row r="64" spans="1:30" ht="18">
      <c r="A64" t="s">
        <v>471</v>
      </c>
      <c r="B64">
        <v>6</v>
      </c>
      <c r="C64">
        <v>2</v>
      </c>
      <c r="D64">
        <f t="shared" si="17"/>
        <v>7.9575922291604702</v>
      </c>
      <c r="F64" s="3">
        <f>IF(D64&gt;0,D64*Agriculture!$D$2+Agriculture!$E$16*E64,IF(E64&gt;0,0,Agriculture!$D$2*0.025))</f>
        <v>2315.6593386856966</v>
      </c>
      <c r="G64" s="3">
        <f>L64*1/Agriculture!$C$49*Agriculture!$E$16</f>
        <v>0</v>
      </c>
      <c r="I64" s="72"/>
      <c r="J64" s="72">
        <v>9100</v>
      </c>
      <c r="K64" s="59">
        <f>IF(I64&gt;0,I64,J64/2000*Conversion!$D$22)</f>
        <v>10199.745510500001</v>
      </c>
      <c r="L64" s="72"/>
      <c r="M64" s="72">
        <v>150</v>
      </c>
      <c r="N64" s="72"/>
      <c r="O64" s="72"/>
      <c r="P64" s="72"/>
      <c r="Q64" s="72"/>
      <c r="R64" s="72"/>
      <c r="S64" s="72"/>
      <c r="T64" s="73">
        <f t="shared" si="14"/>
        <v>0</v>
      </c>
      <c r="W64">
        <f t="shared" si="15"/>
        <v>2.4000000000000004</v>
      </c>
      <c r="X64" s="3">
        <f>IF(K64&gt;0,F64/K64/W64*Conversion!$E$17,0)</f>
        <v>945.96287406626539</v>
      </c>
      <c r="Y64" s="3">
        <f>IF(L64&gt;0,G64/L64/W64*Conversion!$E$17,0)</f>
        <v>0</v>
      </c>
      <c r="Z64" s="3">
        <f t="shared" si="16"/>
        <v>945.96287406626539</v>
      </c>
      <c r="AA64" s="3">
        <f>(F64*T64)/365.26/Agriculture!$D$2</f>
        <v>0</v>
      </c>
      <c r="AB64" s="4">
        <f>SUM(X64:Y64)*Conversion!$F$18</f>
        <v>0.23375688581051482</v>
      </c>
      <c r="AC64">
        <f t="shared" si="13"/>
        <v>14.8</v>
      </c>
      <c r="AD64" s="4">
        <f t="shared" si="4"/>
        <v>8.3030445839894877</v>
      </c>
    </row>
    <row r="65" spans="1:30" ht="18">
      <c r="A65" t="s">
        <v>495</v>
      </c>
      <c r="B65">
        <v>6</v>
      </c>
      <c r="C65">
        <v>1</v>
      </c>
      <c r="D65">
        <f t="shared" si="17"/>
        <v>3.9787961145802351</v>
      </c>
      <c r="F65" s="3">
        <f>IF(D65&gt;0,D65*Agriculture!$D$2+Agriculture!$E$16*E65,IF(E65&gt;0,0,Agriculture!$D$2*0.025))</f>
        <v>1157.8296693428483</v>
      </c>
      <c r="G65" s="3">
        <f>L65*1/Agriculture!$C$49*Agriculture!$E$16</f>
        <v>0</v>
      </c>
      <c r="I65" s="73"/>
      <c r="J65" s="73"/>
      <c r="K65" s="73">
        <f>K64</f>
        <v>10199.745510500001</v>
      </c>
      <c r="M65" s="73"/>
      <c r="N65" s="73"/>
      <c r="O65" s="72"/>
      <c r="P65" s="72"/>
      <c r="Q65" s="72"/>
      <c r="R65" s="72"/>
      <c r="S65" s="72"/>
      <c r="T65" s="73">
        <f t="shared" si="14"/>
        <v>0</v>
      </c>
      <c r="W65">
        <f t="shared" si="15"/>
        <v>1</v>
      </c>
      <c r="X65" s="3">
        <f>IF(K65&gt;0,F65/K65/W65*Conversion!$E$17,0)</f>
        <v>1135.1554488795186</v>
      </c>
      <c r="Y65" s="3">
        <f>IF(L65&gt;0,G65/L65/W65*Conversion!$E$17,0)</f>
        <v>0</v>
      </c>
      <c r="Z65" s="3">
        <f t="shared" si="16"/>
        <v>1135.1554488795186</v>
      </c>
      <c r="AA65" s="3">
        <f>(F65*T65)/365.26/Agriculture!$D$2</f>
        <v>0</v>
      </c>
      <c r="AB65" s="4">
        <f>SUM(X65:Y65)*Conversion!$F$18</f>
        <v>0.28050826297261783</v>
      </c>
      <c r="AC65">
        <f t="shared" si="13"/>
        <v>14.8</v>
      </c>
      <c r="AD65" s="4">
        <f t="shared" si="4"/>
        <v>4.1515222919947439</v>
      </c>
    </row>
    <row r="66" spans="1:30" ht="18">
      <c r="A66" t="s">
        <v>461</v>
      </c>
      <c r="B66">
        <v>6</v>
      </c>
      <c r="C66">
        <v>1</v>
      </c>
      <c r="D66">
        <f t="shared" si="17"/>
        <v>3.9787961145802351</v>
      </c>
      <c r="F66" s="3">
        <f>IF(D66&gt;0,D66*Agriculture!$D$2+Agriculture!$E$16*E66,IF(E66&gt;0,0,Agriculture!$D$2*0.025))</f>
        <v>1157.8296693428483</v>
      </c>
      <c r="G66" s="3">
        <f>L66*1/Agriculture!$C$49*Agriculture!$E$16</f>
        <v>0</v>
      </c>
      <c r="J66">
        <v>16080</v>
      </c>
      <c r="K66" s="59">
        <f>IF(I66&gt;0,I66,J66/2000*Conversion!$D$22)</f>
        <v>18023.2865724</v>
      </c>
      <c r="N66">
        <v>1</v>
      </c>
      <c r="O66" s="72"/>
      <c r="P66" s="72"/>
      <c r="Q66" s="72"/>
      <c r="R66" s="72"/>
      <c r="S66" s="72"/>
      <c r="T66" s="73">
        <f t="shared" si="14"/>
        <v>0</v>
      </c>
      <c r="W66">
        <f t="shared" si="15"/>
        <v>1</v>
      </c>
      <c r="X66" s="3">
        <f>IF(K66&gt;0,F66/K66/W66*Conversion!$E$17,0)</f>
        <v>642.40762343306096</v>
      </c>
      <c r="Y66" s="3">
        <f>IF(L66&gt;0,G66/L66/W66*Conversion!$E$17,0)</f>
        <v>0</v>
      </c>
      <c r="Z66" s="3">
        <f t="shared" si="16"/>
        <v>642.40762343306096</v>
      </c>
      <c r="AA66" s="3">
        <f>(F66*T66)/365.26/Agriculture!$D$2</f>
        <v>0</v>
      </c>
      <c r="AB66" s="4">
        <f>SUM(X66:Y66)*Conversion!$F$18</f>
        <v>0.15874534782654368</v>
      </c>
      <c r="AC66">
        <f t="shared" si="13"/>
        <v>14.8</v>
      </c>
      <c r="AD66" s="4">
        <f t="shared" si="4"/>
        <v>2.3494311478328465</v>
      </c>
    </row>
    <row r="67" spans="1:30" ht="18">
      <c r="A67" t="s">
        <v>468</v>
      </c>
      <c r="B67">
        <v>6</v>
      </c>
      <c r="C67">
        <v>2</v>
      </c>
      <c r="D67">
        <f t="shared" si="17"/>
        <v>7.9575922291604702</v>
      </c>
      <c r="F67" s="3">
        <f>IF(D67&gt;0,D67*Agriculture!$D$2+Agriculture!$E$16*E67,IF(E67&gt;0,0,Agriculture!$D$2*0.025))</f>
        <v>2315.6593386856966</v>
      </c>
      <c r="G67" s="3">
        <f>L67*1/Agriculture!$C$49*Agriculture!$E$16</f>
        <v>0</v>
      </c>
      <c r="J67">
        <v>19800</v>
      </c>
      <c r="K67" s="59">
        <f>IF(I67&gt;0,I67,J67/2000*Conversion!$D$22)</f>
        <v>22192.852869000002</v>
      </c>
      <c r="M67">
        <v>30</v>
      </c>
      <c r="O67" s="72"/>
      <c r="P67" s="72"/>
      <c r="Q67" s="72"/>
      <c r="R67" s="72"/>
      <c r="S67" s="72"/>
      <c r="T67" s="73">
        <f t="shared" si="14"/>
        <v>0</v>
      </c>
      <c r="W67">
        <f t="shared" si="15"/>
        <v>12.100000000000001</v>
      </c>
      <c r="X67" s="3">
        <f>IF(K67&gt;0,F67/K67/W67*Conversion!$E$17,0)</f>
        <v>86.233530217911493</v>
      </c>
      <c r="Y67" s="3">
        <f>IF(L67&gt;0,G67/L67/W67*Conversion!$E$17,0)</f>
        <v>0</v>
      </c>
      <c r="Z67" s="3">
        <f t="shared" si="16"/>
        <v>86.233530217911493</v>
      </c>
      <c r="AA67" s="3">
        <f>(F67*T67)/365.26/Agriculture!$D$2</f>
        <v>0</v>
      </c>
      <c r="AB67" s="4">
        <f>SUM(X67:Y67)*Conversion!$F$18</f>
        <v>2.1309167652148107E-2</v>
      </c>
      <c r="AC67">
        <f t="shared" si="13"/>
        <v>14.8</v>
      </c>
      <c r="AD67" s="4">
        <f t="shared" si="4"/>
        <v>3.8160457431466837</v>
      </c>
    </row>
    <row r="68" spans="1:30" ht="18">
      <c r="A68" t="s">
        <v>493</v>
      </c>
      <c r="B68">
        <v>6</v>
      </c>
      <c r="C68">
        <v>1</v>
      </c>
      <c r="D68">
        <f t="shared" si="17"/>
        <v>3.9787961145802351</v>
      </c>
      <c r="F68" s="3">
        <f>IF(D68&gt;0,D68*Agriculture!$D$2+Agriculture!$E$16*E68,IF(E68&gt;0,0,Agriculture!$D$2*0.025))</f>
        <v>1157.8296693428483</v>
      </c>
      <c r="G68" s="3">
        <f>L68*1/Agriculture!$C$49*Agriculture!$E$16</f>
        <v>0</v>
      </c>
      <c r="K68" s="59">
        <v>40000</v>
      </c>
      <c r="O68" s="72"/>
      <c r="P68" s="72"/>
      <c r="Q68" s="72"/>
      <c r="R68" s="72"/>
      <c r="S68" s="72"/>
      <c r="T68" s="73">
        <f t="shared" si="14"/>
        <v>0</v>
      </c>
      <c r="W68">
        <f t="shared" si="15"/>
        <v>1</v>
      </c>
      <c r="X68" s="3">
        <f>IF(K68&gt;0,F68/K68/W68*Conversion!$E$17,0)</f>
        <v>289.45741733571208</v>
      </c>
      <c r="Y68" s="3">
        <f>IF(L68&gt;0,G68/L68/W68*Conversion!$E$17,0)</f>
        <v>0</v>
      </c>
      <c r="Z68" s="3">
        <f t="shared" si="16"/>
        <v>289.45741733571208</v>
      </c>
      <c r="AA68" s="3">
        <f>(F68*T68)/365.26/Agriculture!$D$2</f>
        <v>0</v>
      </c>
      <c r="AB68" s="4">
        <f>SUM(X68:Y68)*Conversion!$F$18</f>
        <v>7.1527822397827803E-2</v>
      </c>
      <c r="AC68">
        <f t="shared" si="13"/>
        <v>14.8</v>
      </c>
      <c r="AD68" s="4">
        <f t="shared" si="4"/>
        <v>1.0586117714878516</v>
      </c>
    </row>
    <row r="69" spans="1:30" ht="18">
      <c r="A69" t="s">
        <v>129</v>
      </c>
      <c r="B69">
        <v>6</v>
      </c>
      <c r="C69">
        <v>0</v>
      </c>
      <c r="D69">
        <f t="shared" si="17"/>
        <v>0</v>
      </c>
      <c r="F69" s="3">
        <f>IF(D69&gt;0,D69*Agriculture!$D$2+Agriculture!$E$16*E69,IF(E69&gt;0,0,Agriculture!$D$2*0.025))</f>
        <v>7.2750000000000004</v>
      </c>
      <c r="G69" s="3">
        <f>L69*1/Agriculture!$C$49*Agriculture!$E$16</f>
        <v>0</v>
      </c>
      <c r="I69">
        <v>40000</v>
      </c>
      <c r="K69" s="59">
        <f>IF(I69&gt;0,I69,J69/2000*Conversion!$D$22)</f>
        <v>40000</v>
      </c>
      <c r="P69">
        <v>1</v>
      </c>
      <c r="Q69">
        <v>1</v>
      </c>
      <c r="R69">
        <v>98</v>
      </c>
      <c r="T69" s="73">
        <f t="shared" si="14"/>
        <v>4100</v>
      </c>
      <c r="U69">
        <v>4</v>
      </c>
      <c r="W69">
        <f t="shared" si="15"/>
        <v>1</v>
      </c>
      <c r="X69" s="3">
        <f>IF(K69&gt;0,F69/K69/W69*Conversion!$E$17,0)</f>
        <v>1.8187500000000001</v>
      </c>
      <c r="Y69" s="3">
        <f>IF(L69&gt;0,G69/L69/W69*Conversion!$E$17,0)</f>
        <v>0</v>
      </c>
      <c r="Z69" s="3">
        <f t="shared" si="16"/>
        <v>7.2750000000000004</v>
      </c>
      <c r="AA69" s="3">
        <f>(F69*T69)/365.26/Agriculture!$D$2</f>
        <v>0.28062202266878389</v>
      </c>
      <c r="AB69" s="4">
        <f>SUM(X69:Y69)*Conversion!$F$18</f>
        <v>4.4943131249999997E-4</v>
      </c>
      <c r="AC69">
        <f t="shared" si="13"/>
        <v>14.8</v>
      </c>
      <c r="AD69" s="4">
        <f t="shared" si="4"/>
        <v>6.6515834249999996E-3</v>
      </c>
    </row>
    <row r="70" spans="1:30" ht="18">
      <c r="A70" t="s">
        <v>509</v>
      </c>
      <c r="B70">
        <v>6</v>
      </c>
      <c r="C70">
        <v>0</v>
      </c>
      <c r="D70">
        <f t="shared" si="17"/>
        <v>0</v>
      </c>
      <c r="F70" s="3">
        <f>IF(D70&gt;0,D70*Agriculture!$D$2+Agriculture!$E$16*E70,IF(E70&gt;0,0,Agriculture!$D$2*0.025))</f>
        <v>7.2750000000000004</v>
      </c>
      <c r="G70" s="3">
        <f>L70*1/Agriculture!$C$49*Agriculture!$E$16</f>
        <v>0</v>
      </c>
      <c r="I70">
        <v>1000</v>
      </c>
      <c r="K70" s="59">
        <f>IF(I70&gt;0,I70,J70/2000*Conversion!$D$22)</f>
        <v>1000</v>
      </c>
      <c r="P70">
        <v>18</v>
      </c>
      <c r="Q70">
        <v>2</v>
      </c>
      <c r="R70">
        <v>80</v>
      </c>
      <c r="T70" s="73">
        <f t="shared" si="14"/>
        <v>5000</v>
      </c>
      <c r="U70">
        <v>1</v>
      </c>
      <c r="V70">
        <v>1</v>
      </c>
      <c r="W70">
        <f t="shared" si="15"/>
        <v>1</v>
      </c>
      <c r="X70" s="3">
        <f>IF(K70&gt;0,F70/K70/W70*Conversion!$E$17,0)</f>
        <v>72.75</v>
      </c>
      <c r="Y70" s="3">
        <f>IF(L70&gt;0,G70/L70/W70*Conversion!$E$17,0)</f>
        <v>0</v>
      </c>
      <c r="Z70" s="3">
        <f t="shared" si="16"/>
        <v>72.75</v>
      </c>
      <c r="AA70" s="3">
        <f>(F70*T70)/365.26/Agriculture!$D$2</f>
        <v>0.34222197886437061</v>
      </c>
      <c r="AB70" s="4">
        <f>SUM(X70:Y70)*Conversion!$F$18</f>
        <v>1.7977252499999999E-2</v>
      </c>
      <c r="AC70">
        <f t="shared" si="13"/>
        <v>14.8</v>
      </c>
      <c r="AD70" s="4">
        <f t="shared" si="4"/>
        <v>0.26606333700000001</v>
      </c>
    </row>
    <row r="71" spans="1:30" ht="18">
      <c r="A71" t="s">
        <v>463</v>
      </c>
      <c r="B71">
        <v>6</v>
      </c>
      <c r="C71">
        <v>1</v>
      </c>
      <c r="D71">
        <f t="shared" si="17"/>
        <v>3.9787961145802351</v>
      </c>
      <c r="F71" s="3">
        <f>IF(D71&gt;0,D71*Agriculture!$D$2+Agriculture!$E$16*E71,IF(E71&gt;0,0,Agriculture!$D$2*0.025))</f>
        <v>1157.8296693428483</v>
      </c>
      <c r="G71" s="3">
        <f>L71*1/Agriculture!$C$49*Agriculture!$E$16</f>
        <v>0</v>
      </c>
      <c r="J71">
        <v>31400</v>
      </c>
      <c r="K71" s="59">
        <f>IF(I71&gt;0,I71,J71/2000*Conversion!$D$22)</f>
        <v>35194.726266999998</v>
      </c>
      <c r="N71">
        <v>1</v>
      </c>
      <c r="O71" s="72"/>
      <c r="P71" s="72"/>
      <c r="Q71" s="72"/>
      <c r="R71" s="72">
        <v>98</v>
      </c>
      <c r="S71" s="72"/>
      <c r="T71" s="73">
        <f t="shared" si="14"/>
        <v>3920</v>
      </c>
      <c r="W71">
        <f t="shared" si="15"/>
        <v>1</v>
      </c>
      <c r="X71" s="3">
        <f>IF(K71&gt;0,F71/K71/W71*Conversion!$E$17,0)</f>
        <v>328.97817149056118</v>
      </c>
      <c r="Y71" s="3">
        <f>IF(L71&gt;0,G71/L71/W71*Conversion!$E$17,0)</f>
        <v>0</v>
      </c>
      <c r="Z71" s="3">
        <f t="shared" si="16"/>
        <v>328.97817149056118</v>
      </c>
      <c r="AA71" s="3">
        <f>(F71*T71)/365.26/Agriculture!$D$2</f>
        <v>42.700763207453655</v>
      </c>
      <c r="AB71" s="4">
        <f>SUM(X71:Y71)*Conversion!$F$18</f>
        <v>8.1293795957032566E-2</v>
      </c>
      <c r="AC71">
        <f t="shared" si="13"/>
        <v>14.8</v>
      </c>
      <c r="AD71" s="4">
        <f t="shared" ref="AD71:AD119" si="18">W71*AB71*AC71</f>
        <v>1.203148180164082</v>
      </c>
    </row>
    <row r="72" spans="1:30" ht="18">
      <c r="A72" t="s">
        <v>464</v>
      </c>
      <c r="B72">
        <v>6</v>
      </c>
      <c r="C72">
        <v>1</v>
      </c>
      <c r="D72">
        <f t="shared" si="17"/>
        <v>3.9787961145802351</v>
      </c>
      <c r="F72" s="3">
        <f>IF(D72&gt;0,D72*Agriculture!$D$2+Agriculture!$E$16*E72,IF(E72&gt;0,0,Agriculture!$D$2*0.025))</f>
        <v>1157.8296693428483</v>
      </c>
      <c r="G72" s="3">
        <f>L72*1/Agriculture!$C$49*Agriculture!$E$16</f>
        <v>0</v>
      </c>
      <c r="J72">
        <v>28200</v>
      </c>
      <c r="K72" s="59">
        <f>IF(I72&gt;0,I72,J72/2000*Conversion!$D$22)</f>
        <v>31608.002571000001</v>
      </c>
      <c r="N72">
        <v>1</v>
      </c>
      <c r="O72" s="72"/>
      <c r="P72" s="72"/>
      <c r="Q72" s="72"/>
      <c r="R72" s="72">
        <v>89</v>
      </c>
      <c r="S72" s="72"/>
      <c r="T72" s="73">
        <f t="shared" si="14"/>
        <v>3560</v>
      </c>
      <c r="W72">
        <f t="shared" si="15"/>
        <v>1</v>
      </c>
      <c r="X72" s="3">
        <f>IF(K72&gt;0,F72/K72/W72*Conversion!$E$17,0)</f>
        <v>366.30902782991558</v>
      </c>
      <c r="Y72" s="3">
        <f>IF(L72&gt;0,G72/L72/W72*Conversion!$E$17,0)</f>
        <v>0</v>
      </c>
      <c r="Z72" s="3">
        <f t="shared" si="16"/>
        <v>366.30902782991558</v>
      </c>
      <c r="AA72" s="3">
        <f>(F72*T72)/365.26/Agriculture!$D$2</f>
        <v>38.779264545544642</v>
      </c>
      <c r="AB72" s="4">
        <f>SUM(X72:Y72)*Conversion!$F$18</f>
        <v>9.0518623867050438E-2</v>
      </c>
      <c r="AC72">
        <f t="shared" si="13"/>
        <v>14.8</v>
      </c>
      <c r="AD72" s="4">
        <f t="shared" si="18"/>
        <v>1.3396756332323465</v>
      </c>
    </row>
    <row r="73" spans="1:30" ht="18">
      <c r="A73" t="s">
        <v>473</v>
      </c>
      <c r="B73">
        <v>6</v>
      </c>
      <c r="C73">
        <v>2</v>
      </c>
      <c r="D73">
        <f t="shared" si="17"/>
        <v>7.9575922291604702</v>
      </c>
      <c r="F73" s="3">
        <f>IF(D73&gt;0,D73*Agriculture!$D$2+Agriculture!$E$16*E73,IF(E73&gt;0,0,Agriculture!$D$2*0.025))</f>
        <v>2315.6593386856966</v>
      </c>
      <c r="G73" s="3">
        <f>L73*1/Agriculture!$C$49*Agriculture!$E$16</f>
        <v>0</v>
      </c>
      <c r="J73">
        <v>6900</v>
      </c>
      <c r="K73" s="59">
        <f>IF(I73&gt;0,I73,J73/2000*Conversion!$D$22)</f>
        <v>7733.8729695000011</v>
      </c>
      <c r="M73">
        <v>150</v>
      </c>
      <c r="O73" s="72"/>
      <c r="R73" s="72"/>
      <c r="S73" s="72"/>
      <c r="T73" s="73">
        <f t="shared" si="14"/>
        <v>0</v>
      </c>
      <c r="W73">
        <f t="shared" si="15"/>
        <v>2.4000000000000004</v>
      </c>
      <c r="X73" s="3">
        <f>IF(K73&gt;0,F73/K73/W73*Conversion!$E$17,0)</f>
        <v>1247.5742252178281</v>
      </c>
      <c r="Y73" s="3">
        <f>IF(L73&gt;0,G73/L73/W73*Conversion!$E$17,0)</f>
        <v>0</v>
      </c>
      <c r="Z73" s="3">
        <f t="shared" si="16"/>
        <v>1247.5742252178281</v>
      </c>
      <c r="AA73" s="3">
        <f>(F73*T73)/365.26/Agriculture!$D$2</f>
        <v>0</v>
      </c>
      <c r="AB73" s="4">
        <f>SUM(X73:Y73)*Conversion!$F$18</f>
        <v>0.30828806679357751</v>
      </c>
      <c r="AC73">
        <f t="shared" si="13"/>
        <v>14.8</v>
      </c>
      <c r="AD73" s="4">
        <f t="shared" si="18"/>
        <v>10.950392132507876</v>
      </c>
    </row>
    <row r="74" spans="1:30" ht="18">
      <c r="A74" t="s">
        <v>417</v>
      </c>
      <c r="B74">
        <v>6</v>
      </c>
      <c r="C74">
        <v>1</v>
      </c>
      <c r="D74">
        <f t="shared" si="17"/>
        <v>3.9787961145802351</v>
      </c>
      <c r="F74" s="3">
        <f>IF(D74&gt;0,D74*Agriculture!$D$2+Agriculture!$E$16*E74,IF(E74&gt;0,0,Agriculture!$D$2*0.025))</f>
        <v>1157.8296693428483</v>
      </c>
      <c r="G74" s="3">
        <f>L74*1/Agriculture!$C$49*Agriculture!$E$16</f>
        <v>0</v>
      </c>
      <c r="H74" t="s">
        <v>450</v>
      </c>
      <c r="I74">
        <v>6368</v>
      </c>
      <c r="K74" s="59">
        <f>IF(I74&gt;0,I74,J74/2000*Conversion!$D$22)</f>
        <v>6368</v>
      </c>
      <c r="N74">
        <v>1</v>
      </c>
      <c r="O74" s="72">
        <v>1.3</v>
      </c>
      <c r="P74" s="72">
        <v>0.37</v>
      </c>
      <c r="Q74" s="72">
        <v>0</v>
      </c>
      <c r="R74" s="72">
        <v>31.98</v>
      </c>
      <c r="S74" s="72">
        <v>842</v>
      </c>
      <c r="T74" s="73">
        <f t="shared" si="14"/>
        <v>1364.5000000000002</v>
      </c>
      <c r="W74">
        <f t="shared" si="15"/>
        <v>1</v>
      </c>
      <c r="X74" s="3">
        <f>IF(K74&gt;0,F74/K74/W74*Conversion!$E$17,0)</f>
        <v>1818.1998576363826</v>
      </c>
      <c r="Y74" s="3">
        <f>IF(L74&gt;0,G74/L74/W74*Conversion!$E$17,0)</f>
        <v>0</v>
      </c>
      <c r="Z74" s="3">
        <f t="shared" si="16"/>
        <v>1818.1998576363826</v>
      </c>
      <c r="AA74" s="3">
        <f>(F74*T74)/365.26/Agriculture!$D$2</f>
        <v>14.863569233819009</v>
      </c>
      <c r="AB74" s="4">
        <f>SUM(X74:Y74)*Conversion!$F$18</f>
        <v>0.44929536682052645</v>
      </c>
      <c r="AC74">
        <f t="shared" si="13"/>
        <v>14.8</v>
      </c>
      <c r="AD74" s="4">
        <f t="shared" si="18"/>
        <v>6.6495714289437915</v>
      </c>
    </row>
    <row r="75" spans="1:30" ht="18">
      <c r="A75" t="s">
        <v>465</v>
      </c>
      <c r="B75">
        <v>6</v>
      </c>
      <c r="C75">
        <v>1</v>
      </c>
      <c r="D75">
        <f t="shared" si="17"/>
        <v>3.9787961145802351</v>
      </c>
      <c r="F75" s="3">
        <f>IF(D75&gt;0,D75*Agriculture!$D$2+Agriculture!$E$16*E75,IF(E75&gt;0,0,Agriculture!$D$2*0.025))</f>
        <v>1157.8296693428483</v>
      </c>
      <c r="G75" s="3">
        <f>L75*1/Agriculture!$C$49*Agriculture!$E$16</f>
        <v>0</v>
      </c>
      <c r="J75">
        <v>10400</v>
      </c>
      <c r="K75" s="59">
        <f>IF(I75&gt;0,I75,J75/2000*Conversion!$D$22)</f>
        <v>11656.852012000001</v>
      </c>
      <c r="N75">
        <v>1</v>
      </c>
      <c r="O75" s="72"/>
      <c r="P75" s="72"/>
      <c r="Q75" s="72"/>
      <c r="R75" s="72">
        <v>98</v>
      </c>
      <c r="S75" s="72"/>
      <c r="T75" s="73">
        <f t="shared" si="14"/>
        <v>3920</v>
      </c>
      <c r="W75">
        <f t="shared" si="15"/>
        <v>1</v>
      </c>
      <c r="X75" s="3">
        <f>IF(K75&gt;0,F75/K75/W75*Conversion!$E$17,0)</f>
        <v>993.26101776957876</v>
      </c>
      <c r="Y75" s="3">
        <f>IF(L75&gt;0,G75/L75/W75*Conversion!$E$17,0)</f>
        <v>0</v>
      </c>
      <c r="Z75" s="3">
        <f t="shared" si="16"/>
        <v>993.26101776957876</v>
      </c>
      <c r="AA75" s="3">
        <f>(F75*T75)/365.26/Agriculture!$D$2</f>
        <v>42.700763207453655</v>
      </c>
      <c r="AB75" s="4">
        <f>SUM(X75:Y75)*Conversion!$F$18</f>
        <v>0.24544473010104059</v>
      </c>
      <c r="AC75">
        <f t="shared" si="13"/>
        <v>14.8</v>
      </c>
      <c r="AD75" s="4">
        <f t="shared" si="18"/>
        <v>3.6325820054954008</v>
      </c>
    </row>
    <row r="76" spans="1:30" ht="18">
      <c r="A76" t="s">
        <v>433</v>
      </c>
      <c r="B76">
        <v>6</v>
      </c>
      <c r="C76">
        <v>0.1</v>
      </c>
      <c r="D76">
        <f t="shared" si="17"/>
        <v>0.39787961145802353</v>
      </c>
      <c r="F76" s="3">
        <f>IF(D76&gt;0,D76*Agriculture!$D$2+Agriculture!$E$16*E76,IF(E76&gt;0,0,Agriculture!$D$2*0.025))</f>
        <v>115.78296693428484</v>
      </c>
      <c r="G76" s="3">
        <f>L76*1/Agriculture!$C$49*Agriculture!$E$16</f>
        <v>0</v>
      </c>
      <c r="I76">
        <v>42368</v>
      </c>
      <c r="K76" s="59">
        <f>IF(I76&gt;0,I76,J76/2000*Conversion!$D$22)</f>
        <v>42368</v>
      </c>
      <c r="M76">
        <v>150</v>
      </c>
      <c r="O76" s="72">
        <v>1</v>
      </c>
      <c r="P76" s="72">
        <v>0.1</v>
      </c>
      <c r="Q76" s="72">
        <v>0</v>
      </c>
      <c r="R76" s="72">
        <v>6.5</v>
      </c>
      <c r="S76" s="72">
        <v>1270</v>
      </c>
      <c r="T76" s="73">
        <f t="shared" si="14"/>
        <v>309</v>
      </c>
      <c r="W76">
        <f t="shared" si="15"/>
        <v>2.4000000000000004</v>
      </c>
      <c r="X76" s="3">
        <f>IF(K76&gt;0,F76/K76/W76*Conversion!$E$17,0)</f>
        <v>11.386636822433285</v>
      </c>
      <c r="Y76" s="3">
        <f>IF(L76&gt;0,G76/L76/W76*Conversion!$E$17,0)</f>
        <v>0</v>
      </c>
      <c r="Z76" s="3">
        <f t="shared" si="16"/>
        <v>11.386636822433285</v>
      </c>
      <c r="AA76" s="3">
        <f>(F76*T76)/365.26/Agriculture!$D$2</f>
        <v>0.33659530181385661</v>
      </c>
      <c r="AB76" s="4">
        <f>SUM(X76:Y76)*Conversion!$F$18</f>
        <v>2.8137518251914891E-3</v>
      </c>
      <c r="AC76">
        <f t="shared" si="13"/>
        <v>14.8</v>
      </c>
      <c r="AD76" s="4">
        <f t="shared" si="18"/>
        <v>9.9944464830801716E-2</v>
      </c>
    </row>
    <row r="77" spans="1:30" ht="18">
      <c r="A77" t="s">
        <v>480</v>
      </c>
      <c r="B77">
        <v>6</v>
      </c>
      <c r="C77">
        <v>0.1</v>
      </c>
      <c r="D77">
        <f t="shared" si="17"/>
        <v>0.39787961145802353</v>
      </c>
      <c r="F77" s="3">
        <f>IF(D77&gt;0,D77*Agriculture!$D$2+Agriculture!$E$16*E77,IF(E77&gt;0,0,Agriculture!$D$2*0.025))</f>
        <v>115.78296693428484</v>
      </c>
      <c r="G77" s="3">
        <f>L77*1/Agriculture!$C$49*Agriculture!$E$16</f>
        <v>0</v>
      </c>
      <c r="J77">
        <v>12000</v>
      </c>
      <c r="K77" s="59">
        <f>IF(I77&gt;0,I77,J77/2000*Conversion!$D$22)</f>
        <v>13450.21386</v>
      </c>
      <c r="O77" s="72"/>
      <c r="P77" s="72"/>
      <c r="Q77" s="72"/>
      <c r="R77" s="72"/>
      <c r="S77" s="72"/>
      <c r="T77" s="73">
        <f t="shared" si="14"/>
        <v>0</v>
      </c>
      <c r="W77">
        <f t="shared" si="15"/>
        <v>1</v>
      </c>
      <c r="X77" s="3">
        <f>IF(K77&gt;0,F77/K77/W77*Conversion!$E$17,0)</f>
        <v>86.082621540030175</v>
      </c>
      <c r="Y77" s="3">
        <f>IF(L77&gt;0,G77/L77/W77*Conversion!$E$17,0)</f>
        <v>0</v>
      </c>
      <c r="Z77" s="3">
        <f t="shared" si="16"/>
        <v>86.082621540030175</v>
      </c>
      <c r="AA77" s="3">
        <f>(F77*T77)/365.26/Agriculture!$D$2</f>
        <v>0</v>
      </c>
      <c r="AB77" s="4">
        <f>SUM(X77:Y77)*Conversion!$F$18</f>
        <v>2.1271876608756856E-2</v>
      </c>
      <c r="AC77">
        <f t="shared" si="13"/>
        <v>14.8</v>
      </c>
      <c r="AD77" s="4">
        <f t="shared" si="18"/>
        <v>0.31482377380960147</v>
      </c>
    </row>
    <row r="78" spans="1:30" ht="18">
      <c r="A78" t="s">
        <v>466</v>
      </c>
      <c r="B78">
        <v>6</v>
      </c>
      <c r="C78">
        <v>1</v>
      </c>
      <c r="D78">
        <f t="shared" si="17"/>
        <v>3.9787961145802351</v>
      </c>
      <c r="F78" s="3">
        <f>IF(D78&gt;0,D78*Agriculture!$D$2+Agriculture!$E$16*E78,IF(E78&gt;0,0,Agriculture!$D$2*0.025))</f>
        <v>1157.8296693428483</v>
      </c>
      <c r="G78" s="3">
        <f>L78*1/Agriculture!$C$49*Agriculture!$E$16</f>
        <v>0</v>
      </c>
      <c r="J78">
        <v>11000</v>
      </c>
      <c r="K78" s="59">
        <f>IF(I78&gt;0,I78,J78/2000*Conversion!$D$22)</f>
        <v>12329.362705000001</v>
      </c>
      <c r="M78">
        <v>150</v>
      </c>
      <c r="O78" s="72"/>
      <c r="P78" s="72"/>
      <c r="Q78" s="72"/>
      <c r="R78" s="72"/>
      <c r="S78" s="72"/>
      <c r="T78" s="73">
        <f t="shared" si="14"/>
        <v>0</v>
      </c>
      <c r="W78">
        <f t="shared" si="15"/>
        <v>2.4000000000000004</v>
      </c>
      <c r="X78" s="3">
        <f>IF(K78&gt;0,F78/K78/W78*Conversion!$E$17,0)</f>
        <v>391.2846433637734</v>
      </c>
      <c r="Y78" s="3">
        <f>IF(L78&gt;0,G78/L78/W78*Conversion!$E$17,0)</f>
        <v>0</v>
      </c>
      <c r="Z78" s="3">
        <f t="shared" si="16"/>
        <v>391.2846433637734</v>
      </c>
      <c r="AA78" s="3">
        <f>(F78*T78)/365.26/Agriculture!$D$2</f>
        <v>0</v>
      </c>
      <c r="AB78" s="4">
        <f>SUM(X78:Y78)*Conversion!$F$18</f>
        <v>9.6690348221622036E-2</v>
      </c>
      <c r="AC78">
        <f t="shared" si="13"/>
        <v>14.8</v>
      </c>
      <c r="AD78" s="4">
        <f t="shared" si="18"/>
        <v>3.4344411688320156</v>
      </c>
    </row>
    <row r="79" spans="1:30" ht="18">
      <c r="A79" t="s">
        <v>475</v>
      </c>
      <c r="B79">
        <v>6</v>
      </c>
      <c r="C79">
        <v>1</v>
      </c>
      <c r="D79">
        <f t="shared" si="17"/>
        <v>3.9787961145802351</v>
      </c>
      <c r="F79" s="3">
        <f>IF(D79&gt;0,D79*Agriculture!$D$2+Agriculture!$E$16*E79,IF(E79&gt;0,0,Agriculture!$D$2*0.025))</f>
        <v>1157.8296693428483</v>
      </c>
      <c r="G79" s="3">
        <f>L79*1/Agriculture!$C$49*Agriculture!$E$16</f>
        <v>0</v>
      </c>
      <c r="J79">
        <v>9700</v>
      </c>
      <c r="K79" s="59">
        <f>IF(I79&gt;0,I79,J79/2000*Conversion!$D$22)</f>
        <v>10872.256203499999</v>
      </c>
      <c r="O79" s="72"/>
      <c r="P79" s="72"/>
      <c r="Q79" s="72"/>
      <c r="R79" s="72"/>
      <c r="S79" s="72"/>
      <c r="T79" s="73">
        <f t="shared" si="14"/>
        <v>0</v>
      </c>
      <c r="W79">
        <f t="shared" si="15"/>
        <v>1</v>
      </c>
      <c r="X79" s="3">
        <f>IF(K79&gt;0,F79/K79/W79*Conversion!$E$17,0)</f>
        <v>1064.939647917899</v>
      </c>
      <c r="Y79" s="3">
        <f>IF(L79&gt;0,G79/L79/W79*Conversion!$E$17,0)</f>
        <v>0</v>
      </c>
      <c r="Z79" s="3">
        <f t="shared" si="16"/>
        <v>1064.939647917899</v>
      </c>
      <c r="AA79" s="3">
        <f>(F79*T79)/365.26/Agriculture!$D$2</f>
        <v>0</v>
      </c>
      <c r="AB79" s="4">
        <f>SUM(X79:Y79)*Conversion!$F$18</f>
        <v>0.26315723639699201</v>
      </c>
      <c r="AC79">
        <f t="shared" si="13"/>
        <v>14.8</v>
      </c>
      <c r="AD79" s="4">
        <f t="shared" si="18"/>
        <v>3.8947270986754821</v>
      </c>
    </row>
    <row r="80" spans="1:30" ht="18">
      <c r="A80" t="s">
        <v>470</v>
      </c>
      <c r="B80">
        <v>6</v>
      </c>
      <c r="C80">
        <v>2</v>
      </c>
      <c r="D80">
        <f t="shared" si="17"/>
        <v>7.9575922291604702</v>
      </c>
      <c r="F80" s="3">
        <f>IF(D80&gt;0,D80*Agriculture!$D$2+Agriculture!$E$16*E80,IF(E80&gt;0,0,Agriculture!$D$2*0.025))</f>
        <v>2315.6593386856966</v>
      </c>
      <c r="G80" s="3">
        <f>L80*1/Agriculture!$C$49*Agriculture!$E$16</f>
        <v>0</v>
      </c>
      <c r="J80">
        <v>11000</v>
      </c>
      <c r="K80" s="59">
        <f>IF(I80&gt;0,I80,J80/2000*Conversion!$D$22)</f>
        <v>12329.362705000001</v>
      </c>
      <c r="M80">
        <v>150</v>
      </c>
      <c r="O80" s="72"/>
      <c r="P80" s="72"/>
      <c r="Q80" s="72"/>
      <c r="R80" s="72"/>
      <c r="S80" s="72"/>
      <c r="T80" s="73">
        <f t="shared" si="14"/>
        <v>0</v>
      </c>
      <c r="W80">
        <f t="shared" si="15"/>
        <v>2.4000000000000004</v>
      </c>
      <c r="X80" s="3">
        <f>IF(K80&gt;0,F80/K80/W80*Conversion!$E$17,0)</f>
        <v>782.5692867275468</v>
      </c>
      <c r="Y80" s="3">
        <f>IF(L80&gt;0,G80/L80/W80*Conversion!$E$17,0)</f>
        <v>0</v>
      </c>
      <c r="Z80" s="3">
        <f t="shared" si="16"/>
        <v>782.5692867275468</v>
      </c>
      <c r="AA80" s="3">
        <f>(F80*T80)/365.26/Agriculture!$D$2</f>
        <v>0</v>
      </c>
      <c r="AB80" s="4">
        <f>SUM(X80:Y80)*Conversion!$F$18</f>
        <v>0.19338069644324407</v>
      </c>
      <c r="AC80">
        <f t="shared" si="13"/>
        <v>14.8</v>
      </c>
      <c r="AD80" s="4">
        <f t="shared" si="18"/>
        <v>6.8688823376640311</v>
      </c>
    </row>
    <row r="81" spans="1:30" ht="18">
      <c r="A81" t="s">
        <v>481</v>
      </c>
      <c r="B81">
        <v>6</v>
      </c>
      <c r="C81">
        <v>1</v>
      </c>
      <c r="D81">
        <f t="shared" si="17"/>
        <v>3.9787961145802351</v>
      </c>
      <c r="F81" s="3">
        <f>IF(D81&gt;0,D81*Agriculture!$D$2+Agriculture!$E$16*E81,IF(E81&gt;0,0,Agriculture!$D$2*0.025))</f>
        <v>1157.8296693428483</v>
      </c>
      <c r="G81" s="3">
        <f>L81*1/Agriculture!$C$49*Agriculture!$E$16</f>
        <v>0</v>
      </c>
      <c r="J81">
        <v>10300</v>
      </c>
      <c r="K81" s="59">
        <f>IF(I81&gt;0,I81,J81/2000*Conversion!$D$22)</f>
        <v>11544.766896500001</v>
      </c>
      <c r="M81">
        <v>150</v>
      </c>
      <c r="T81" s="73">
        <f t="shared" si="14"/>
        <v>0</v>
      </c>
      <c r="W81">
        <f t="shared" si="15"/>
        <v>2.4000000000000004</v>
      </c>
      <c r="X81" s="3">
        <f>IF(K81&gt;0,F81/K81/W81*Conversion!$E$17,0)</f>
        <v>417.8768035923793</v>
      </c>
      <c r="Y81" s="3">
        <f>IF(L81&gt;0,G81/L81/W81*Conversion!$E$17,0)</f>
        <v>0</v>
      </c>
      <c r="Z81" s="3">
        <f t="shared" si="16"/>
        <v>417.8768035923793</v>
      </c>
      <c r="AA81" s="3">
        <f>(F81*T81)/365.26/Agriculture!$D$2</f>
        <v>0</v>
      </c>
      <c r="AB81" s="4">
        <f>SUM(X81:Y81)*Conversion!$F$18</f>
        <v>0.10326153693571284</v>
      </c>
      <c r="AC81">
        <f t="shared" si="13"/>
        <v>14.8</v>
      </c>
      <c r="AD81" s="4">
        <f t="shared" si="18"/>
        <v>3.6678497919565212</v>
      </c>
    </row>
    <row r="82" spans="1:30" ht="18">
      <c r="F82" s="3"/>
      <c r="G82" s="3"/>
      <c r="K82" s="59"/>
      <c r="O82" s="72"/>
      <c r="P82" s="72"/>
      <c r="Q82" s="72"/>
      <c r="R82" s="72"/>
      <c r="S82" s="72"/>
      <c r="T82" s="73"/>
      <c r="X82" s="3"/>
      <c r="Y82" s="3"/>
      <c r="Z82" s="3"/>
      <c r="AA82" s="3"/>
      <c r="AB82" s="4">
        <f>SUM(X82:Y82)*Conversion!$F$18</f>
        <v>0</v>
      </c>
      <c r="AC82">
        <f t="shared" si="13"/>
        <v>14.8</v>
      </c>
      <c r="AD82" s="4">
        <f t="shared" si="18"/>
        <v>0</v>
      </c>
    </row>
    <row r="83" spans="1:30" ht="18">
      <c r="A83" t="str">
        <f>Agriculture!B30</f>
        <v>Starchy Root</v>
      </c>
      <c r="B83">
        <f>COUNT(B84:B86)</f>
        <v>3</v>
      </c>
      <c r="C83">
        <f>SUM(C84:C86)</f>
        <v>2</v>
      </c>
      <c r="D83">
        <f>Agriculture!G30</f>
        <v>45.804518783542036</v>
      </c>
      <c r="F83" s="3"/>
      <c r="G83" s="3"/>
      <c r="K83" s="59"/>
      <c r="O83" s="72"/>
      <c r="P83" s="72"/>
      <c r="Q83" s="72"/>
      <c r="R83" s="72"/>
      <c r="S83" s="72"/>
      <c r="T83" s="73"/>
      <c r="X83" s="3"/>
      <c r="Y83" s="3"/>
      <c r="Z83" s="3"/>
      <c r="AA83" s="3"/>
      <c r="AB83" s="4">
        <f>SUM(X83:Y83)*Conversion!$F$18</f>
        <v>0</v>
      </c>
      <c r="AC83">
        <f t="shared" si="13"/>
        <v>14.8</v>
      </c>
      <c r="AD83" s="4">
        <f t="shared" si="18"/>
        <v>0</v>
      </c>
    </row>
    <row r="84" spans="1:30" ht="18">
      <c r="A84" t="s">
        <v>123</v>
      </c>
      <c r="B84">
        <v>7</v>
      </c>
      <c r="C84">
        <v>1</v>
      </c>
      <c r="D84">
        <f>$D$83*C84/$C$83</f>
        <v>22.902259391771018</v>
      </c>
      <c r="F84" s="3">
        <f>IF(D84&gt;0,D84*Agriculture!$D$2+Agriculture!$E$16*E84,IF(E84&gt;0,0,Agriculture!$D$2*0.025))</f>
        <v>6664.5574830053665</v>
      </c>
      <c r="G84" s="3">
        <f>L84*1/Agriculture!$C$49*Agriculture!$E$16</f>
        <v>0</v>
      </c>
      <c r="H84" t="s">
        <v>450</v>
      </c>
      <c r="I84">
        <v>17268</v>
      </c>
      <c r="J84">
        <v>15200</v>
      </c>
      <c r="K84" s="59">
        <f>IF(I84&gt;0,I84,J84/2000*Conversion!$D$22)</f>
        <v>17268</v>
      </c>
      <c r="M84">
        <v>150</v>
      </c>
      <c r="O84" s="72">
        <v>2</v>
      </c>
      <c r="P84" s="72">
        <v>0.09</v>
      </c>
      <c r="Q84" s="72">
        <v>0</v>
      </c>
      <c r="R84" s="72">
        <v>17.47</v>
      </c>
      <c r="S84" s="72">
        <v>1318</v>
      </c>
      <c r="T84" s="73">
        <f>(O84*4+R84*4+P84*9+Q84*9)*10</f>
        <v>786.9</v>
      </c>
      <c r="U84">
        <v>0.5</v>
      </c>
      <c r="V84">
        <v>1</v>
      </c>
      <c r="W84">
        <f>IF(N84&gt;0,1,IF(M84&gt;0,FLOOR(365.26/M84,0.1),1))</f>
        <v>2.4000000000000004</v>
      </c>
      <c r="X84" s="3">
        <f>IF(K84&gt;0,F84/K84/W84*Conversion!$E$17,0)</f>
        <v>1608.1184568289527</v>
      </c>
      <c r="Y84" s="3">
        <f>IF(L84&gt;0,G84/L84/W84*Conversion!$E$17,0)</f>
        <v>0</v>
      </c>
      <c r="Z84" s="3">
        <f>(X84+Y84)*IF(U84&gt;0,U84,1)</f>
        <v>804.05922841447637</v>
      </c>
      <c r="AA84" s="3">
        <f>(F84*T84)/365.26/Agriculture!$D$2</f>
        <v>49.339615384615385</v>
      </c>
      <c r="AB84" s="4">
        <f>SUM(X84:Y84)*Conversion!$F$18</f>
        <v>0.39738215186700249</v>
      </c>
      <c r="AC84">
        <f t="shared" si="13"/>
        <v>14.8</v>
      </c>
      <c r="AD84" s="4">
        <f t="shared" si="18"/>
        <v>14.115014034315932</v>
      </c>
    </row>
    <row r="85" spans="1:30" ht="18">
      <c r="A85" t="s">
        <v>428</v>
      </c>
      <c r="B85">
        <v>7</v>
      </c>
      <c r="C85">
        <v>1</v>
      </c>
      <c r="D85">
        <f t="shared" ref="D85:D86" si="19">$D$83*C85/$C$83</f>
        <v>22.902259391771018</v>
      </c>
      <c r="F85" s="3">
        <f>IF(D85&gt;0,D85*Agriculture!$D$2+Agriculture!$E$16*E85,IF(E85&gt;0,0,Agriculture!$D$2*0.025))</f>
        <v>6664.5574830053665</v>
      </c>
      <c r="G85" s="3">
        <f>L85*1/Agriculture!$C$49*Agriculture!$E$16</f>
        <v>0</v>
      </c>
      <c r="H85" t="s">
        <v>450</v>
      </c>
      <c r="I85">
        <v>13467</v>
      </c>
      <c r="J85">
        <v>6000</v>
      </c>
      <c r="K85" s="59">
        <f>IF(I85&gt;0,I85,J85/2000*Conversion!$D$22)</f>
        <v>13467</v>
      </c>
      <c r="M85">
        <v>150</v>
      </c>
      <c r="O85" s="72">
        <v>1.57</v>
      </c>
      <c r="P85" s="72">
        <v>0.05</v>
      </c>
      <c r="Q85" s="72">
        <v>0</v>
      </c>
      <c r="R85" s="72">
        <v>20.12</v>
      </c>
      <c r="S85" s="72">
        <v>1140</v>
      </c>
      <c r="T85" s="73">
        <f>(O85*4+R85*4+P85*9+Q85*9)*10</f>
        <v>872.10000000000014</v>
      </c>
      <c r="W85">
        <f>IF(N85&gt;0,1,IF(M85&gt;0,FLOOR(365.26/M85,0.1),1))</f>
        <v>2.4000000000000004</v>
      </c>
      <c r="X85" s="3">
        <f>IF(K85&gt;0,F85/K85/W85*Conversion!$E$17,0)</f>
        <v>2062.0026370032192</v>
      </c>
      <c r="Y85" s="3">
        <f>IF(L85&gt;0,G85/L85/W85*Conversion!$E$17,0)</f>
        <v>0</v>
      </c>
      <c r="Z85" s="3">
        <f>(X85+Y85)*IF(U85&gt;0,U85,1)</f>
        <v>2062.0026370032192</v>
      </c>
      <c r="AA85" s="3">
        <f>(F85*T85)/365.26/Agriculture!$D$2</f>
        <v>54.681762075134174</v>
      </c>
      <c r="AB85" s="4">
        <f>SUM(X85:Y85)*Conversion!$F$18</f>
        <v>0.50954147162986552</v>
      </c>
      <c r="AC85">
        <f t="shared" si="13"/>
        <v>14.8</v>
      </c>
      <c r="AD85" s="4">
        <f t="shared" si="18"/>
        <v>18.098913072292824</v>
      </c>
    </row>
    <row r="86" spans="1:30" ht="18">
      <c r="A86" t="s">
        <v>432</v>
      </c>
      <c r="B86">
        <v>7</v>
      </c>
      <c r="C86">
        <v>0</v>
      </c>
      <c r="D86">
        <f t="shared" si="19"/>
        <v>0</v>
      </c>
      <c r="F86" s="3">
        <f>IF(D86&gt;0,D86*Agriculture!$D$2+Agriculture!$E$16*E86,IF(E86&gt;0,0,Agriculture!$D$2*0.025))</f>
        <v>7.2750000000000004</v>
      </c>
      <c r="G86" s="3">
        <f>L86*1/Agriculture!$C$49*Agriculture!$E$16</f>
        <v>0</v>
      </c>
      <c r="I86">
        <v>10497</v>
      </c>
      <c r="K86" s="59">
        <f>IF(I86&gt;0,I86,J86/2000*Conversion!$D$22)</f>
        <v>10497</v>
      </c>
      <c r="M86">
        <v>150</v>
      </c>
      <c r="O86" s="72">
        <v>1.53</v>
      </c>
      <c r="P86" s="72">
        <v>0.17</v>
      </c>
      <c r="Q86" s="72">
        <v>0</v>
      </c>
      <c r="R86" s="72">
        <v>27.88</v>
      </c>
      <c r="S86" s="72">
        <v>1215</v>
      </c>
      <c r="T86" s="73">
        <f>(O86*4+R86*4+P86*9+Q86*9)*10</f>
        <v>1191.7</v>
      </c>
      <c r="W86">
        <f>IF(N86&gt;0,1,IF(M86&gt;0,FLOOR(365.26/M86,0.1),1))</f>
        <v>2.4000000000000004</v>
      </c>
      <c r="X86" s="3">
        <f>IF(K86&gt;0,F86/K86/W86*Conversion!$E$17,0)</f>
        <v>2.8877298275697818</v>
      </c>
      <c r="Y86" s="3">
        <f>IF(L86&gt;0,G86/L86/W86*Conversion!$E$17,0)</f>
        <v>0</v>
      </c>
      <c r="Z86" s="3">
        <f>(X86+Y86)*IF(U86&gt;0,U86,1)</f>
        <v>2.8877298275697818</v>
      </c>
      <c r="AA86" s="3">
        <f>(F86*T86)/365.26/Agriculture!$D$2</f>
        <v>8.1565186442534091E-2</v>
      </c>
      <c r="AB86" s="4">
        <f>SUM(X86:Y86)*Conversion!$F$18</f>
        <v>7.1358691769076875E-4</v>
      </c>
      <c r="AC86">
        <f t="shared" ref="AC86:AC119" si="20">1.5+9.4+3.9</f>
        <v>14.8</v>
      </c>
      <c r="AD86" s="4">
        <f t="shared" si="18"/>
        <v>2.5346607316376113E-2</v>
      </c>
    </row>
    <row r="87" spans="1:30" ht="18">
      <c r="F87" s="3"/>
      <c r="G87" s="3"/>
      <c r="K87" s="59"/>
      <c r="O87" s="72"/>
      <c r="P87" s="72"/>
      <c r="Q87" s="72"/>
      <c r="R87" s="72"/>
      <c r="S87" s="72"/>
      <c r="T87" s="73"/>
      <c r="X87" s="3"/>
      <c r="Y87" s="3"/>
      <c r="Z87" s="3"/>
      <c r="AA87" s="3"/>
      <c r="AB87" s="4">
        <f>SUM(X87:Y87)*Conversion!$F$18</f>
        <v>0</v>
      </c>
      <c r="AC87">
        <f t="shared" si="20"/>
        <v>14.8</v>
      </c>
      <c r="AD87" s="4">
        <f t="shared" si="18"/>
        <v>0</v>
      </c>
    </row>
    <row r="88" spans="1:30" ht="18">
      <c r="A88" t="str">
        <f>Agriculture!B31</f>
        <v>Pulses</v>
      </c>
      <c r="B88">
        <f>COUNT(B89:B98)</f>
        <v>10</v>
      </c>
      <c r="C88">
        <f>SUM(C89:C98)</f>
        <v>2.5</v>
      </c>
      <c r="D88">
        <f>Agriculture!G31</f>
        <v>19.390345679012345</v>
      </c>
      <c r="F88" s="3"/>
      <c r="G88" s="3"/>
      <c r="K88" s="59"/>
      <c r="O88" s="72"/>
      <c r="P88" s="72"/>
      <c r="Q88" s="72"/>
      <c r="R88" s="72"/>
      <c r="S88" s="72"/>
      <c r="T88" s="73"/>
      <c r="X88" s="3"/>
      <c r="Y88" s="3"/>
      <c r="Z88" s="3"/>
      <c r="AA88" s="3"/>
      <c r="AB88" s="4">
        <f>SUM(X88:Y88)*Conversion!$F$18</f>
        <v>0</v>
      </c>
      <c r="AC88">
        <f t="shared" si="20"/>
        <v>14.8</v>
      </c>
      <c r="AD88" s="4">
        <f t="shared" si="18"/>
        <v>0</v>
      </c>
    </row>
    <row r="89" spans="1:30" ht="18">
      <c r="A89" t="s">
        <v>485</v>
      </c>
      <c r="B89">
        <v>8</v>
      </c>
      <c r="C89">
        <v>1</v>
      </c>
      <c r="D89">
        <f>$D$88*C89/$C$88</f>
        <v>7.7561382716049376</v>
      </c>
      <c r="F89" s="3">
        <f>IF(D89&gt;0,D89*Agriculture!$D$2+Agriculture!$E$16*E89,IF(E89&gt;0,0,Agriculture!$D$2*0.025))</f>
        <v>2257.0362370370367</v>
      </c>
      <c r="G89" s="3">
        <f>L89*1/Agriculture!$C$49*Agriculture!$E$16</f>
        <v>0</v>
      </c>
      <c r="H89" t="s">
        <v>450</v>
      </c>
      <c r="I89">
        <v>729</v>
      </c>
      <c r="K89" s="59">
        <f>IF(I89&gt;0,I89,J89/2000*Conversion!$D$22)</f>
        <v>729</v>
      </c>
      <c r="M89">
        <v>60</v>
      </c>
      <c r="O89" s="72">
        <v>22</v>
      </c>
      <c r="P89">
        <v>0.81</v>
      </c>
      <c r="R89" s="72">
        <v>57.45</v>
      </c>
      <c r="S89" s="72">
        <v>229</v>
      </c>
      <c r="T89" s="73">
        <f t="shared" ref="T89:T98" si="21">(O89*4+R89*4+P89*9+Q89*9)*10</f>
        <v>3250.9000000000005</v>
      </c>
      <c r="W89">
        <f t="shared" ref="W89:W98" si="22">IF(N89&gt;0,1,IF(M89&gt;0,FLOOR(365.26/M89,0.1),1))</f>
        <v>6</v>
      </c>
      <c r="X89" s="3">
        <f>IF(K89&gt;0,F89/K89/W89*Conversion!$E$17,0)</f>
        <v>5160.1194262392237</v>
      </c>
      <c r="Y89" s="3">
        <f>IF(L89&gt;0,G89/L89/W89*Conversion!$E$17,0)</f>
        <v>0</v>
      </c>
      <c r="Z89" s="3">
        <f t="shared" ref="Z89:Z98" si="23">(X89+Y89)*IF(U89&gt;0,U89,1)</f>
        <v>5160.1194262392237</v>
      </c>
      <c r="AA89" s="3">
        <f>(F89*T89)/365.26/Agriculture!$D$2</f>
        <v>69.031456790123457</v>
      </c>
      <c r="AB89" s="4">
        <f>SUM(X89:Y89)*Conversion!$F$18</f>
        <v>1.2751171114179745</v>
      </c>
      <c r="AC89">
        <f t="shared" ref="AC89:AC98" si="24">24.4+12+4.7+9.4+6</f>
        <v>56.5</v>
      </c>
      <c r="AD89" s="4">
        <f t="shared" si="18"/>
        <v>432.26470077069337</v>
      </c>
    </row>
    <row r="90" spans="1:30" ht="18">
      <c r="A90" t="s">
        <v>482</v>
      </c>
      <c r="B90">
        <v>8</v>
      </c>
      <c r="C90">
        <v>0</v>
      </c>
      <c r="D90">
        <f t="shared" ref="D90:D98" si="25">$D$88*C90/$C$88</f>
        <v>0</v>
      </c>
      <c r="F90" s="3">
        <f>IF(D90&gt;0,D90*Agriculture!$D$2+Agriculture!$E$16*E90,IF(E90&gt;0,0,Agriculture!$D$2*0.025))</f>
        <v>7.2750000000000004</v>
      </c>
      <c r="G90" s="3">
        <f>L90*1/Agriculture!$C$49*Agriculture!$E$16</f>
        <v>0</v>
      </c>
      <c r="J90">
        <v>1400</v>
      </c>
      <c r="K90" s="59">
        <f>IF(I90&gt;0,I90,J90/2000*Conversion!$D$22)</f>
        <v>1569.191617</v>
      </c>
      <c r="M90">
        <v>60</v>
      </c>
      <c r="O90" s="72"/>
      <c r="R90" s="72"/>
      <c r="S90" s="72"/>
      <c r="T90" s="73">
        <f t="shared" si="21"/>
        <v>0</v>
      </c>
      <c r="W90">
        <f t="shared" si="22"/>
        <v>6</v>
      </c>
      <c r="X90" s="3">
        <f>IF(K90&gt;0,F90/K90/W90*Conversion!$E$17,0)</f>
        <v>7.7269084722621226</v>
      </c>
      <c r="Y90" s="3">
        <f>IF(L90&gt;0,G90/L90/W90*Conversion!$E$17,0)</f>
        <v>0</v>
      </c>
      <c r="Z90" s="3">
        <f t="shared" si="23"/>
        <v>7.7269084722621226</v>
      </c>
      <c r="AA90" s="3">
        <f>(F90*T90)/365.26/Agriculture!$D$2</f>
        <v>0</v>
      </c>
      <c r="AB90" s="4">
        <f>SUM(X90:Y90)*Conversion!$F$18</f>
        <v>1.909396352580693E-3</v>
      </c>
      <c r="AC90">
        <f t="shared" si="24"/>
        <v>56.5</v>
      </c>
      <c r="AD90" s="4">
        <f t="shared" si="18"/>
        <v>0.647285363524855</v>
      </c>
    </row>
    <row r="91" spans="1:30" ht="18">
      <c r="A91" t="s">
        <v>483</v>
      </c>
      <c r="B91">
        <v>8</v>
      </c>
      <c r="D91">
        <f t="shared" si="25"/>
        <v>0</v>
      </c>
      <c r="F91" s="3">
        <f>IF(D91&gt;0,D91*Agriculture!$D$2+Agriculture!$E$16*E91,IF(E91&gt;0,0,Agriculture!$D$2*0.025))</f>
        <v>7.2750000000000004</v>
      </c>
      <c r="G91" s="3">
        <f>L91*1/Agriculture!$C$49*Agriculture!$E$16</f>
        <v>0</v>
      </c>
      <c r="J91">
        <v>4600</v>
      </c>
      <c r="K91" s="59">
        <f>IF(I91&gt;0,I91,J91/2000*Conversion!$D$22)</f>
        <v>5155.9153129999995</v>
      </c>
      <c r="M91">
        <v>60</v>
      </c>
      <c r="O91" s="72"/>
      <c r="R91" s="72"/>
      <c r="S91" s="72"/>
      <c r="T91" s="73">
        <f t="shared" si="21"/>
        <v>0</v>
      </c>
      <c r="W91">
        <f t="shared" si="22"/>
        <v>6</v>
      </c>
      <c r="X91" s="3">
        <f>IF(K91&gt;0,F91/K91/W91*Conversion!$E$17,0)</f>
        <v>2.3516677959058638</v>
      </c>
      <c r="Y91" s="3">
        <f>IF(L91&gt;0,G91/L91/W91*Conversion!$E$17,0)</f>
        <v>0</v>
      </c>
      <c r="Z91" s="3">
        <f t="shared" si="23"/>
        <v>2.3516677959058638</v>
      </c>
      <c r="AA91" s="3">
        <f>(F91*T91)/365.26/Agriculture!$D$2</f>
        <v>0</v>
      </c>
      <c r="AB91" s="4">
        <f>SUM(X91:Y91)*Conversion!$F$18</f>
        <v>5.8112062904629798E-4</v>
      </c>
      <c r="AC91">
        <f t="shared" si="24"/>
        <v>56.5</v>
      </c>
      <c r="AD91" s="4">
        <f t="shared" si="18"/>
        <v>0.19699989324669501</v>
      </c>
    </row>
    <row r="92" spans="1:30" ht="18">
      <c r="A92" t="s">
        <v>484</v>
      </c>
      <c r="B92">
        <v>8</v>
      </c>
      <c r="C92">
        <v>0</v>
      </c>
      <c r="D92">
        <f t="shared" si="25"/>
        <v>0</v>
      </c>
      <c r="F92" s="3">
        <f>IF(D92&gt;0,D92*Agriculture!$D$2+Agriculture!$E$16*E92,IF(E92&gt;0,0,Agriculture!$D$2*0.025))</f>
        <v>7.2750000000000004</v>
      </c>
      <c r="G92" s="3">
        <f>L92*1/Agriculture!$C$49*Agriculture!$E$16</f>
        <v>0</v>
      </c>
      <c r="H92" t="s">
        <v>450</v>
      </c>
      <c r="I92">
        <v>6918</v>
      </c>
      <c r="K92" s="59">
        <f>IF(I92&gt;0,I92,J92/2000*Conversion!$D$22)</f>
        <v>6918</v>
      </c>
      <c r="M92">
        <v>60</v>
      </c>
      <c r="O92" s="72">
        <v>1.83</v>
      </c>
      <c r="P92">
        <v>0.22</v>
      </c>
      <c r="R92" s="72">
        <v>6.97</v>
      </c>
      <c r="S92" s="72">
        <v>249</v>
      </c>
      <c r="T92" s="73">
        <f t="shared" si="21"/>
        <v>371.8</v>
      </c>
      <c r="W92">
        <f t="shared" si="22"/>
        <v>6</v>
      </c>
      <c r="X92" s="3">
        <f>IF(K92&gt;0,F92/K92/W92*Conversion!$E$17,0)</f>
        <v>1.7526741832899686</v>
      </c>
      <c r="Y92" s="3">
        <f>IF(L92&gt;0,G92/L92/W92*Conversion!$E$17,0)</f>
        <v>0</v>
      </c>
      <c r="Z92" s="3">
        <f t="shared" si="23"/>
        <v>1.7526741832899686</v>
      </c>
      <c r="AA92" s="3">
        <f>(F92*T92)/365.26/Agriculture!$D$2</f>
        <v>2.54476263483546E-2</v>
      </c>
      <c r="AB92" s="4">
        <f>SUM(X92:Y92)*Conversion!$F$18</f>
        <v>4.3310331743278411E-4</v>
      </c>
      <c r="AC92">
        <f t="shared" si="24"/>
        <v>56.5</v>
      </c>
      <c r="AD92" s="4">
        <f t="shared" si="18"/>
        <v>0.14682202460971383</v>
      </c>
    </row>
    <row r="93" spans="1:30" ht="18">
      <c r="A93" t="s">
        <v>408</v>
      </c>
      <c r="B93">
        <v>8</v>
      </c>
      <c r="C93">
        <v>0.5</v>
      </c>
      <c r="D93">
        <f t="shared" si="25"/>
        <v>3.8780691358024688</v>
      </c>
      <c r="F93" s="3">
        <f>IF(D93&gt;0,D93*Agriculture!$D$2+Agriculture!$E$16*E93,IF(E93&gt;0,0,Agriculture!$D$2*0.025))</f>
        <v>1128.5181185185183</v>
      </c>
      <c r="G93" s="3">
        <f>L93*1/Agriculture!$C$49*Agriculture!$E$16</f>
        <v>0</v>
      </c>
      <c r="H93" t="s">
        <v>450</v>
      </c>
      <c r="I93" s="72">
        <v>944</v>
      </c>
      <c r="J93" s="72"/>
      <c r="K93" s="59">
        <f>IF(I93&gt;0,I93,J93/2000*Conversion!$D$22)</f>
        <v>944</v>
      </c>
      <c r="L93" s="72"/>
      <c r="M93" s="72"/>
      <c r="N93" s="72"/>
      <c r="O93" s="72">
        <v>25.8</v>
      </c>
      <c r="P93" s="72">
        <v>1.06</v>
      </c>
      <c r="Q93" s="72">
        <v>48.7</v>
      </c>
      <c r="R93" s="72">
        <v>60.08</v>
      </c>
      <c r="S93" s="72">
        <v>322</v>
      </c>
      <c r="T93" s="73">
        <f t="shared" si="21"/>
        <v>7913.6</v>
      </c>
      <c r="W93">
        <f t="shared" si="22"/>
        <v>1</v>
      </c>
      <c r="X93" s="3">
        <f>IF(K93&gt;0,F93/K93/W93*Conversion!$E$17,0)</f>
        <v>11954.641086001255</v>
      </c>
      <c r="Y93" s="3">
        <f>IF(L93&gt;0,G93/L93/W93*Conversion!$E$17,0)</f>
        <v>0</v>
      </c>
      <c r="Z93" s="3">
        <f t="shared" si="23"/>
        <v>11954.641086001255</v>
      </c>
      <c r="AA93" s="3">
        <f>(F93*T93)/365.26/Agriculture!$D$2</f>
        <v>84.020938271604919</v>
      </c>
      <c r="AB93" s="4">
        <f>SUM(X93:Y93)*Conversion!$F$18</f>
        <v>2.9541113587617698</v>
      </c>
      <c r="AC93">
        <f t="shared" si="24"/>
        <v>56.5</v>
      </c>
      <c r="AD93" s="4">
        <f t="shared" si="18"/>
        <v>166.90729177003999</v>
      </c>
    </row>
    <row r="94" spans="1:30" ht="18">
      <c r="A94" t="s">
        <v>415</v>
      </c>
      <c r="B94">
        <v>8</v>
      </c>
      <c r="D94">
        <f t="shared" si="25"/>
        <v>0</v>
      </c>
      <c r="F94" s="3">
        <f>IF(D94&gt;0,D94*Agriculture!$D$2+Agriculture!$E$16*E94,IF(E94&gt;0,0,Agriculture!$D$2*0.025))</f>
        <v>7.2750000000000004</v>
      </c>
      <c r="G94" s="3">
        <f>L94*1/Agriculture!$C$49*Agriculture!$E$16</f>
        <v>0</v>
      </c>
      <c r="H94" t="s">
        <v>450</v>
      </c>
      <c r="I94">
        <v>1658</v>
      </c>
      <c r="K94" s="59">
        <f>IF(I94&gt;0,I94,J94/2000*Conversion!$D$22)</f>
        <v>1658</v>
      </c>
      <c r="O94" s="72">
        <v>17.399999999999999</v>
      </c>
      <c r="P94" s="72">
        <v>1.3</v>
      </c>
      <c r="Q94" s="72">
        <v>0</v>
      </c>
      <c r="R94" s="72">
        <v>46.4</v>
      </c>
      <c r="S94" s="72">
        <v>428</v>
      </c>
      <c r="T94" s="73">
        <f t="shared" si="21"/>
        <v>2669</v>
      </c>
      <c r="W94">
        <f t="shared" si="22"/>
        <v>1</v>
      </c>
      <c r="X94" s="3">
        <f>IF(K94&gt;0,F94/K94/W94*Conversion!$E$17,0)</f>
        <v>43.878166465621234</v>
      </c>
      <c r="Y94" s="3">
        <f>IF(L94&gt;0,G94/L94/W94*Conversion!$E$17,0)</f>
        <v>0</v>
      </c>
      <c r="Z94" s="3">
        <f t="shared" si="23"/>
        <v>43.878166465621234</v>
      </c>
      <c r="AA94" s="3">
        <f>(F94*T94)/365.26/Agriculture!$D$2</f>
        <v>0.18267809231780105</v>
      </c>
      <c r="AB94" s="4">
        <f>SUM(X94:Y94)*Conversion!$F$18</f>
        <v>1.0842733715319663E-2</v>
      </c>
      <c r="AC94">
        <f t="shared" si="24"/>
        <v>56.5</v>
      </c>
      <c r="AD94" s="4">
        <f t="shared" si="18"/>
        <v>0.61261445491556099</v>
      </c>
    </row>
    <row r="95" spans="1:30" ht="18">
      <c r="A95" t="s">
        <v>416</v>
      </c>
      <c r="B95">
        <v>8</v>
      </c>
      <c r="C95">
        <v>1</v>
      </c>
      <c r="D95">
        <f t="shared" si="25"/>
        <v>7.7561382716049376</v>
      </c>
      <c r="F95" s="3">
        <f>IF(D95&gt;0,D95*Agriculture!$D$2+Agriculture!$E$16*E95,IF(E95&gt;0,0,Agriculture!$D$2*0.025))</f>
        <v>2257.0362370370367</v>
      </c>
      <c r="G95" s="3">
        <f>L95*1/Agriculture!$C$49*Agriculture!$E$16</f>
        <v>0</v>
      </c>
      <c r="H95" t="s">
        <v>450</v>
      </c>
      <c r="I95">
        <v>7388</v>
      </c>
      <c r="J95">
        <v>2200</v>
      </c>
      <c r="K95" s="59">
        <f>IF(I95&gt;0,I95,J95/2000*Conversion!$D$22)</f>
        <v>7388</v>
      </c>
      <c r="O95" s="72">
        <v>5.42</v>
      </c>
      <c r="P95" s="72">
        <v>0.4</v>
      </c>
      <c r="Q95" s="72">
        <v>0</v>
      </c>
      <c r="R95" s="72">
        <v>14.45</v>
      </c>
      <c r="S95" s="72">
        <v>593</v>
      </c>
      <c r="T95" s="73">
        <f t="shared" si="21"/>
        <v>830.79999999999984</v>
      </c>
      <c r="W95">
        <f t="shared" si="22"/>
        <v>1</v>
      </c>
      <c r="X95" s="3">
        <f>IF(K95&gt;0,F95/K95/W95*Conversion!$E$17,0)</f>
        <v>3055.0030279331845</v>
      </c>
      <c r="Y95" s="3">
        <f>IF(L95&gt;0,G95/L95/W95*Conversion!$E$17,0)</f>
        <v>0</v>
      </c>
      <c r="Z95" s="3">
        <f t="shared" si="23"/>
        <v>3055.0030279331845</v>
      </c>
      <c r="AA95" s="3">
        <f>(F95*T95)/365.26/Agriculture!$D$2</f>
        <v>17.641679012345673</v>
      </c>
      <c r="AB95" s="4">
        <f>SUM(X95:Y95)*Conversion!$F$18</f>
        <v>0.75492179823256922</v>
      </c>
      <c r="AC95">
        <f t="shared" si="24"/>
        <v>56.5</v>
      </c>
      <c r="AD95" s="4">
        <f t="shared" si="18"/>
        <v>42.653081600140162</v>
      </c>
    </row>
    <row r="96" spans="1:30" ht="18">
      <c r="A96" t="s">
        <v>436</v>
      </c>
      <c r="B96">
        <v>8</v>
      </c>
      <c r="D96">
        <f t="shared" si="25"/>
        <v>0</v>
      </c>
      <c r="F96" s="3">
        <f>IF(D96&gt;0,D96*Agriculture!$D$2+Agriculture!$E$16*E96,IF(E96&gt;0,0,Agriculture!$D$2*0.025))</f>
        <v>7.2750000000000004</v>
      </c>
      <c r="G96" s="3">
        <f>L96*1/Agriculture!$C$49*Agriculture!$E$16</f>
        <v>0</v>
      </c>
      <c r="I96">
        <v>10000</v>
      </c>
      <c r="K96" s="59">
        <f>IF(I96&gt;0,I96,J96/2000*Conversion!$D$22)</f>
        <v>10000</v>
      </c>
      <c r="O96" s="72">
        <v>6.95</v>
      </c>
      <c r="P96" s="72">
        <v>0.87</v>
      </c>
      <c r="Q96" s="72">
        <v>0</v>
      </c>
      <c r="R96" s="72">
        <v>4.3099999999999996</v>
      </c>
      <c r="S96" s="72">
        <v>508</v>
      </c>
      <c r="T96" s="73">
        <f t="shared" si="21"/>
        <v>528.69999999999993</v>
      </c>
      <c r="W96">
        <f t="shared" si="22"/>
        <v>1</v>
      </c>
      <c r="X96" s="3">
        <f>IF(K96&gt;0,F96/K96/W96*Conversion!$E$17,0)</f>
        <v>7.2750000000000004</v>
      </c>
      <c r="Y96" s="3">
        <f>IF(L96&gt;0,G96/L96/W96*Conversion!$E$17,0)</f>
        <v>0</v>
      </c>
      <c r="Z96" s="3">
        <f t="shared" si="23"/>
        <v>7.2750000000000004</v>
      </c>
      <c r="AA96" s="3">
        <f>(F96*T96)/365.26/Agriculture!$D$2</f>
        <v>3.6186552045118545E-2</v>
      </c>
      <c r="AB96" s="4">
        <f>SUM(X96:Y96)*Conversion!$F$18</f>
        <v>1.7977252499999999E-3</v>
      </c>
      <c r="AC96">
        <f t="shared" si="24"/>
        <v>56.5</v>
      </c>
      <c r="AD96" s="4">
        <f t="shared" si="18"/>
        <v>0.10157147662499999</v>
      </c>
    </row>
    <row r="97" spans="1:30" ht="18">
      <c r="A97" t="s">
        <v>435</v>
      </c>
      <c r="B97">
        <v>8</v>
      </c>
      <c r="D97">
        <f t="shared" si="25"/>
        <v>0</v>
      </c>
      <c r="F97" s="3">
        <f>IF(D97&gt;0,D97*Agriculture!$D$2+Agriculture!$E$16*E97,IF(E97&gt;0,0,Agriculture!$D$2*0.025))</f>
        <v>7.2750000000000004</v>
      </c>
      <c r="G97" s="3">
        <f>L97*1/Agriculture!$C$49*Agriculture!$E$16</f>
        <v>0</v>
      </c>
      <c r="I97">
        <v>729</v>
      </c>
      <c r="K97" s="59">
        <f>IF(I97&gt;0,I97,J97/2000*Conversion!$D$22)</f>
        <v>729</v>
      </c>
      <c r="O97" s="72">
        <v>29.65</v>
      </c>
      <c r="P97" s="72">
        <v>16.32</v>
      </c>
      <c r="Q97" s="72">
        <v>26.53</v>
      </c>
      <c r="R97" s="72">
        <v>41.71</v>
      </c>
      <c r="S97" s="72">
        <v>305</v>
      </c>
      <c r="T97" s="73">
        <f t="shared" si="21"/>
        <v>6710.9000000000005</v>
      </c>
      <c r="W97">
        <f t="shared" si="22"/>
        <v>1</v>
      </c>
      <c r="X97" s="3">
        <f>IF(K97&gt;0,F97/K97/W97*Conversion!$E$17,0)</f>
        <v>99.794238683127574</v>
      </c>
      <c r="Y97" s="3">
        <f>IF(L97&gt;0,G97/L97/W97*Conversion!$E$17,0)</f>
        <v>0</v>
      </c>
      <c r="Z97" s="3">
        <f t="shared" si="23"/>
        <v>99.794238683127574</v>
      </c>
      <c r="AA97" s="3">
        <f>(F97*T97)/365.26/Agriculture!$D$2</f>
        <v>0.459323495592181</v>
      </c>
      <c r="AB97" s="4">
        <f>SUM(X97:Y97)*Conversion!$F$18</f>
        <v>2.4660154320987653E-2</v>
      </c>
      <c r="AC97">
        <f t="shared" si="24"/>
        <v>56.5</v>
      </c>
      <c r="AD97" s="4">
        <f t="shared" si="18"/>
        <v>1.3932987191358024</v>
      </c>
    </row>
    <row r="98" spans="1:30" ht="18">
      <c r="A98" t="s">
        <v>437</v>
      </c>
      <c r="B98">
        <v>8</v>
      </c>
      <c r="D98">
        <f t="shared" si="25"/>
        <v>0</v>
      </c>
      <c r="F98" s="3">
        <f>IF(D98&gt;0,D98*Agriculture!$D$2+Agriculture!$E$16*E98,IF(E98&gt;0,0,Agriculture!$D$2*0.025))</f>
        <v>7.2750000000000004</v>
      </c>
      <c r="G98" s="3">
        <f>L98*1/Agriculture!$C$49*Agriculture!$E$16</f>
        <v>0</v>
      </c>
      <c r="I98">
        <v>5000</v>
      </c>
      <c r="K98" s="59">
        <f>IF(I98&gt;0,I98,J98/2000*Conversion!$D$22)</f>
        <v>5000</v>
      </c>
      <c r="O98" s="72">
        <v>11.6</v>
      </c>
      <c r="P98" s="72">
        <v>0.9</v>
      </c>
      <c r="Q98" s="72">
        <v>0</v>
      </c>
      <c r="R98" s="72">
        <v>28.1</v>
      </c>
      <c r="S98" s="72">
        <v>807</v>
      </c>
      <c r="T98" s="73">
        <f t="shared" si="21"/>
        <v>1669</v>
      </c>
      <c r="W98">
        <f t="shared" si="22"/>
        <v>1</v>
      </c>
      <c r="X98" s="3">
        <f>IF(K98&gt;0,F98/K98/W98*Conversion!$E$17,0)</f>
        <v>14.55</v>
      </c>
      <c r="Y98" s="3">
        <f>IF(L98&gt;0,G98/L98/W98*Conversion!$E$17,0)</f>
        <v>0</v>
      </c>
      <c r="Z98" s="3">
        <f t="shared" si="23"/>
        <v>14.55</v>
      </c>
      <c r="AA98" s="3">
        <f>(F98*T98)/365.26/Agriculture!$D$2</f>
        <v>0.11423369654492689</v>
      </c>
      <c r="AB98" s="4">
        <f>SUM(X98:Y98)*Conversion!$F$18</f>
        <v>3.5954504999999998E-3</v>
      </c>
      <c r="AC98">
        <f t="shared" si="24"/>
        <v>56.5</v>
      </c>
      <c r="AD98" s="4">
        <f t="shared" si="18"/>
        <v>0.20314295324999998</v>
      </c>
    </row>
    <row r="99" spans="1:30" ht="18">
      <c r="F99" s="3"/>
      <c r="G99" s="3"/>
      <c r="K99" s="59"/>
      <c r="O99" s="72"/>
      <c r="P99" s="72"/>
      <c r="Q99" s="72"/>
      <c r="R99" s="72"/>
      <c r="S99" s="72"/>
      <c r="T99" s="73"/>
      <c r="X99" s="3"/>
      <c r="Y99" s="3"/>
      <c r="Z99" s="3"/>
      <c r="AA99" s="3"/>
      <c r="AB99" s="4">
        <f>SUM(X99:Y99)*Conversion!$F$18</f>
        <v>0</v>
      </c>
      <c r="AC99">
        <f t="shared" si="20"/>
        <v>14.8</v>
      </c>
      <c r="AD99" s="4">
        <f t="shared" si="18"/>
        <v>0</v>
      </c>
    </row>
    <row r="100" spans="1:30" ht="18">
      <c r="A100" t="str">
        <f>Agriculture!B32</f>
        <v>Cereals &amp; Grains</v>
      </c>
      <c r="B100">
        <f>COUNT(B101:B112)</f>
        <v>12</v>
      </c>
      <c r="C100">
        <f>SUM(C101:C112)</f>
        <v>6.5</v>
      </c>
      <c r="D100">
        <f>Agriculture!G32</f>
        <v>310.87394036970784</v>
      </c>
      <c r="F100" s="3"/>
      <c r="G100" s="3"/>
      <c r="K100" s="59"/>
      <c r="O100" s="72"/>
      <c r="P100" s="72"/>
      <c r="Q100" s="72"/>
      <c r="R100" s="72"/>
      <c r="S100" s="72"/>
      <c r="T100" s="73"/>
      <c r="X100" s="3"/>
      <c r="Y100" s="3"/>
      <c r="Z100" s="3"/>
      <c r="AA100" s="3"/>
      <c r="AB100" s="4">
        <f>SUM(X100:Y100)*Conversion!$F$18</f>
        <v>0</v>
      </c>
      <c r="AC100">
        <f t="shared" si="20"/>
        <v>14.8</v>
      </c>
      <c r="AD100" s="4">
        <f t="shared" si="18"/>
        <v>0</v>
      </c>
    </row>
    <row r="101" spans="1:30" ht="18">
      <c r="A101" t="s">
        <v>124</v>
      </c>
      <c r="B101">
        <v>9</v>
      </c>
      <c r="C101">
        <v>1</v>
      </c>
      <c r="D101">
        <f>$D$100*C101/$C$100</f>
        <v>47.826760056878129</v>
      </c>
      <c r="E101">
        <v>0.05</v>
      </c>
      <c r="F101" s="3">
        <f>IF(D101&gt;0,D101*Agriculture!$D$2+Agriculture!$E$16*E101,IF(E101&gt;0,0,Agriculture!$D$2*0.025))</f>
        <v>50900.921004178446</v>
      </c>
      <c r="G101" s="3">
        <f>L101*1/Agriculture!$C$49*Agriculture!$E$16</f>
        <v>22064.067466420311</v>
      </c>
      <c r="H101" t="s">
        <v>450</v>
      </c>
      <c r="I101">
        <v>2777</v>
      </c>
      <c r="K101" s="59">
        <f>IF(I101&gt;0,I101,J101/2000*Conversion!$D$22)</f>
        <v>2777</v>
      </c>
      <c r="L101">
        <f>I101</f>
        <v>2777</v>
      </c>
      <c r="O101" s="72">
        <v>12.48</v>
      </c>
      <c r="P101" s="72">
        <v>2.2999999999999998</v>
      </c>
      <c r="R101" s="72">
        <v>73.48</v>
      </c>
      <c r="S101" s="72">
        <v>982</v>
      </c>
      <c r="T101" s="73">
        <f t="shared" ref="T101:T112" si="26">(O101*4+R101*4+P101*9+Q101*9)*10</f>
        <v>3645.4</v>
      </c>
      <c r="U101">
        <v>1.5</v>
      </c>
      <c r="V101">
        <v>1</v>
      </c>
      <c r="W101">
        <f t="shared" ref="W101:W112" si="27">IF(N101&gt;0,1,IF(M101&gt;0,FLOOR(365.26/M101,0.1),1))</f>
        <v>1</v>
      </c>
      <c r="X101" s="3">
        <f>IF(K101&gt;0,F101/K101/W101*Conversion!$E$17,0)</f>
        <v>183294.63811371426</v>
      </c>
      <c r="Y101" s="3">
        <f>IF(L101&gt;0,G101/L101/W101*Conversion!$E$17,0)</f>
        <v>79452.889688225812</v>
      </c>
      <c r="Z101" s="3">
        <f t="shared" ref="Z101:Z112" si="28">(X101+Y101)*IF(U101&gt;0,U101,1)</f>
        <v>394121.29170291015</v>
      </c>
      <c r="AA101" s="3">
        <f>(F101*T101)/365.26/Agriculture!$D$2</f>
        <v>1745.7245766338465</v>
      </c>
      <c r="AB101" s="4">
        <f>SUM(X101:Y101)*Conversion!$F$18</f>
        <v>64.927541595137413</v>
      </c>
      <c r="AC101">
        <f>24.4+11+4.7+9.4+6</f>
        <v>55.5</v>
      </c>
      <c r="AD101" s="4">
        <f t="shared" si="18"/>
        <v>3603.4785585301265</v>
      </c>
    </row>
    <row r="102" spans="1:30" ht="18">
      <c r="A102" t="s">
        <v>409</v>
      </c>
      <c r="B102">
        <v>9</v>
      </c>
      <c r="C102">
        <v>1</v>
      </c>
      <c r="D102">
        <f t="shared" ref="D102:D112" si="29">$D$100*C102/$C$100</f>
        <v>47.826760056878129</v>
      </c>
      <c r="F102" s="3">
        <f>IF(D102&gt;0,D102*Agriculture!$D$2+Agriculture!$E$16*E102,IF(E102&gt;0,0,Agriculture!$D$2*0.025))</f>
        <v>13917.587176551535</v>
      </c>
      <c r="G102" s="3">
        <f>L102*1/Agriculture!$C$49*Agriculture!$E$16</f>
        <v>40592.481341714571</v>
      </c>
      <c r="H102" t="s">
        <v>450</v>
      </c>
      <c r="I102">
        <v>5109</v>
      </c>
      <c r="J102">
        <v>6200</v>
      </c>
      <c r="K102" s="59">
        <f>IF(I102&gt;0,I102,J102/2000*Conversion!$D$22)</f>
        <v>5109</v>
      </c>
      <c r="L102">
        <f>I102</f>
        <v>5109</v>
      </c>
      <c r="M102">
        <v>150</v>
      </c>
      <c r="O102" s="72">
        <v>8.1199999999999992</v>
      </c>
      <c r="P102" s="72">
        <v>3.59</v>
      </c>
      <c r="Q102" s="72">
        <v>45.6</v>
      </c>
      <c r="R102" s="72">
        <v>76.89</v>
      </c>
      <c r="S102" s="73">
        <v>1847</v>
      </c>
      <c r="T102" s="73">
        <f t="shared" si="26"/>
        <v>7827.5</v>
      </c>
      <c r="W102">
        <f t="shared" si="27"/>
        <v>2.4000000000000004</v>
      </c>
      <c r="X102" s="3">
        <f>IF(K102&gt;0,F102/K102/W102*Conversion!$E$17,0)</f>
        <v>11350.547380889551</v>
      </c>
      <c r="Y102" s="3">
        <f>IF(L102&gt;0,G102/L102/W102*Conversion!$E$17,0)</f>
        <v>33105.370703427419</v>
      </c>
      <c r="Z102" s="3">
        <f t="shared" si="28"/>
        <v>44455.918084316974</v>
      </c>
      <c r="AA102" s="3">
        <f>(F102*T102)/365.26/Agriculture!$D$2</f>
        <v>1024.9246135498372</v>
      </c>
      <c r="AB102" s="4">
        <f>SUM(X102:Y102)*Conversion!$F$18</f>
        <v>10.985501917815567</v>
      </c>
      <c r="AC102">
        <f>24.4+11+4.7+9.4+6</f>
        <v>55.5</v>
      </c>
      <c r="AD102" s="4">
        <f t="shared" si="18"/>
        <v>1463.2688554530337</v>
      </c>
    </row>
    <row r="103" spans="1:30" ht="18">
      <c r="A103" t="s">
        <v>411</v>
      </c>
      <c r="B103">
        <v>9</v>
      </c>
      <c r="C103">
        <v>0</v>
      </c>
      <c r="D103">
        <f t="shared" si="29"/>
        <v>0</v>
      </c>
      <c r="F103" s="3">
        <f>IF(D103&gt;0,D103*Agriculture!$D$2+Agriculture!$E$16*E103,IF(E103&gt;0,0,Agriculture!$D$2*0.025))</f>
        <v>7.2750000000000004</v>
      </c>
      <c r="G103" s="3">
        <f>L103*1/Agriculture!$C$49*Agriculture!$E$16</f>
        <v>0</v>
      </c>
      <c r="H103" t="s">
        <v>450</v>
      </c>
      <c r="I103">
        <v>4309</v>
      </c>
      <c r="K103" s="59">
        <f>IF(I103&gt;0,I103,J103/2000*Conversion!$D$22)</f>
        <v>4309</v>
      </c>
      <c r="O103" s="72">
        <v>11</v>
      </c>
      <c r="P103" s="72">
        <v>0.66</v>
      </c>
      <c r="Q103" s="72">
        <v>0</v>
      </c>
      <c r="R103" s="72">
        <v>75</v>
      </c>
      <c r="S103" s="72">
        <v>1462</v>
      </c>
      <c r="T103" s="73">
        <f t="shared" si="26"/>
        <v>3499.4</v>
      </c>
      <c r="W103">
        <f t="shared" si="27"/>
        <v>1</v>
      </c>
      <c r="X103" s="3">
        <f>IF(K103&gt;0,F103/K103/W103*Conversion!$E$17,0)</f>
        <v>16.883267579484802</v>
      </c>
      <c r="Y103" s="3">
        <f>IF(L103&gt;0,G103/L103/W103*Conversion!$E$17,0)</f>
        <v>0</v>
      </c>
      <c r="Z103" s="3">
        <f t="shared" si="28"/>
        <v>16.883267579484802</v>
      </c>
      <c r="AA103" s="3">
        <f>(F103*T103)/365.26/Agriculture!$D$2</f>
        <v>0.2395143185675957</v>
      </c>
      <c r="AB103" s="4">
        <f>SUM(X103:Y103)*Conversion!$F$18</f>
        <v>4.1720242515664889E-3</v>
      </c>
      <c r="AC103">
        <f>46.7+18.2+17.6+6.7+24.4+10.5+9.4</f>
        <v>133.5</v>
      </c>
      <c r="AD103" s="4">
        <f t="shared" si="18"/>
        <v>0.5569652375841263</v>
      </c>
    </row>
    <row r="104" spans="1:30" ht="18">
      <c r="A104" t="s">
        <v>391</v>
      </c>
      <c r="B104">
        <v>9</v>
      </c>
      <c r="C104">
        <v>1</v>
      </c>
      <c r="D104">
        <f t="shared" si="29"/>
        <v>47.826760056878129</v>
      </c>
      <c r="F104" s="3">
        <f>IF(D104&gt;0,D104*Agriculture!$D$2+Agriculture!$E$16*E104,IF(E104&gt;0,0,Agriculture!$D$2*0.025))</f>
        <v>13917.587176551535</v>
      </c>
      <c r="G104" s="3">
        <f>L104*1/Agriculture!$C$49*Agriculture!$E$16</f>
        <v>54226.597212214117</v>
      </c>
      <c r="H104" t="s">
        <v>450</v>
      </c>
      <c r="I104">
        <v>2275</v>
      </c>
      <c r="K104" s="59">
        <f>IF(I104&gt;0,I104,J104/2000*Conversion!$D$22)</f>
        <v>2275</v>
      </c>
      <c r="L104">
        <f>I104*3</f>
        <v>6825</v>
      </c>
      <c r="O104" s="72">
        <v>16.89</v>
      </c>
      <c r="P104" s="72">
        <v>6.9</v>
      </c>
      <c r="Q104" s="72">
        <v>37</v>
      </c>
      <c r="R104" s="72">
        <v>66.27</v>
      </c>
      <c r="S104" s="72">
        <v>871</v>
      </c>
      <c r="T104" s="73">
        <f t="shared" si="26"/>
        <v>7277.4</v>
      </c>
      <c r="W104">
        <f t="shared" si="27"/>
        <v>1</v>
      </c>
      <c r="X104" s="3">
        <f>IF(K104&gt;0,F104/K104/W104*Conversion!$E$17,0)</f>
        <v>61176.207369457297</v>
      </c>
      <c r="Y104" s="3">
        <f>IF(L104&gt;0,G104/L104/W104*Conversion!$E$17,0)</f>
        <v>79452.889688225812</v>
      </c>
      <c r="Z104" s="3">
        <f t="shared" si="28"/>
        <v>140629.0970576831</v>
      </c>
      <c r="AA104" s="3">
        <f>(F104*T104)/365.26/Agriculture!$D$2</f>
        <v>952.89509838998208</v>
      </c>
      <c r="AB104" s="4">
        <f>SUM(X104:Y104)*Conversion!$F$18</f>
        <v>34.75085617392407</v>
      </c>
      <c r="AC104">
        <f t="shared" ref="AC104:AC112" si="30">24.4+11+4.7+9.4+6</f>
        <v>55.5</v>
      </c>
      <c r="AD104" s="4">
        <f t="shared" si="18"/>
        <v>1928.6725176527859</v>
      </c>
    </row>
    <row r="105" spans="1:30" ht="18">
      <c r="A105" t="s">
        <v>134</v>
      </c>
      <c r="B105">
        <v>9</v>
      </c>
      <c r="C105">
        <v>0</v>
      </c>
      <c r="D105">
        <f t="shared" si="29"/>
        <v>0</v>
      </c>
      <c r="F105" s="3">
        <f>IF(D105&gt;0,D105*Agriculture!$D$2+Agriculture!$E$16*E105,IF(E105&gt;0,0,Agriculture!$D$2*0.025))</f>
        <v>7.2750000000000004</v>
      </c>
      <c r="G105" s="3">
        <f>L105*1/Agriculture!$C$49*Agriculture!$E$16</f>
        <v>0</v>
      </c>
      <c r="H105" t="s">
        <v>450</v>
      </c>
      <c r="I105">
        <v>770</v>
      </c>
      <c r="K105" s="59">
        <f>IF(I105&gt;0,I105,J105/2000*Conversion!$D$22)</f>
        <v>770</v>
      </c>
      <c r="O105" s="72">
        <v>14.12</v>
      </c>
      <c r="P105" s="72">
        <v>6.07</v>
      </c>
      <c r="Q105" s="72">
        <v>0</v>
      </c>
      <c r="R105" s="72">
        <v>64.16</v>
      </c>
      <c r="S105" s="72">
        <v>275</v>
      </c>
      <c r="T105" s="73">
        <f t="shared" si="26"/>
        <v>3677.5</v>
      </c>
      <c r="V105">
        <v>1</v>
      </c>
      <c r="W105">
        <f t="shared" si="27"/>
        <v>1</v>
      </c>
      <c r="X105" s="3">
        <f>IF(K105&gt;0,F105/K105/W105*Conversion!$E$17,0)</f>
        <v>94.48051948051949</v>
      </c>
      <c r="Y105" s="3">
        <f>IF(L105&gt;0,G105/L105/W105*Conversion!$E$17,0)</f>
        <v>0</v>
      </c>
      <c r="Z105" s="3">
        <f t="shared" si="28"/>
        <v>94.48051948051949</v>
      </c>
      <c r="AA105" s="3">
        <f>(F105*T105)/365.26/Agriculture!$D$2</f>
        <v>0.25170426545474461</v>
      </c>
      <c r="AB105" s="4">
        <f>SUM(X105:Y105)*Conversion!$F$18</f>
        <v>2.334708116883117E-2</v>
      </c>
      <c r="AC105">
        <f t="shared" si="30"/>
        <v>55.5</v>
      </c>
      <c r="AD105" s="4">
        <f t="shared" si="18"/>
        <v>1.2957630048701299</v>
      </c>
    </row>
    <row r="106" spans="1:30" ht="18">
      <c r="A106" t="s">
        <v>419</v>
      </c>
      <c r="B106">
        <v>9</v>
      </c>
      <c r="C106">
        <v>1</v>
      </c>
      <c r="D106">
        <f t="shared" si="29"/>
        <v>47.826760056878129</v>
      </c>
      <c r="F106" s="3">
        <f>IF(D106&gt;0,D106*Agriculture!$D$2+Agriculture!$E$16*E106,IF(E106&gt;0,0,Agriculture!$D$2*0.025))</f>
        <v>13917.587176551535</v>
      </c>
      <c r="G106" s="3">
        <f>L106*1/Agriculture!$C$49*Agriculture!$E$16</f>
        <v>0</v>
      </c>
      <c r="H106" t="s">
        <v>450</v>
      </c>
      <c r="I106">
        <v>4309</v>
      </c>
      <c r="K106" s="59">
        <f>IF(I106&gt;0,I106,J106/2000*Conversion!$D$22)</f>
        <v>4309</v>
      </c>
      <c r="O106" s="72">
        <v>7.13</v>
      </c>
      <c r="P106" s="72">
        <v>0.66</v>
      </c>
      <c r="Q106" s="72">
        <v>0</v>
      </c>
      <c r="R106" s="72">
        <v>79.95</v>
      </c>
      <c r="S106" s="72">
        <v>1482</v>
      </c>
      <c r="T106" s="73">
        <f t="shared" si="26"/>
        <v>3542.6</v>
      </c>
      <c r="V106">
        <v>1</v>
      </c>
      <c r="W106">
        <f t="shared" si="27"/>
        <v>1</v>
      </c>
      <c r="X106" s="3">
        <f>IF(K106&gt;0,F106/K106/W106*Conversion!$E$17,0)</f>
        <v>32298.879500003564</v>
      </c>
      <c r="Y106" s="3">
        <f>IF(L106&gt;0,G106/L106/W106*Conversion!$E$17,0)</f>
        <v>0</v>
      </c>
      <c r="Z106" s="3">
        <f t="shared" si="28"/>
        <v>32298.879500003564</v>
      </c>
      <c r="AA106" s="3">
        <f>(F106*T106)/365.26/Agriculture!$D$2</f>
        <v>463.86431631576534</v>
      </c>
      <c r="AB106" s="4">
        <f>SUM(X106:Y106)*Conversion!$F$18</f>
        <v>7.9813761132458803</v>
      </c>
      <c r="AC106">
        <f t="shared" si="30"/>
        <v>55.5</v>
      </c>
      <c r="AD106" s="4">
        <f t="shared" si="18"/>
        <v>442.96637428514634</v>
      </c>
    </row>
    <row r="107" spans="1:30" ht="18">
      <c r="A107" t="s">
        <v>420</v>
      </c>
      <c r="B107">
        <v>9</v>
      </c>
      <c r="C107">
        <v>1</v>
      </c>
      <c r="D107">
        <f t="shared" si="29"/>
        <v>47.826760056878129</v>
      </c>
      <c r="F107" s="3">
        <f>IF(D107&gt;0,D107*Agriculture!$D$2+Agriculture!$E$16*E107,IF(E107&gt;0,0,Agriculture!$D$2*0.025))</f>
        <v>13917.587176551535</v>
      </c>
      <c r="G107" s="3">
        <f>L107*1/Agriculture!$C$49*Agriculture!$E$16</f>
        <v>0</v>
      </c>
      <c r="H107" t="s">
        <v>450</v>
      </c>
      <c r="I107">
        <v>2622</v>
      </c>
      <c r="K107" s="59">
        <f>IF(I107&gt;0,I107,J107/2000*Conversion!$D$22)</f>
        <v>2622</v>
      </c>
      <c r="O107" s="72">
        <v>10.34</v>
      </c>
      <c r="P107" s="72">
        <v>1.63</v>
      </c>
      <c r="Q107" s="72">
        <v>0</v>
      </c>
      <c r="R107" s="72">
        <v>75.86</v>
      </c>
      <c r="S107" s="72">
        <v>914</v>
      </c>
      <c r="T107" s="73">
        <f t="shared" si="26"/>
        <v>3594.7000000000003</v>
      </c>
      <c r="W107">
        <f t="shared" si="27"/>
        <v>1</v>
      </c>
      <c r="X107" s="3">
        <f>IF(K107&gt;0,F107/K107/W107*Conversion!$E$17,0)</f>
        <v>53080.042626054674</v>
      </c>
      <c r="Y107" s="3">
        <f>IF(L107&gt;0,G107/L107/W107*Conversion!$E$17,0)</f>
        <v>0</v>
      </c>
      <c r="Z107" s="3">
        <f t="shared" si="28"/>
        <v>53080.042626054674</v>
      </c>
      <c r="AA107" s="3">
        <f>(F107*T107)/365.26/Agriculture!$D$2</f>
        <v>470.68623549378475</v>
      </c>
      <c r="AB107" s="4">
        <f>SUM(X107:Y107)*Conversion!$F$18</f>
        <v>13.116609333324369</v>
      </c>
      <c r="AC107">
        <f t="shared" si="30"/>
        <v>55.5</v>
      </c>
      <c r="AD107" s="4">
        <f t="shared" si="18"/>
        <v>727.97181799950249</v>
      </c>
    </row>
    <row r="108" spans="1:30" ht="18">
      <c r="A108" t="s">
        <v>425</v>
      </c>
      <c r="B108">
        <v>9</v>
      </c>
      <c r="C108">
        <v>0</v>
      </c>
      <c r="D108">
        <f t="shared" si="29"/>
        <v>0</v>
      </c>
      <c r="F108" s="3">
        <f>IF(D108&gt;0,D108*Agriculture!$D$2+Agriculture!$E$16*E108,IF(E108&gt;0,0,Agriculture!$D$2*0.025))</f>
        <v>7.2750000000000004</v>
      </c>
      <c r="G108" s="3">
        <f>L108*1/Agriculture!$C$49*Agriculture!$E$16</f>
        <v>0</v>
      </c>
      <c r="H108" t="s">
        <v>450</v>
      </c>
      <c r="I108">
        <v>3379</v>
      </c>
      <c r="K108" s="59">
        <f>IF(I108&gt;0,I108,J108/2000*Conversion!$D$22)</f>
        <v>3379</v>
      </c>
      <c r="O108" s="72">
        <v>14.57</v>
      </c>
      <c r="P108" s="72">
        <v>2.4300000000000002</v>
      </c>
      <c r="Q108" s="72">
        <v>51.77</v>
      </c>
      <c r="R108" s="72">
        <v>70.19</v>
      </c>
      <c r="S108" s="72">
        <v>1182</v>
      </c>
      <c r="T108" s="73">
        <f t="shared" si="26"/>
        <v>8268.4</v>
      </c>
      <c r="W108">
        <f t="shared" si="27"/>
        <v>1</v>
      </c>
      <c r="X108" s="3">
        <f>IF(K108&gt;0,F108/K108/W108*Conversion!$E$17,0)</f>
        <v>21.530038472920982</v>
      </c>
      <c r="Y108" s="3">
        <f>IF(L108&gt;0,G108/L108/W108*Conversion!$E$17,0)</f>
        <v>0</v>
      </c>
      <c r="Z108" s="3">
        <f t="shared" si="28"/>
        <v>21.530038472920982</v>
      </c>
      <c r="AA108" s="3">
        <f>(F108*T108)/365.26/Agriculture!$D$2</f>
        <v>0.56592564200843232</v>
      </c>
      <c r="AB108" s="4">
        <f>SUM(X108:Y108)*Conversion!$F$18</f>
        <v>5.3202878070435031E-3</v>
      </c>
      <c r="AC108">
        <f t="shared" si="30"/>
        <v>55.5</v>
      </c>
      <c r="AD108" s="4">
        <f t="shared" si="18"/>
        <v>0.29527597329091443</v>
      </c>
    </row>
    <row r="109" spans="1:30" ht="18">
      <c r="A109" t="s">
        <v>429</v>
      </c>
      <c r="B109">
        <v>9</v>
      </c>
      <c r="C109">
        <v>0</v>
      </c>
      <c r="D109">
        <f t="shared" si="29"/>
        <v>0</v>
      </c>
      <c r="F109" s="3">
        <f>IF(D109&gt;0,D109*Agriculture!$D$2+Agriculture!$E$16*E109,IF(E109&gt;0,0,Agriculture!$D$2*0.025))</f>
        <v>7.2750000000000004</v>
      </c>
      <c r="G109" s="3">
        <f>L109*1/Agriculture!$C$49*Agriculture!$E$16</f>
        <v>0</v>
      </c>
      <c r="H109" t="s">
        <v>450</v>
      </c>
      <c r="I109">
        <v>1700</v>
      </c>
      <c r="K109" s="59">
        <f>IF(I109&gt;0,I109,J109/2000*Conversion!$D$22)</f>
        <v>1700</v>
      </c>
      <c r="O109" s="72">
        <v>13.3</v>
      </c>
      <c r="P109" s="72">
        <v>2.38</v>
      </c>
      <c r="Q109" s="72">
        <v>45</v>
      </c>
      <c r="R109" s="72">
        <v>73.13</v>
      </c>
      <c r="S109" s="72">
        <v>605</v>
      </c>
      <c r="T109" s="73">
        <f t="shared" si="26"/>
        <v>7721.4</v>
      </c>
      <c r="W109">
        <f t="shared" si="27"/>
        <v>1</v>
      </c>
      <c r="X109" s="3">
        <f>IF(K109&gt;0,F109/K109/W109*Conversion!$E$17,0)</f>
        <v>42.794117647058826</v>
      </c>
      <c r="Y109" s="3">
        <f>IF(L109&gt;0,G109/L109/W109*Conversion!$E$17,0)</f>
        <v>0</v>
      </c>
      <c r="Z109" s="3">
        <f t="shared" si="28"/>
        <v>42.794117647058826</v>
      </c>
      <c r="AA109" s="3">
        <f>(F109*T109)/365.26/Agriculture!$D$2</f>
        <v>0.5284865575206702</v>
      </c>
      <c r="AB109" s="4">
        <f>SUM(X109:Y109)*Conversion!$F$18</f>
        <v>1.0574854411764706E-2</v>
      </c>
      <c r="AC109">
        <f t="shared" si="30"/>
        <v>55.5</v>
      </c>
      <c r="AD109" s="4">
        <f t="shared" si="18"/>
        <v>0.58690441985294117</v>
      </c>
    </row>
    <row r="110" spans="1:30" ht="18">
      <c r="A110" t="s">
        <v>430</v>
      </c>
      <c r="B110">
        <v>9</v>
      </c>
      <c r="C110">
        <v>0</v>
      </c>
      <c r="D110">
        <f t="shared" si="29"/>
        <v>0</v>
      </c>
      <c r="F110" s="3">
        <f>IF(D110&gt;0,D110*Agriculture!$D$2+Agriculture!$E$16*E110,IF(E110&gt;0,0,Agriculture!$D$2*0.025))</f>
        <v>7.2750000000000004</v>
      </c>
      <c r="G110" s="3">
        <f>L110*1/Agriculture!$C$49*Agriculture!$E$16</f>
        <v>0</v>
      </c>
      <c r="H110" t="s">
        <v>450</v>
      </c>
      <c r="I110">
        <v>3602</v>
      </c>
      <c r="K110" s="59">
        <f>IF(I110&gt;0,I110,J110/2000*Conversion!$D$22)</f>
        <v>3602</v>
      </c>
      <c r="O110" s="72">
        <v>13.05</v>
      </c>
      <c r="P110" s="72">
        <v>2.09</v>
      </c>
      <c r="Q110" s="72">
        <v>43.68</v>
      </c>
      <c r="R110" s="72">
        <v>72.13</v>
      </c>
      <c r="S110" s="72">
        <v>1256</v>
      </c>
      <c r="T110" s="73">
        <f t="shared" si="26"/>
        <v>7526.5</v>
      </c>
      <c r="W110">
        <f t="shared" si="27"/>
        <v>1</v>
      </c>
      <c r="X110" s="3">
        <f>IF(K110&gt;0,F110/K110/W110*Conversion!$E$17,0)</f>
        <v>20.197112715158244</v>
      </c>
      <c r="Y110" s="3">
        <f>IF(L110&gt;0,G110/L110/W110*Conversion!$E$17,0)</f>
        <v>0</v>
      </c>
      <c r="Z110" s="3">
        <f t="shared" si="28"/>
        <v>20.197112715158244</v>
      </c>
      <c r="AA110" s="3">
        <f>(F110*T110)/365.26/Agriculture!$D$2</f>
        <v>0.51514674478453715</v>
      </c>
      <c r="AB110" s="4">
        <f>SUM(X110:Y110)*Conversion!$F$18</f>
        <v>4.9909085230427537E-3</v>
      </c>
      <c r="AC110">
        <f t="shared" si="30"/>
        <v>55.5</v>
      </c>
      <c r="AD110" s="4">
        <f t="shared" si="18"/>
        <v>0.27699542302887281</v>
      </c>
    </row>
    <row r="111" spans="1:30" ht="18">
      <c r="A111" t="s">
        <v>120</v>
      </c>
      <c r="B111">
        <v>9</v>
      </c>
      <c r="C111">
        <v>1</v>
      </c>
      <c r="D111">
        <f t="shared" si="29"/>
        <v>47.826760056878129</v>
      </c>
      <c r="F111" s="3">
        <f>IF(D111&gt;0,D111*Agriculture!$D$2+Agriculture!$E$16*E111,IF(E111&gt;0,0,Agriculture!$D$2*0.025))</f>
        <v>13917.587176551535</v>
      </c>
      <c r="G111" s="3">
        <f>L111*1/Agriculture!$C$49*Agriculture!$E$16</f>
        <v>0</v>
      </c>
      <c r="I111">
        <v>3086</v>
      </c>
      <c r="K111" s="59">
        <f>IF(I111&gt;0,I111,J111/2000*Conversion!$D$22)</f>
        <v>3086</v>
      </c>
      <c r="O111" s="72">
        <v>13.7</v>
      </c>
      <c r="P111" s="72">
        <v>1.87</v>
      </c>
      <c r="Q111" s="72">
        <v>0</v>
      </c>
      <c r="R111" s="72">
        <v>72.569999999999993</v>
      </c>
      <c r="S111" s="72">
        <v>1083</v>
      </c>
      <c r="T111" s="73">
        <f t="shared" si="26"/>
        <v>3619.0999999999995</v>
      </c>
      <c r="U111">
        <v>2.5</v>
      </c>
      <c r="V111">
        <v>1</v>
      </c>
      <c r="W111">
        <f t="shared" si="27"/>
        <v>1</v>
      </c>
      <c r="X111" s="3">
        <f>IF(K111&gt;0,F111/K111/W111*Conversion!$E$17,0)</f>
        <v>45099.115931793691</v>
      </c>
      <c r="Y111" s="3">
        <f>IF(L111&gt;0,G111/L111/W111*Conversion!$E$17,0)</f>
        <v>0</v>
      </c>
      <c r="Z111" s="3">
        <f t="shared" si="28"/>
        <v>112747.78982948423</v>
      </c>
      <c r="AA111" s="3">
        <f>(F111*T111)/365.26/Agriculture!$D$2</f>
        <v>473.88114581899907</v>
      </c>
      <c r="AB111" s="4">
        <f>SUM(X111:Y111)*Conversion!$F$18</f>
        <v>11.144442537905539</v>
      </c>
      <c r="AC111">
        <f t="shared" si="30"/>
        <v>55.5</v>
      </c>
      <c r="AD111" s="4">
        <f t="shared" si="18"/>
        <v>618.51656085375737</v>
      </c>
    </row>
    <row r="112" spans="1:30" ht="18">
      <c r="A112" t="s">
        <v>431</v>
      </c>
      <c r="B112">
        <v>9</v>
      </c>
      <c r="C112">
        <v>0.5</v>
      </c>
      <c r="D112">
        <f t="shared" si="29"/>
        <v>23.913380028439065</v>
      </c>
      <c r="F112" s="3">
        <f>IF(D112&gt;0,D112*Agriculture!$D$2+Agriculture!$E$16*E112,IF(E112&gt;0,0,Agriculture!$D$2*0.025))</f>
        <v>6958.7935882757674</v>
      </c>
      <c r="G112" s="3">
        <f>L112*1/Agriculture!$C$49*Agriculture!$E$16</f>
        <v>0</v>
      </c>
      <c r="I112">
        <v>600</v>
      </c>
      <c r="K112" s="59">
        <f>IF(I112&gt;0,I112,J112/2000*Conversion!$D$22)</f>
        <v>600</v>
      </c>
      <c r="O112" s="72">
        <v>14.73</v>
      </c>
      <c r="P112" s="72">
        <v>1.08</v>
      </c>
      <c r="Q112" s="72">
        <v>27.7</v>
      </c>
      <c r="R112" s="72">
        <v>74.900000000000006</v>
      </c>
      <c r="S112" s="72">
        <v>214</v>
      </c>
      <c r="T112" s="73">
        <f t="shared" si="26"/>
        <v>6175.4000000000005</v>
      </c>
      <c r="W112">
        <f t="shared" si="27"/>
        <v>1</v>
      </c>
      <c r="X112" s="3">
        <f>IF(K112&gt;0,F112/K112/W112*Conversion!$E$17,0)</f>
        <v>115979.89313792945</v>
      </c>
      <c r="Y112" s="3">
        <f>IF(L112&gt;0,G112/L112/W112*Conversion!$E$17,0)</f>
        <v>0</v>
      </c>
      <c r="Z112" s="3">
        <f t="shared" si="28"/>
        <v>115979.89313792945</v>
      </c>
      <c r="AA112" s="3">
        <f>(F112*T112)/365.26/Agriculture!$D$2</f>
        <v>404.30018898215684</v>
      </c>
      <c r="AB112" s="4">
        <f>SUM(X112:Y112)*Conversion!$F$18</f>
        <v>28.659791393313746</v>
      </c>
      <c r="AC112">
        <f t="shared" si="30"/>
        <v>55.5</v>
      </c>
      <c r="AD112" s="4">
        <f t="shared" si="18"/>
        <v>1590.6184223289129</v>
      </c>
    </row>
    <row r="113" spans="1:31" ht="18">
      <c r="F113" s="3"/>
      <c r="G113" s="3"/>
      <c r="K113" s="59"/>
      <c r="O113" s="72"/>
      <c r="P113" s="72"/>
      <c r="Q113" s="72"/>
      <c r="R113" s="72"/>
      <c r="S113" s="72"/>
      <c r="T113" s="73"/>
      <c r="X113" s="3"/>
      <c r="Y113" s="3"/>
      <c r="Z113" s="3"/>
      <c r="AA113" s="3"/>
      <c r="AB113" s="4">
        <f>SUM(X113:Y113)*Conversion!$F$18</f>
        <v>0</v>
      </c>
      <c r="AC113">
        <f t="shared" si="20"/>
        <v>14.8</v>
      </c>
      <c r="AD113" s="4">
        <f t="shared" si="18"/>
        <v>0</v>
      </c>
    </row>
    <row r="114" spans="1:31" ht="18">
      <c r="A114" t="str">
        <f>Agriculture!B34</f>
        <v>Protein - Vegetable</v>
      </c>
      <c r="B114">
        <f>COUNT(B115:B119)</f>
        <v>5</v>
      </c>
      <c r="C114">
        <f>SUM(C115:C119)</f>
        <v>4</v>
      </c>
      <c r="D114">
        <f>Agriculture!G34</f>
        <v>9.7099660633484177</v>
      </c>
      <c r="F114" s="3"/>
      <c r="G114" s="3"/>
      <c r="K114" s="59"/>
      <c r="O114" s="72"/>
      <c r="P114" s="72"/>
      <c r="Q114" s="72"/>
      <c r="R114" s="72"/>
      <c r="S114" s="72"/>
      <c r="T114" s="73"/>
      <c r="X114" s="3"/>
      <c r="Y114" s="3"/>
      <c r="Z114" s="3"/>
      <c r="AA114" s="3"/>
      <c r="AB114" s="4">
        <f>SUM(X114:Y114)*Conversion!$F$18</f>
        <v>0</v>
      </c>
      <c r="AC114">
        <f t="shared" si="20"/>
        <v>14.8</v>
      </c>
      <c r="AD114" s="4">
        <f t="shared" si="18"/>
        <v>0</v>
      </c>
    </row>
    <row r="115" spans="1:31" ht="18">
      <c r="A115" t="s">
        <v>132</v>
      </c>
      <c r="B115">
        <v>11</v>
      </c>
      <c r="C115">
        <v>1</v>
      </c>
      <c r="D115">
        <f>$D$114*C115/$C$114</f>
        <v>2.4274915158371044</v>
      </c>
      <c r="E115">
        <v>0.05</v>
      </c>
      <c r="F115" s="3">
        <f>IF(D115&gt;0,D115*Agriculture!$D$2+Agriculture!$E$16*E115,IF(E115&gt;0,0,Agriculture!$D$2*0.025))</f>
        <v>37689.733858735512</v>
      </c>
      <c r="G115" s="3">
        <f>L115*1/Agriculture!$C$49*Agriculture!$E$16</f>
        <v>24519.161757786485</v>
      </c>
      <c r="H115" t="s">
        <v>450</v>
      </c>
      <c r="I115">
        <v>3086</v>
      </c>
      <c r="K115" s="59">
        <f>IF(I115&gt;0,I115,J115/2000*Conversion!$D$22)</f>
        <v>3086</v>
      </c>
      <c r="L115">
        <f>I115</f>
        <v>3086</v>
      </c>
      <c r="O115" s="72">
        <v>13.56</v>
      </c>
      <c r="P115" s="72">
        <v>7.02</v>
      </c>
      <c r="Q115">
        <v>0</v>
      </c>
      <c r="R115" s="72">
        <v>65.25</v>
      </c>
      <c r="S115" s="73">
        <v>1133</v>
      </c>
      <c r="T115" s="73">
        <f>(O115*4+R115*4+P115*9+Q115*9)*10</f>
        <v>3784.2000000000003</v>
      </c>
      <c r="V115">
        <v>1</v>
      </c>
      <c r="W115">
        <f>IF(N115&gt;0,1,IF(M115&gt;0,FLOOR(365.26/M115,0.1),1))</f>
        <v>1</v>
      </c>
      <c r="X115" s="3">
        <f>IF(K115&gt;0,F115/K115/W115*Conversion!$E$17,0)</f>
        <v>122131.34756557198</v>
      </c>
      <c r="Y115" s="3">
        <f>IF(L115&gt;0,G115/L115/W115*Conversion!$E$17,0)</f>
        <v>79452.889688225812</v>
      </c>
      <c r="Z115" s="3">
        <f>(X115+Y115)*IF(U115&gt;0,U115,1)</f>
        <v>201584.23725379779</v>
      </c>
      <c r="AA115" s="3">
        <f>(F115*T115)/365.26/Agriculture!$D$2</f>
        <v>1341.8440610701539</v>
      </c>
      <c r="AB115" s="4">
        <f>SUM(X115:Y115)*Conversion!$F$18</f>
        <v>49.81348086778597</v>
      </c>
      <c r="AC115">
        <f t="shared" si="20"/>
        <v>14.8</v>
      </c>
      <c r="AD115" s="4">
        <f t="shared" si="18"/>
        <v>737.23951684323242</v>
      </c>
    </row>
    <row r="116" spans="1:31" ht="18">
      <c r="A116" t="s">
        <v>130</v>
      </c>
      <c r="B116">
        <v>11</v>
      </c>
      <c r="C116">
        <v>1</v>
      </c>
      <c r="D116">
        <f t="shared" ref="D116:D119" si="31">$D$114*C116/$C$114</f>
        <v>2.4274915158371044</v>
      </c>
      <c r="F116" s="3">
        <f>IF(D116&gt;0,D116*Agriculture!$D$2+Agriculture!$E$16*E116,IF(E116&gt;0,0,Agriculture!$D$2*0.025))</f>
        <v>706.40003110859743</v>
      </c>
      <c r="G116" s="3">
        <f>L116*1/Agriculture!$C$49*Agriculture!$E$16</f>
        <v>0</v>
      </c>
      <c r="H116" t="s">
        <v>450</v>
      </c>
      <c r="I116">
        <v>1554</v>
      </c>
      <c r="K116" s="59">
        <f>IF(I116&gt;0,I116,J116/2000*Conversion!$D$22)</f>
        <v>1554</v>
      </c>
      <c r="O116" s="72">
        <v>25.8</v>
      </c>
      <c r="P116" s="72">
        <v>49.24</v>
      </c>
      <c r="Q116" s="72">
        <v>31.6</v>
      </c>
      <c r="R116" s="72">
        <v>16.13</v>
      </c>
      <c r="S116" s="72">
        <v>923</v>
      </c>
      <c r="T116" s="73">
        <f>(O116*4+R116*4+P116*9+Q116*9)*10</f>
        <v>8952.7999999999993</v>
      </c>
      <c r="V116">
        <v>1</v>
      </c>
      <c r="W116">
        <f>IF(N116&gt;0,1,IF(M116&gt;0,FLOOR(365.26/M116,0.1),1))</f>
        <v>1</v>
      </c>
      <c r="X116" s="3">
        <f>IF(K116&gt;0,F116/K116/W116*Conversion!$E$17,0)</f>
        <v>4545.6887458725705</v>
      </c>
      <c r="Y116" s="3">
        <f>IF(L116&gt;0,G116/L116/W116*Conversion!$E$17,0)</f>
        <v>0</v>
      </c>
      <c r="Z116" s="3">
        <f>(X116+Y116)*IF(U116&gt;0,U116,1)</f>
        <v>4545.6887458725705</v>
      </c>
      <c r="AA116" s="3">
        <f>(F116*T116)/365.26/Agriculture!$D$2</f>
        <v>59.499660633484176</v>
      </c>
      <c r="AB116" s="4">
        <f>SUM(X116:Y116)*Conversion!$F$18</f>
        <v>1.1232851459925708</v>
      </c>
      <c r="AC116">
        <f t="shared" si="20"/>
        <v>14.8</v>
      </c>
      <c r="AD116" s="4">
        <f t="shared" si="18"/>
        <v>16.62462016069005</v>
      </c>
    </row>
    <row r="117" spans="1:31" ht="18">
      <c r="A117" t="s">
        <v>421</v>
      </c>
      <c r="B117">
        <v>11</v>
      </c>
      <c r="D117">
        <f t="shared" si="31"/>
        <v>0</v>
      </c>
      <c r="F117" s="3">
        <f>IF(D117&gt;0,D117*Agriculture!$D$2+Agriculture!$E$16*E117,IF(E117&gt;0,0,Agriculture!$D$2*0.025))</f>
        <v>7.2750000000000004</v>
      </c>
      <c r="G117" s="3">
        <f>L117*1/Agriculture!$C$49*Agriculture!$E$16</f>
        <v>0</v>
      </c>
      <c r="H117" t="s">
        <v>450</v>
      </c>
      <c r="I117">
        <v>4000</v>
      </c>
      <c r="K117" s="59">
        <f>IF(I117&gt;0,I117,J117/2000*Conversion!$D$22)</f>
        <v>4000</v>
      </c>
      <c r="O117" s="72">
        <v>28.5</v>
      </c>
      <c r="P117" s="72">
        <v>54.8</v>
      </c>
      <c r="Q117" s="72">
        <v>82</v>
      </c>
      <c r="R117" s="72">
        <v>17.7</v>
      </c>
      <c r="S117" s="72">
        <v>2638</v>
      </c>
      <c r="T117" s="73">
        <f>(O117*4+R117*4+P117*9+Q117*9)*10</f>
        <v>14160</v>
      </c>
      <c r="W117">
        <f>IF(N117&gt;0,1,IF(M117&gt;0,FLOOR(365.26/M117,0.1),1))</f>
        <v>1</v>
      </c>
      <c r="X117" s="3">
        <f>IF(K117&gt;0,F117/K117/W117*Conversion!$E$17,0)</f>
        <v>18.1875</v>
      </c>
      <c r="Y117" s="3">
        <f>IF(L117&gt;0,G117/L117/W117*Conversion!$E$17,0)</f>
        <v>0</v>
      </c>
      <c r="Z117" s="3">
        <f>(X117+Y117)*IF(U117&gt;0,U117,1)</f>
        <v>18.1875</v>
      </c>
      <c r="AA117" s="3">
        <f>(F117*T117)/365.26/Agriculture!$D$2</f>
        <v>0.96917264414389748</v>
      </c>
      <c r="AB117" s="4">
        <f>SUM(X117:Y117)*Conversion!$F$18</f>
        <v>4.4943131249999997E-3</v>
      </c>
      <c r="AC117">
        <f t="shared" si="20"/>
        <v>14.8</v>
      </c>
      <c r="AD117" s="4">
        <f t="shared" si="18"/>
        <v>6.6515834250000003E-2</v>
      </c>
    </row>
    <row r="118" spans="1:31" ht="18">
      <c r="A118" t="s">
        <v>424</v>
      </c>
      <c r="B118">
        <v>11</v>
      </c>
      <c r="C118">
        <v>1</v>
      </c>
      <c r="D118">
        <f t="shared" si="31"/>
        <v>2.4274915158371044</v>
      </c>
      <c r="F118" s="3">
        <f>IF(D118&gt;0,D118*Agriculture!$D$2+Agriculture!$E$16*E118,IF(E118&gt;0,0,Agriculture!$D$2*0.025))</f>
        <v>706.40003110859743</v>
      </c>
      <c r="G118" s="3">
        <f>L118*1/Agriculture!$C$49*Agriculture!$E$16</f>
        <v>0</v>
      </c>
      <c r="H118" t="s">
        <v>450</v>
      </c>
      <c r="I118">
        <v>1459</v>
      </c>
      <c r="K118" s="59">
        <f>IF(I118&gt;0,I118,J118/2000*Conversion!$D$22)</f>
        <v>1459</v>
      </c>
      <c r="O118" s="72">
        <v>11.3</v>
      </c>
      <c r="P118" s="72">
        <v>3.3</v>
      </c>
      <c r="Q118" s="72">
        <v>0</v>
      </c>
      <c r="R118" s="72">
        <v>74.63</v>
      </c>
      <c r="S118" s="72">
        <v>529</v>
      </c>
      <c r="T118" s="73">
        <f>(O118*4+R118*4+P118*9+Q118*9)*10</f>
        <v>3734.2</v>
      </c>
      <c r="W118">
        <f>IF(N118&gt;0,1,IF(M118&gt;0,FLOOR(365.26/M118,0.1),1))</f>
        <v>1</v>
      </c>
      <c r="X118" s="3">
        <f>IF(K118&gt;0,F118/K118/W118*Conversion!$E$17,0)</f>
        <v>4841.6725915599554</v>
      </c>
      <c r="Y118" s="3">
        <f>IF(L118&gt;0,G118/L118/W118*Conversion!$E$17,0)</f>
        <v>0</v>
      </c>
      <c r="Z118" s="3">
        <f>(X118+Y118)*IF(U118&gt;0,U118,1)</f>
        <v>4841.6725915599554</v>
      </c>
      <c r="AA118" s="3">
        <f>(F118*T118)/365.26/Agriculture!$D$2</f>
        <v>24.817222850678739</v>
      </c>
      <c r="AB118" s="4">
        <f>SUM(X118:Y118)*Conversion!$F$18</f>
        <v>1.1964257141003805</v>
      </c>
      <c r="AC118">
        <f>46.7+18.2+17.6+6.7+24.4+10.5+9.4</f>
        <v>133.5</v>
      </c>
      <c r="AD118" s="4">
        <f t="shared" si="18"/>
        <v>159.7228328324008</v>
      </c>
    </row>
    <row r="119" spans="1:31" ht="18">
      <c r="A119" t="s">
        <v>133</v>
      </c>
      <c r="B119">
        <v>11</v>
      </c>
      <c r="C119">
        <v>1</v>
      </c>
      <c r="D119">
        <f t="shared" si="31"/>
        <v>2.4274915158371044</v>
      </c>
      <c r="F119" s="3">
        <f>IF(D119&gt;0,D119*Agriculture!$D$2+Agriculture!$E$16*E119,IF(E119&gt;0,0,Agriculture!$D$2*0.025))</f>
        <v>706.40003110859743</v>
      </c>
      <c r="G119" s="3">
        <f>L119*1/Agriculture!$C$49*Agriculture!$E$16</f>
        <v>0</v>
      </c>
      <c r="H119" t="s">
        <v>450</v>
      </c>
      <c r="I119">
        <v>2384</v>
      </c>
      <c r="K119" s="59">
        <f>IF(I119&gt;0,I119,J119/2000*Conversion!$D$22)</f>
        <v>2384</v>
      </c>
      <c r="O119" s="72">
        <v>36.49</v>
      </c>
      <c r="P119" s="72">
        <v>19.940000000000001</v>
      </c>
      <c r="Q119" s="72">
        <v>57</v>
      </c>
      <c r="R119" s="72">
        <v>30.16</v>
      </c>
      <c r="S119" s="72">
        <v>529</v>
      </c>
      <c r="T119" s="73">
        <f>(O119*4+R119*4+P119*9+Q119*9)*10</f>
        <v>9590.6</v>
      </c>
      <c r="V119">
        <v>1</v>
      </c>
      <c r="W119">
        <f>IF(N119&gt;0,1,IF(M119&gt;0,FLOOR(365.26/M119,0.1),1))</f>
        <v>1</v>
      </c>
      <c r="X119" s="3">
        <f>IF(K119&gt;0,F119/K119/W119*Conversion!$E$17,0)</f>
        <v>2963.0873788112312</v>
      </c>
      <c r="Y119" s="3">
        <f>IF(L119&gt;0,G119/L119/W119*Conversion!$E$17,0)</f>
        <v>0</v>
      </c>
      <c r="Z119" s="3">
        <f>(X119+Y119)*IF(U119&gt;0,U119,1)</f>
        <v>2963.0873788112312</v>
      </c>
      <c r="AA119" s="3">
        <f>(F119*T119)/365.26/Agriculture!$D$2</f>
        <v>63.738433257918565</v>
      </c>
      <c r="AB119" s="4">
        <f>SUM(X119:Y119)*Conversion!$F$18</f>
        <v>0.73220852217804333</v>
      </c>
      <c r="AC119">
        <f t="shared" si="20"/>
        <v>14.8</v>
      </c>
      <c r="AD119" s="4">
        <f t="shared" si="18"/>
        <v>10.836686128235042</v>
      </c>
    </row>
    <row r="120" spans="1:31" ht="18">
      <c r="H120" s="72"/>
      <c r="I120" s="72"/>
      <c r="J120" s="72"/>
      <c r="K120" s="72"/>
      <c r="L120" s="72"/>
      <c r="M120" s="72"/>
      <c r="N120" s="72"/>
      <c r="O120" s="72"/>
    </row>
    <row r="121" spans="1:31">
      <c r="A121" t="s">
        <v>287</v>
      </c>
    </row>
    <row r="122" spans="1:31">
      <c r="E122" s="3"/>
    </row>
    <row r="123" spans="1:31">
      <c r="A123" t="s">
        <v>326</v>
      </c>
      <c r="G123">
        <f>Cattle!D8</f>
        <v>705682.32</v>
      </c>
    </row>
    <row r="124" spans="1:31">
      <c r="A124" t="s">
        <v>327</v>
      </c>
      <c r="Q124" s="3"/>
      <c r="R124" s="3"/>
    </row>
    <row r="125" spans="1:31">
      <c r="A125" t="s">
        <v>290</v>
      </c>
      <c r="D125">
        <v>0.7</v>
      </c>
      <c r="G125">
        <f>G123*D125</f>
        <v>493977.62399999995</v>
      </c>
      <c r="Q125" s="3"/>
      <c r="R125" s="3"/>
    </row>
    <row r="126" spans="1:31">
      <c r="A126" t="s">
        <v>295</v>
      </c>
      <c r="G126" s="3">
        <f>IF((G127+G128)&lt;G125,(G125-(G127+G128))/I126,0)</f>
        <v>66.108231999999987</v>
      </c>
      <c r="I126">
        <f>3500*2</f>
        <v>7000</v>
      </c>
      <c r="O126">
        <v>0.5</v>
      </c>
      <c r="Q126" s="3">
        <f>S126*10000000*IF(O126&gt;0,O126,3)</f>
        <v>472.20165714285702</v>
      </c>
      <c r="R126" s="3"/>
      <c r="S126">
        <f>G126/(I126*Conversion!$D$16)</f>
        <v>9.4440331428571406E-5</v>
      </c>
      <c r="V126">
        <v>1</v>
      </c>
      <c r="W126">
        <f>IF(N126&gt;0,1,IF(M126&gt;0,FLOOR(365.26/M126,0.1),1))</f>
        <v>1</v>
      </c>
      <c r="X126" s="3">
        <f>IF(K126&gt;0,H126/K126/W126*Conversion!$E$17,0)</f>
        <v>0</v>
      </c>
      <c r="Y126" s="3">
        <f>IF(L126&gt;0,I126/L126/W126*Conversion!$E$17,0)</f>
        <v>0</v>
      </c>
      <c r="Z126" s="3">
        <f>(X126+Y126)*IF(U126&gt;0,U126,1)</f>
        <v>0</v>
      </c>
      <c r="AA126" s="3">
        <f>(H126*T126)/365.26/Agriculture!$D$2</f>
        <v>0</v>
      </c>
      <c r="AB126" s="4">
        <f>SUM(X126:Y126)*Conversion!$F$18</f>
        <v>0</v>
      </c>
      <c r="AC126">
        <f t="shared" ref="AC126" si="32">1.5+9.4+3.9</f>
        <v>14.8</v>
      </c>
      <c r="AD126" s="4">
        <f t="shared" ref="AD126" si="33">W126*AB126*AC126</f>
        <v>0</v>
      </c>
      <c r="AE126" t="s">
        <v>292</v>
      </c>
    </row>
    <row r="127" spans="1:31">
      <c r="A127" t="s">
        <v>297</v>
      </c>
      <c r="G127" s="3">
        <f>J127*0.0001*I127</f>
        <v>8750</v>
      </c>
      <c r="I127">
        <v>3500</v>
      </c>
      <c r="J127">
        <f>Vehicle!B32</f>
        <v>25000</v>
      </c>
      <c r="O127">
        <v>0.5</v>
      </c>
      <c r="Q127" s="3"/>
      <c r="R127" s="3"/>
      <c r="S127" s="3"/>
    </row>
    <row r="128" spans="1:31">
      <c r="A128" t="s">
        <v>296</v>
      </c>
      <c r="G128" s="3">
        <f>J128*0.0001*I128*0.5</f>
        <v>22470</v>
      </c>
      <c r="I128">
        <v>3500</v>
      </c>
      <c r="J128">
        <f>Vehicle!B35*0.75</f>
        <v>128400</v>
      </c>
      <c r="O128">
        <v>0.5</v>
      </c>
      <c r="Q128" s="3"/>
      <c r="R128" s="3"/>
    </row>
    <row r="129" spans="1:31">
      <c r="A129" t="s">
        <v>288</v>
      </c>
      <c r="G129" s="3">
        <f>(D6+D14+D17)*Agriculture!D2</f>
        <v>12116.107581395348</v>
      </c>
      <c r="O129">
        <v>0.5</v>
      </c>
      <c r="Q129" s="3"/>
      <c r="R129" s="3"/>
      <c r="AE129" t="s">
        <v>291</v>
      </c>
    </row>
  </sheetData>
  <sortState ref="A17:AH119">
    <sortCondition ref="B17:B119"/>
    <sortCondition ref="A17:A119"/>
  </sortState>
  <pageMargins left="0.7" right="0.7" top="0.75" bottom="0.75" header="0.3" footer="0.3"/>
  <pageSetup orientation="portrait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F9450-562D-2D40-BB76-707A09BB98FE}">
  <dimension ref="A1:P24"/>
  <sheetViews>
    <sheetView workbookViewId="0"/>
  </sheetViews>
  <sheetFormatPr baseColWidth="10" defaultRowHeight="16"/>
  <cols>
    <col min="1" max="1" width="18.6640625" bestFit="1" customWidth="1"/>
  </cols>
  <sheetData>
    <row r="1" spans="1:16">
      <c r="A1" t="s">
        <v>513</v>
      </c>
      <c r="B1" t="s">
        <v>527</v>
      </c>
    </row>
    <row r="2" spans="1:16">
      <c r="A2" t="s">
        <v>524</v>
      </c>
      <c r="B2" t="s">
        <v>498</v>
      </c>
    </row>
    <row r="3" spans="1:16">
      <c r="A3" t="s">
        <v>525</v>
      </c>
      <c r="B3" t="s">
        <v>526</v>
      </c>
    </row>
    <row r="4" spans="1:16">
      <c r="J4" s="7"/>
    </row>
    <row r="5" spans="1:16">
      <c r="B5" t="s">
        <v>518</v>
      </c>
      <c r="E5">
        <f>AVERAGE(E9:E14)</f>
        <v>3316.6666666666665</v>
      </c>
      <c r="G5">
        <f>AVERAGE(G9:G21)</f>
        <v>54.307692307692307</v>
      </c>
      <c r="H5">
        <f>AVERAGE(H9:H15)</f>
        <v>377.57142857142856</v>
      </c>
      <c r="I5">
        <f>AVERAGE(I9:I16)</f>
        <v>666.75</v>
      </c>
      <c r="J5">
        <f>AVERAGE(J9:J17)</f>
        <v>470</v>
      </c>
      <c r="K5">
        <f>AVERAGE(K9:K14)</f>
        <v>358.66666666666669</v>
      </c>
      <c r="L5">
        <f>AVERAGE(L9:L18)</f>
        <v>219.8</v>
      </c>
      <c r="M5">
        <f>AVERAGE(M9:M21)</f>
        <v>107.84615384615384</v>
      </c>
      <c r="N5">
        <f>AVERAGE(N9:N21)</f>
        <v>43</v>
      </c>
      <c r="O5">
        <f>AVERAGE(O9:O21)</f>
        <v>1097.9230769230769</v>
      </c>
      <c r="P5">
        <f>AVERAGE(P9:P16)</f>
        <v>157</v>
      </c>
    </row>
    <row r="6" spans="1:16">
      <c r="A6" t="s">
        <v>514</v>
      </c>
      <c r="C6" s="5">
        <v>28</v>
      </c>
      <c r="D6" s="7"/>
      <c r="E6" s="7"/>
      <c r="F6" s="7"/>
      <c r="J6">
        <v>8</v>
      </c>
    </row>
    <row r="7" spans="1:16">
      <c r="A7" t="s">
        <v>515</v>
      </c>
      <c r="C7" s="5"/>
      <c r="D7" s="7"/>
      <c r="E7" s="7"/>
      <c r="F7" s="7"/>
      <c r="G7" t="s">
        <v>548</v>
      </c>
      <c r="J7">
        <v>103</v>
      </c>
    </row>
    <row r="8" spans="1:16">
      <c r="C8" t="s">
        <v>529</v>
      </c>
      <c r="D8" t="s">
        <v>13</v>
      </c>
      <c r="E8" t="s">
        <v>541</v>
      </c>
      <c r="G8" s="76" t="s">
        <v>514</v>
      </c>
      <c r="H8" s="76" t="s">
        <v>515</v>
      </c>
      <c r="I8" s="76" t="s">
        <v>549</v>
      </c>
      <c r="J8" s="76" t="s">
        <v>550</v>
      </c>
      <c r="K8" s="76" t="s">
        <v>551</v>
      </c>
      <c r="L8" s="76" t="s">
        <v>552</v>
      </c>
      <c r="M8" s="76" t="s">
        <v>553</v>
      </c>
      <c r="N8" s="76" t="s">
        <v>554</v>
      </c>
      <c r="O8" s="76" t="s">
        <v>555</v>
      </c>
      <c r="P8" s="76" t="s">
        <v>556</v>
      </c>
    </row>
    <row r="9" spans="1:16">
      <c r="A9" s="5" t="s">
        <v>516</v>
      </c>
      <c r="B9" s="5">
        <v>84.74</v>
      </c>
      <c r="C9" t="s">
        <v>536</v>
      </c>
      <c r="D9">
        <v>2013</v>
      </c>
      <c r="E9">
        <f t="shared" ref="E9:E21" si="0">SUM(G9:P9)</f>
        <v>2726</v>
      </c>
      <c r="F9" s="5" t="str">
        <f t="shared" ref="F9:F21" si="1">A9</f>
        <v>Japan</v>
      </c>
      <c r="G9">
        <v>49</v>
      </c>
      <c r="H9">
        <v>254</v>
      </c>
      <c r="I9">
        <v>506</v>
      </c>
      <c r="J9">
        <v>318</v>
      </c>
      <c r="K9">
        <v>189</v>
      </c>
      <c r="L9">
        <v>124</v>
      </c>
      <c r="M9">
        <v>60</v>
      </c>
      <c r="N9">
        <v>13</v>
      </c>
      <c r="O9">
        <v>1082</v>
      </c>
      <c r="P9">
        <v>131</v>
      </c>
    </row>
    <row r="10" spans="1:16">
      <c r="A10" s="7" t="s">
        <v>517</v>
      </c>
      <c r="B10" s="7">
        <v>82.97</v>
      </c>
      <c r="C10" t="s">
        <v>531</v>
      </c>
      <c r="D10">
        <v>2013</v>
      </c>
      <c r="E10">
        <f t="shared" si="0"/>
        <v>3380</v>
      </c>
      <c r="F10" s="5" t="str">
        <f t="shared" si="1"/>
        <v>Iceland</v>
      </c>
      <c r="G10">
        <v>120</v>
      </c>
      <c r="H10">
        <v>434</v>
      </c>
      <c r="I10">
        <v>457</v>
      </c>
      <c r="J10">
        <v>710</v>
      </c>
      <c r="K10">
        <v>573</v>
      </c>
      <c r="L10">
        <v>196</v>
      </c>
      <c r="M10">
        <v>54</v>
      </c>
      <c r="N10">
        <v>7</v>
      </c>
      <c r="O10">
        <v>698</v>
      </c>
      <c r="P10">
        <v>131</v>
      </c>
    </row>
    <row r="11" spans="1:16" ht="17">
      <c r="A11" s="7" t="s">
        <v>542</v>
      </c>
      <c r="B11" s="75">
        <v>82.15</v>
      </c>
      <c r="C11" t="s">
        <v>543</v>
      </c>
      <c r="D11">
        <v>2013</v>
      </c>
      <c r="E11">
        <f t="shared" si="0"/>
        <v>3276</v>
      </c>
      <c r="F11" s="5" t="str">
        <f t="shared" si="1"/>
        <v>Australia</v>
      </c>
      <c r="G11">
        <v>68</v>
      </c>
      <c r="H11">
        <v>384</v>
      </c>
      <c r="I11">
        <v>774</v>
      </c>
      <c r="J11">
        <v>517</v>
      </c>
      <c r="K11">
        <v>371</v>
      </c>
      <c r="L11">
        <v>183</v>
      </c>
      <c r="M11">
        <v>90</v>
      </c>
      <c r="N11">
        <v>12</v>
      </c>
      <c r="O11">
        <v>741</v>
      </c>
      <c r="P11">
        <v>136</v>
      </c>
    </row>
    <row r="12" spans="1:16">
      <c r="A12" s="7" t="s">
        <v>519</v>
      </c>
      <c r="B12" s="7">
        <v>81.760000000000005</v>
      </c>
      <c r="C12" t="s">
        <v>530</v>
      </c>
      <c r="D12">
        <v>2013</v>
      </c>
      <c r="E12">
        <f t="shared" si="0"/>
        <v>3494</v>
      </c>
      <c r="F12" s="5" t="str">
        <f t="shared" si="1"/>
        <v>Canada</v>
      </c>
      <c r="G12">
        <v>45</v>
      </c>
      <c r="H12">
        <v>434</v>
      </c>
      <c r="I12">
        <v>919</v>
      </c>
      <c r="J12">
        <v>390</v>
      </c>
      <c r="K12">
        <v>242</v>
      </c>
      <c r="L12">
        <v>214</v>
      </c>
      <c r="M12">
        <v>120</v>
      </c>
      <c r="N12">
        <v>115</v>
      </c>
      <c r="O12">
        <v>909</v>
      </c>
      <c r="P12">
        <v>106</v>
      </c>
    </row>
    <row r="13" spans="1:16" ht="17">
      <c r="A13" s="7" t="s">
        <v>533</v>
      </c>
      <c r="B13" s="75">
        <v>80.680000000000007</v>
      </c>
      <c r="C13" t="s">
        <v>534</v>
      </c>
      <c r="D13">
        <v>2013</v>
      </c>
      <c r="E13">
        <f t="shared" si="0"/>
        <v>3600</v>
      </c>
      <c r="F13" s="5" t="str">
        <f t="shared" si="1"/>
        <v>Ireland</v>
      </c>
      <c r="G13">
        <v>48</v>
      </c>
      <c r="H13">
        <v>395</v>
      </c>
      <c r="I13">
        <v>551</v>
      </c>
      <c r="J13">
        <v>439</v>
      </c>
      <c r="K13">
        <v>393</v>
      </c>
      <c r="L13">
        <v>211</v>
      </c>
      <c r="M13">
        <v>154</v>
      </c>
      <c r="N13">
        <v>31</v>
      </c>
      <c r="O13">
        <v>1073</v>
      </c>
      <c r="P13">
        <v>305</v>
      </c>
    </row>
    <row r="14" spans="1:16" ht="17">
      <c r="A14" s="7" t="s">
        <v>544</v>
      </c>
      <c r="B14" s="75">
        <v>80.540000000000006</v>
      </c>
      <c r="C14" t="s">
        <v>545</v>
      </c>
      <c r="D14">
        <v>2013</v>
      </c>
      <c r="E14">
        <f t="shared" si="0"/>
        <v>3424</v>
      </c>
      <c r="F14" s="5" t="str">
        <f t="shared" si="1"/>
        <v>United Kingdom</v>
      </c>
      <c r="G14">
        <v>93</v>
      </c>
      <c r="H14">
        <v>394</v>
      </c>
      <c r="I14">
        <v>609</v>
      </c>
      <c r="J14">
        <v>476</v>
      </c>
      <c r="K14">
        <v>384</v>
      </c>
      <c r="L14">
        <v>212</v>
      </c>
      <c r="M14">
        <v>181</v>
      </c>
      <c r="N14">
        <v>32</v>
      </c>
      <c r="O14">
        <v>890</v>
      </c>
      <c r="P14">
        <v>153</v>
      </c>
    </row>
    <row r="15" spans="1:16" ht="17">
      <c r="A15" s="7" t="s">
        <v>546</v>
      </c>
      <c r="B15" s="75">
        <v>80.040000000000006</v>
      </c>
      <c r="C15" t="s">
        <v>547</v>
      </c>
      <c r="D15">
        <v>2013</v>
      </c>
      <c r="E15">
        <f t="shared" si="0"/>
        <v>3334</v>
      </c>
      <c r="F15" s="5" t="str">
        <f t="shared" si="1"/>
        <v>South Korea</v>
      </c>
      <c r="G15">
        <v>47</v>
      </c>
      <c r="H15">
        <v>348</v>
      </c>
      <c r="I15">
        <v>628</v>
      </c>
      <c r="J15">
        <v>388</v>
      </c>
      <c r="K15" s="80">
        <v>85</v>
      </c>
      <c r="L15">
        <v>245</v>
      </c>
      <c r="M15">
        <v>40</v>
      </c>
      <c r="N15">
        <v>12</v>
      </c>
      <c r="O15">
        <v>1406</v>
      </c>
      <c r="P15">
        <v>135</v>
      </c>
    </row>
    <row r="16" spans="1:16">
      <c r="A16" s="7" t="s">
        <v>497</v>
      </c>
      <c r="B16" s="7">
        <v>79.959999999999994</v>
      </c>
      <c r="C16" t="s">
        <v>540</v>
      </c>
      <c r="D16">
        <v>2013</v>
      </c>
      <c r="E16">
        <f t="shared" si="0"/>
        <v>3682</v>
      </c>
      <c r="F16" s="5" t="str">
        <f t="shared" si="1"/>
        <v>United States</v>
      </c>
      <c r="G16">
        <v>30</v>
      </c>
      <c r="H16" s="79">
        <v>600</v>
      </c>
      <c r="I16">
        <v>890</v>
      </c>
      <c r="J16">
        <v>459</v>
      </c>
      <c r="K16">
        <v>424</v>
      </c>
      <c r="L16">
        <v>188</v>
      </c>
      <c r="M16">
        <v>92</v>
      </c>
      <c r="N16">
        <v>39</v>
      </c>
      <c r="O16">
        <v>801</v>
      </c>
      <c r="P16">
        <v>159</v>
      </c>
    </row>
    <row r="17" spans="1:16" ht="17">
      <c r="A17" s="7" t="s">
        <v>521</v>
      </c>
      <c r="B17" s="75">
        <v>75.41</v>
      </c>
      <c r="C17" t="s">
        <v>537</v>
      </c>
      <c r="D17">
        <v>2013</v>
      </c>
      <c r="E17">
        <f t="shared" si="0"/>
        <v>3108</v>
      </c>
      <c r="F17" s="5" t="str">
        <f t="shared" si="1"/>
        <v>China</v>
      </c>
      <c r="G17">
        <v>25</v>
      </c>
      <c r="H17" s="80">
        <v>71</v>
      </c>
      <c r="I17" s="80">
        <v>334</v>
      </c>
      <c r="J17">
        <v>533</v>
      </c>
      <c r="K17" s="80">
        <v>134</v>
      </c>
      <c r="L17">
        <v>335</v>
      </c>
      <c r="M17">
        <v>152</v>
      </c>
      <c r="N17">
        <v>12</v>
      </c>
      <c r="O17">
        <v>1417</v>
      </c>
      <c r="P17" s="80">
        <v>95</v>
      </c>
    </row>
    <row r="18" spans="1:16" ht="17">
      <c r="A18" s="7" t="s">
        <v>535</v>
      </c>
      <c r="B18" s="75">
        <v>75.05</v>
      </c>
      <c r="C18" t="s">
        <v>539</v>
      </c>
      <c r="D18">
        <v>2013</v>
      </c>
      <c r="E18">
        <f t="shared" si="0"/>
        <v>3255</v>
      </c>
      <c r="F18" s="5" t="str">
        <f t="shared" si="1"/>
        <v>Saudi Arabia</v>
      </c>
      <c r="G18">
        <v>110</v>
      </c>
      <c r="H18" s="80">
        <v>308</v>
      </c>
      <c r="I18" s="7">
        <v>581</v>
      </c>
      <c r="J18" s="77">
        <v>281</v>
      </c>
      <c r="K18" s="80">
        <v>161</v>
      </c>
      <c r="L18">
        <v>290</v>
      </c>
      <c r="M18">
        <v>39</v>
      </c>
      <c r="N18">
        <v>58</v>
      </c>
      <c r="O18">
        <v>1427</v>
      </c>
      <c r="P18" s="80">
        <v>0</v>
      </c>
    </row>
    <row r="19" spans="1:16" ht="17">
      <c r="A19" s="7" t="s">
        <v>520</v>
      </c>
      <c r="B19" s="75">
        <v>70.47</v>
      </c>
      <c r="C19" t="s">
        <v>538</v>
      </c>
      <c r="D19">
        <v>2013</v>
      </c>
      <c r="E19">
        <f t="shared" si="0"/>
        <v>3361</v>
      </c>
      <c r="F19" s="5" t="str">
        <f t="shared" si="1"/>
        <v>Russia</v>
      </c>
      <c r="G19">
        <v>36</v>
      </c>
      <c r="H19" s="80">
        <v>439</v>
      </c>
      <c r="I19" s="7">
        <v>482</v>
      </c>
      <c r="J19" s="77">
        <v>372</v>
      </c>
      <c r="K19" s="80">
        <v>328</v>
      </c>
      <c r="L19" s="80">
        <v>162</v>
      </c>
      <c r="M19">
        <v>207</v>
      </c>
      <c r="N19">
        <v>17</v>
      </c>
      <c r="O19">
        <v>1153</v>
      </c>
      <c r="P19">
        <v>165</v>
      </c>
    </row>
    <row r="20" spans="1:16" ht="17">
      <c r="A20" s="7" t="s">
        <v>522</v>
      </c>
      <c r="B20" s="75">
        <v>68.13</v>
      </c>
      <c r="C20" t="s">
        <v>532</v>
      </c>
      <c r="D20">
        <v>2013</v>
      </c>
      <c r="E20">
        <f t="shared" si="0"/>
        <v>2459</v>
      </c>
      <c r="F20" s="5" t="str">
        <f t="shared" si="1"/>
        <v>India</v>
      </c>
      <c r="G20">
        <v>27</v>
      </c>
      <c r="H20" s="80">
        <v>236</v>
      </c>
      <c r="I20" s="80">
        <v>330</v>
      </c>
      <c r="J20" s="77">
        <v>24</v>
      </c>
      <c r="K20" s="80">
        <v>139</v>
      </c>
      <c r="L20" s="80">
        <v>131</v>
      </c>
      <c r="M20">
        <v>60</v>
      </c>
      <c r="N20">
        <v>137</v>
      </c>
      <c r="O20">
        <v>1361</v>
      </c>
      <c r="P20" s="80">
        <v>14</v>
      </c>
    </row>
    <row r="21" spans="1:16" ht="17">
      <c r="A21" t="s">
        <v>523</v>
      </c>
      <c r="B21" s="75">
        <v>49.81</v>
      </c>
      <c r="C21" s="76" t="s">
        <v>528</v>
      </c>
      <c r="D21" s="76">
        <v>2013</v>
      </c>
      <c r="E21">
        <f t="shared" si="0"/>
        <v>2110</v>
      </c>
      <c r="F21" s="5" t="str">
        <f t="shared" si="1"/>
        <v>Chad</v>
      </c>
      <c r="G21" s="76">
        <v>8</v>
      </c>
      <c r="H21" s="81">
        <v>103</v>
      </c>
      <c r="I21" s="81">
        <v>327</v>
      </c>
      <c r="J21" s="78">
        <v>64</v>
      </c>
      <c r="K21" s="81">
        <v>39</v>
      </c>
      <c r="L21" s="81">
        <v>20</v>
      </c>
      <c r="M21" s="76">
        <v>153</v>
      </c>
      <c r="N21" s="76">
        <v>74</v>
      </c>
      <c r="O21" s="76">
        <v>1315</v>
      </c>
      <c r="P21" s="81">
        <v>7</v>
      </c>
    </row>
    <row r="24" spans="1:16">
      <c r="D24" s="5"/>
    </row>
  </sheetData>
  <pageMargins left="0.7" right="0.7" top="0.75" bottom="0.75" header="0.3" footer="0.3"/>
  <pageSetup orientation="portrait" horizontalDpi="0" verticalDpi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D8BE1-CCD1-364C-B09C-9A3732BA9B99}">
  <dimension ref="A1:J12"/>
  <sheetViews>
    <sheetView workbookViewId="0"/>
  </sheetViews>
  <sheetFormatPr baseColWidth="10" defaultRowHeight="16"/>
  <sheetData>
    <row r="1" spans="1:10">
      <c r="A1" t="s">
        <v>118</v>
      </c>
      <c r="C1">
        <f>Vehicle!E25</f>
        <v>291</v>
      </c>
      <c r="E1">
        <f>C1*C2</f>
        <v>4074</v>
      </c>
    </row>
    <row r="2" spans="1:10">
      <c r="A2" t="s">
        <v>223</v>
      </c>
      <c r="C2">
        <v>14</v>
      </c>
      <c r="D2" t="s">
        <v>51</v>
      </c>
    </row>
    <row r="4" spans="1:10">
      <c r="B4" t="s">
        <v>213</v>
      </c>
      <c r="D4" t="s">
        <v>220</v>
      </c>
      <c r="E4" t="s">
        <v>229</v>
      </c>
      <c r="F4" t="s">
        <v>224</v>
      </c>
      <c r="G4" t="s">
        <v>214</v>
      </c>
      <c r="H4" t="s">
        <v>225</v>
      </c>
      <c r="I4" t="s">
        <v>230</v>
      </c>
      <c r="J4" t="s">
        <v>228</v>
      </c>
    </row>
    <row r="5" spans="1:10">
      <c r="B5" t="s">
        <v>210</v>
      </c>
      <c r="C5" t="s">
        <v>211</v>
      </c>
      <c r="F5" t="s">
        <v>227</v>
      </c>
      <c r="H5" t="s">
        <v>226</v>
      </c>
    </row>
    <row r="6" spans="1:10">
      <c r="A6" t="s">
        <v>209</v>
      </c>
      <c r="B6">
        <f>5.3/1000*365.26</f>
        <v>1.935878</v>
      </c>
      <c r="C6">
        <v>0.5</v>
      </c>
      <c r="D6" t="s">
        <v>221</v>
      </c>
    </row>
    <row r="7" spans="1:10">
      <c r="A7" t="s">
        <v>212</v>
      </c>
      <c r="D7" t="s">
        <v>221</v>
      </c>
    </row>
    <row r="8" spans="1:10">
      <c r="A8" t="s">
        <v>215</v>
      </c>
      <c r="D8" t="s">
        <v>221</v>
      </c>
    </row>
    <row r="9" spans="1:10">
      <c r="A9" t="s">
        <v>216</v>
      </c>
      <c r="B9">
        <v>0.75</v>
      </c>
      <c r="C9">
        <v>1</v>
      </c>
      <c r="D9" t="s">
        <v>222</v>
      </c>
      <c r="E9">
        <v>0.5</v>
      </c>
      <c r="F9">
        <v>50</v>
      </c>
      <c r="G9">
        <f>240/365.26</f>
        <v>0.65706619941959155</v>
      </c>
      <c r="H9">
        <f>I9/F9</f>
        <v>80.306630893062476</v>
      </c>
      <c r="I9">
        <f>$C$1*$C$2*B9/E9*G9</f>
        <v>4015.3315446531237</v>
      </c>
      <c r="J9">
        <f>I9*E9/G9</f>
        <v>3055.5</v>
      </c>
    </row>
    <row r="10" spans="1:10">
      <c r="A10" t="s">
        <v>217</v>
      </c>
      <c r="B10">
        <v>0.25</v>
      </c>
      <c r="C10">
        <v>1</v>
      </c>
      <c r="D10" t="s">
        <v>221</v>
      </c>
      <c r="E10">
        <v>0.5</v>
      </c>
      <c r="F10">
        <v>50</v>
      </c>
      <c r="G10">
        <v>2</v>
      </c>
      <c r="H10">
        <f>I10/F10</f>
        <v>81.48</v>
      </c>
      <c r="I10">
        <f>$C$1*$C$2*B10/E10*G10</f>
        <v>4074</v>
      </c>
      <c r="J10">
        <f>I10*E10/G10</f>
        <v>1018.5</v>
      </c>
    </row>
    <row r="11" spans="1:10">
      <c r="A11" t="s">
        <v>218</v>
      </c>
      <c r="D11" t="s">
        <v>222</v>
      </c>
    </row>
    <row r="12" spans="1:10">
      <c r="A12" t="s">
        <v>219</v>
      </c>
      <c r="D12" t="s">
        <v>222</v>
      </c>
    </row>
  </sheetData>
  <pageMargins left="0.7" right="0.7" top="0.75" bottom="0.75" header="0.3" footer="0.3"/>
  <pageSetup orientation="portrait" horizontalDpi="0" verticalDpi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29A52-A390-674C-882A-D9471157342F}">
  <dimension ref="A1:AO81"/>
  <sheetViews>
    <sheetView workbookViewId="0"/>
  </sheetViews>
  <sheetFormatPr baseColWidth="10" defaultRowHeight="16"/>
  <cols>
    <col min="2" max="3" width="11" customWidth="1"/>
    <col min="7" max="12" width="8.33203125" customWidth="1"/>
    <col min="15" max="16" width="11.6640625" bestFit="1" customWidth="1"/>
    <col min="17" max="25" width="12.6640625" bestFit="1" customWidth="1"/>
    <col min="26" max="41" width="11.6640625" bestFit="1" customWidth="1"/>
  </cols>
  <sheetData>
    <row r="1" spans="1:7">
      <c r="A1" t="s">
        <v>78</v>
      </c>
    </row>
    <row r="2" spans="1:7">
      <c r="A2" t="s">
        <v>92</v>
      </c>
      <c r="D2">
        <f>Vehicle!B41*0.000001*0.9</f>
        <v>1.4695585035329657</v>
      </c>
      <c r="E2" t="s">
        <v>80</v>
      </c>
    </row>
    <row r="3" spans="1:7">
      <c r="A3" t="s">
        <v>139</v>
      </c>
      <c r="D3">
        <v>247.1</v>
      </c>
    </row>
    <row r="4" spans="1:7">
      <c r="A4" t="s">
        <v>140</v>
      </c>
      <c r="D4">
        <v>100</v>
      </c>
    </row>
    <row r="6" spans="1:7">
      <c r="A6" t="s">
        <v>93</v>
      </c>
      <c r="D6">
        <v>0</v>
      </c>
    </row>
    <row r="8" spans="1:7">
      <c r="A8" t="s">
        <v>240</v>
      </c>
      <c r="D8">
        <f>IF(C19&gt;10,C19*D9*365.26,0)</f>
        <v>705682.32</v>
      </c>
      <c r="F8">
        <f>D8/C19*1000/365.26</f>
        <v>12000</v>
      </c>
    </row>
    <row r="9" spans="1:7">
      <c r="A9" t="s">
        <v>241</v>
      </c>
      <c r="D9">
        <v>12</v>
      </c>
    </row>
    <row r="10" spans="1:7">
      <c r="A10" t="s">
        <v>79</v>
      </c>
      <c r="D10">
        <f>D4/D30</f>
        <v>2.5</v>
      </c>
      <c r="E10" t="s">
        <v>796</v>
      </c>
    </row>
    <row r="11" spans="1:7">
      <c r="A11" t="s">
        <v>79</v>
      </c>
      <c r="D11">
        <f>D10*Conversion!E17</f>
        <v>25000</v>
      </c>
      <c r="E11" t="s">
        <v>20</v>
      </c>
    </row>
    <row r="12" spans="1:7">
      <c r="A12" t="s">
        <v>797</v>
      </c>
      <c r="D12">
        <f>SUM(Crops!E:E)</f>
        <v>0.25</v>
      </c>
    </row>
    <row r="13" spans="1:7">
      <c r="F13" t="s">
        <v>206</v>
      </c>
    </row>
    <row r="14" spans="1:7">
      <c r="A14" s="7" t="s">
        <v>49</v>
      </c>
      <c r="D14" s="7">
        <f>D11*D30*D4</f>
        <v>100000000</v>
      </c>
    </row>
    <row r="15" spans="1:7">
      <c r="A15" s="7" t="s">
        <v>44</v>
      </c>
      <c r="D15" s="7">
        <v>0.95</v>
      </c>
    </row>
    <row r="16" spans="1:7">
      <c r="A16" s="7" t="s">
        <v>106</v>
      </c>
      <c r="D16" s="7">
        <v>25</v>
      </c>
      <c r="E16">
        <f>(D16-1)/D16</f>
        <v>0.96</v>
      </c>
      <c r="F16">
        <f>1/D16</f>
        <v>0.04</v>
      </c>
      <c r="G16" t="s">
        <v>94</v>
      </c>
    </row>
    <row r="17" spans="1:17">
      <c r="A17" s="7"/>
      <c r="D17" s="7"/>
      <c r="F17" t="s">
        <v>83</v>
      </c>
      <c r="G17" t="s">
        <v>107</v>
      </c>
      <c r="H17" t="s">
        <v>95</v>
      </c>
      <c r="I17" t="s">
        <v>85</v>
      </c>
      <c r="J17" t="s">
        <v>82</v>
      </c>
    </row>
    <row r="18" spans="1:17">
      <c r="A18" s="7" t="s">
        <v>104</v>
      </c>
      <c r="C18" s="7">
        <f>SUM(F18:J18)</f>
        <v>158</v>
      </c>
      <c r="D18" t="s">
        <v>115</v>
      </c>
      <c r="F18">
        <f>D6</f>
        <v>0</v>
      </c>
      <c r="G18">
        <f>F32</f>
        <v>29</v>
      </c>
      <c r="H18">
        <f>CEILING(MAX(D22+D21,F35)*E16,1)</f>
        <v>62</v>
      </c>
      <c r="I18">
        <f>CEILING((D22+D21)*F16,1)</f>
        <v>3</v>
      </c>
      <c r="J18">
        <f>D21+D22</f>
        <v>64</v>
      </c>
    </row>
    <row r="19" spans="1:17">
      <c r="A19" s="7"/>
      <c r="C19">
        <f>(F18*1.1+G18*1.1+H18*1.1+I18*1.1+J18*0.9)</f>
        <v>161</v>
      </c>
      <c r="D19" s="7" t="s">
        <v>146</v>
      </c>
    </row>
    <row r="20" spans="1:17">
      <c r="A20" s="7" t="s">
        <v>50</v>
      </c>
      <c r="E20" s="7">
        <f>FLOOR((D14-D6)*0.78,1)</f>
        <v>78000000</v>
      </c>
      <c r="F20">
        <f>F18</f>
        <v>0</v>
      </c>
      <c r="G20">
        <f>G18</f>
        <v>29</v>
      </c>
      <c r="H20">
        <f>H18</f>
        <v>62</v>
      </c>
      <c r="I20">
        <f>I18</f>
        <v>3</v>
      </c>
      <c r="J20">
        <f>D21+D22</f>
        <v>64</v>
      </c>
    </row>
    <row r="21" spans="1:17">
      <c r="A21" s="7" t="s">
        <v>111</v>
      </c>
      <c r="D21">
        <f>CEILING(F18/10+G18,1)</f>
        <v>29</v>
      </c>
    </row>
    <row r="22" spans="1:17">
      <c r="A22" s="7" t="s">
        <v>112</v>
      </c>
      <c r="D22">
        <f>CEILING(D21+D21*F16,1)+CEILING((D21+D21*F16)/10,1)</f>
        <v>35</v>
      </c>
    </row>
    <row r="23" spans="1:17">
      <c r="A23" s="7" t="s">
        <v>100</v>
      </c>
      <c r="D23">
        <v>0.2</v>
      </c>
    </row>
    <row r="24" spans="1:17">
      <c r="A24" s="7"/>
    </row>
    <row r="25" spans="1:17">
      <c r="A25" t="s">
        <v>34</v>
      </c>
      <c r="D25">
        <v>2</v>
      </c>
      <c r="E25" s="7">
        <f>(1/1000)*$D$25</f>
        <v>2E-3</v>
      </c>
      <c r="H25" s="7"/>
      <c r="I25" s="7"/>
      <c r="J25" s="7"/>
      <c r="K25" s="7"/>
      <c r="L25" s="7"/>
      <c r="M25" s="7"/>
      <c r="O25" s="7"/>
    </row>
    <row r="26" spans="1:17">
      <c r="A26" t="s">
        <v>36</v>
      </c>
      <c r="D26">
        <f>MAX(B44:B58)</f>
        <v>108</v>
      </c>
      <c r="E26" s="7"/>
      <c r="F26" s="7"/>
      <c r="G26" s="7"/>
      <c r="H26" s="7"/>
      <c r="I26" s="7"/>
      <c r="J26" s="7"/>
      <c r="K26" s="7"/>
      <c r="L26" s="7"/>
      <c r="M26" s="7"/>
      <c r="O26" s="7"/>
      <c r="P26" s="7"/>
      <c r="Q26" s="7"/>
    </row>
    <row r="27" spans="1:17">
      <c r="A27" t="s">
        <v>37</v>
      </c>
      <c r="D27">
        <f>MIN(B44:B58)</f>
        <v>80</v>
      </c>
      <c r="E27" s="7"/>
      <c r="F27" s="7"/>
      <c r="G27" s="7">
        <f>8*5</f>
        <v>40</v>
      </c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>
      <c r="A28" t="s">
        <v>38</v>
      </c>
      <c r="D28">
        <f>B75</f>
        <v>92</v>
      </c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>
      <c r="A29" t="s">
        <v>109</v>
      </c>
      <c r="D29">
        <f>250*0.75</f>
        <v>187.5</v>
      </c>
      <c r="E29" s="7"/>
      <c r="F29" s="7"/>
      <c r="G29" s="7" t="s">
        <v>207</v>
      </c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>
      <c r="A30" t="s">
        <v>81</v>
      </c>
      <c r="D30">
        <v>40</v>
      </c>
      <c r="E30" t="s">
        <v>141</v>
      </c>
      <c r="F30" s="7"/>
      <c r="G30" s="7" t="s">
        <v>244</v>
      </c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>
      <c r="A31" t="s">
        <v>116</v>
      </c>
      <c r="D31">
        <v>25</v>
      </c>
      <c r="E31" s="7" t="s">
        <v>117</v>
      </c>
      <c r="F31" s="7"/>
      <c r="G31" s="7" t="s">
        <v>208</v>
      </c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>
      <c r="A32" t="s">
        <v>110</v>
      </c>
      <c r="D32">
        <f>Agriculture!D12</f>
        <v>18.18181818181818</v>
      </c>
      <c r="E32" s="7" t="s">
        <v>210</v>
      </c>
      <c r="F32" s="7">
        <f>CEILING((D32*D36)/D29,1)</f>
        <v>29</v>
      </c>
      <c r="G32" s="7" t="s">
        <v>115</v>
      </c>
      <c r="H32" s="7"/>
      <c r="J32" s="7"/>
      <c r="K32" s="7"/>
      <c r="L32" s="7"/>
      <c r="M32" s="7"/>
      <c r="N32" s="7"/>
      <c r="O32" s="7"/>
      <c r="P32" s="7"/>
      <c r="Q32" s="7"/>
    </row>
    <row r="33" spans="1:41">
      <c r="D33" s="7">
        <f>D32*2.2</f>
        <v>40</v>
      </c>
      <c r="E33" s="7" t="s">
        <v>298</v>
      </c>
      <c r="F33" s="7"/>
      <c r="G33" s="7" t="s">
        <v>299</v>
      </c>
      <c r="H33" s="7"/>
      <c r="I33" s="7"/>
      <c r="J33" s="7"/>
      <c r="K33" s="7"/>
      <c r="L33" s="7"/>
      <c r="M33" s="7"/>
      <c r="N33" s="7"/>
      <c r="O33" s="7"/>
      <c r="P33" s="7"/>
      <c r="Q33" s="7"/>
    </row>
    <row r="34" spans="1:41"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</row>
    <row r="35" spans="1:41">
      <c r="A35" t="s">
        <v>108</v>
      </c>
      <c r="D35">
        <v>250</v>
      </c>
      <c r="E35" s="7" t="s">
        <v>114</v>
      </c>
      <c r="F35" s="7">
        <f>CEILING((D36*D35)/(D31*365.26),1)</f>
        <v>8</v>
      </c>
      <c r="G35" s="7" t="s">
        <v>115</v>
      </c>
      <c r="H35" s="7" t="s">
        <v>113</v>
      </c>
      <c r="I35" s="7"/>
      <c r="J35" s="7"/>
      <c r="K35" s="7"/>
      <c r="L35" s="7"/>
      <c r="M35" s="7"/>
      <c r="N35" s="7"/>
      <c r="O35" s="7"/>
      <c r="P35" s="7"/>
      <c r="Q35" s="7"/>
    </row>
    <row r="36" spans="1:41">
      <c r="A36" t="s">
        <v>118</v>
      </c>
      <c r="D36">
        <f>Vehicle!E25</f>
        <v>291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</row>
    <row r="37" spans="1:41"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</row>
    <row r="38" spans="1:41"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</row>
    <row r="39" spans="1:41">
      <c r="A39" t="s">
        <v>38</v>
      </c>
      <c r="D39" s="2"/>
      <c r="E39" s="7"/>
      <c r="F39" s="7" t="s">
        <v>42</v>
      </c>
      <c r="G39" s="7"/>
      <c r="H39" s="7"/>
      <c r="I39" s="7"/>
      <c r="J39" s="7"/>
      <c r="K39" s="7"/>
      <c r="L39" s="7"/>
      <c r="M39" s="7"/>
      <c r="N39" s="7">
        <f>1/15</f>
        <v>6.6666666666666666E-2</v>
      </c>
      <c r="O39" s="7"/>
      <c r="P39" s="7"/>
      <c r="Q39" s="7"/>
    </row>
    <row r="40" spans="1:41">
      <c r="D40" s="2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</row>
    <row r="41" spans="1:41" ht="17" thickBot="1">
      <c r="D41" s="2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</row>
    <row r="42" spans="1:41">
      <c r="A42" t="s">
        <v>87</v>
      </c>
      <c r="B42" t="s">
        <v>18</v>
      </c>
      <c r="C42" t="s">
        <v>83</v>
      </c>
      <c r="D42" t="s">
        <v>95</v>
      </c>
      <c r="E42" t="s">
        <v>96</v>
      </c>
      <c r="F42" t="s">
        <v>97</v>
      </c>
      <c r="G42" t="s">
        <v>98</v>
      </c>
      <c r="H42" t="s">
        <v>99</v>
      </c>
      <c r="I42" t="s">
        <v>101</v>
      </c>
      <c r="J42" t="s">
        <v>102</v>
      </c>
      <c r="K42" t="s">
        <v>103</v>
      </c>
      <c r="L42" t="s">
        <v>105</v>
      </c>
      <c r="M42">
        <v>1</v>
      </c>
      <c r="N42">
        <v>2</v>
      </c>
      <c r="O42" s="38" t="s">
        <v>86</v>
      </c>
      <c r="P42" s="39"/>
      <c r="Q42" s="39" t="s">
        <v>84</v>
      </c>
      <c r="R42" s="39"/>
      <c r="S42" s="39"/>
      <c r="T42" s="39"/>
      <c r="U42" s="39"/>
      <c r="V42" s="39"/>
      <c r="W42" s="40"/>
      <c r="X42" s="32" t="s">
        <v>89</v>
      </c>
      <c r="Y42" s="33"/>
      <c r="Z42" s="33"/>
      <c r="AA42" s="33"/>
      <c r="AB42" s="33"/>
      <c r="AC42" s="33"/>
      <c r="AD42" s="33"/>
      <c r="AE42" s="33"/>
      <c r="AF42" s="34"/>
      <c r="AG42" s="26" t="s">
        <v>85</v>
      </c>
      <c r="AH42" s="27"/>
      <c r="AI42" s="27"/>
      <c r="AJ42" s="27"/>
      <c r="AK42" s="27"/>
      <c r="AL42" s="27"/>
      <c r="AM42" s="27"/>
      <c r="AN42" s="27"/>
      <c r="AO42" s="28"/>
    </row>
    <row r="43" spans="1:41" ht="17" thickBot="1">
      <c r="D43">
        <f>H18</f>
        <v>62</v>
      </c>
      <c r="M43" t="s">
        <v>88</v>
      </c>
      <c r="N43" t="s">
        <v>107</v>
      </c>
      <c r="O43" s="41">
        <v>2</v>
      </c>
      <c r="P43" s="42">
        <v>3</v>
      </c>
      <c r="Q43" s="42">
        <v>4</v>
      </c>
      <c r="R43" s="42">
        <v>5</v>
      </c>
      <c r="S43" s="42">
        <v>6</v>
      </c>
      <c r="T43" s="42">
        <v>7</v>
      </c>
      <c r="U43" s="42">
        <v>8</v>
      </c>
      <c r="V43" s="42">
        <v>9</v>
      </c>
      <c r="W43" s="43">
        <v>10</v>
      </c>
      <c r="X43" s="35">
        <v>2</v>
      </c>
      <c r="Y43" s="36">
        <v>3</v>
      </c>
      <c r="Z43" s="36">
        <v>4</v>
      </c>
      <c r="AA43" s="36">
        <v>5</v>
      </c>
      <c r="AB43" s="36">
        <v>6</v>
      </c>
      <c r="AC43" s="36">
        <v>7</v>
      </c>
      <c r="AD43" s="36">
        <v>8</v>
      </c>
      <c r="AE43" s="36">
        <v>9</v>
      </c>
      <c r="AF43" s="37">
        <v>10</v>
      </c>
      <c r="AG43" s="29">
        <v>2</v>
      </c>
      <c r="AH43" s="30">
        <v>3</v>
      </c>
      <c r="AI43" s="30">
        <v>4</v>
      </c>
      <c r="AJ43" s="30">
        <v>5</v>
      </c>
      <c r="AK43" s="30">
        <v>6</v>
      </c>
      <c r="AL43" s="30">
        <v>7</v>
      </c>
      <c r="AM43" s="30">
        <v>8</v>
      </c>
      <c r="AN43" s="30">
        <v>9</v>
      </c>
      <c r="AO43" s="31">
        <v>10</v>
      </c>
    </row>
    <row r="44" spans="1:41">
      <c r="A44">
        <v>0</v>
      </c>
      <c r="B44">
        <f>FLOOR(SUM(N44:AO44),1)</f>
        <v>108</v>
      </c>
      <c r="C44">
        <f>FLOOR(SUM(X44:AF44),1)</f>
        <v>0</v>
      </c>
      <c r="D44">
        <f>FLOOR(SUM(Q44:W44),1)</f>
        <v>62</v>
      </c>
      <c r="E44">
        <f>FLOOR(SUM(AG44:AO44),1)</f>
        <v>3</v>
      </c>
      <c r="F44">
        <f>D44/E44</f>
        <v>20.666666666666668</v>
      </c>
      <c r="G44">
        <f>IF(F43&gt;$D$16*1.1,1,0.5)</f>
        <v>0.5</v>
      </c>
      <c r="H44">
        <f t="shared" ref="H44:H80" si="0">IF(D43&lt;=$H$18,1,0.75)</f>
        <v>1</v>
      </c>
      <c r="I44">
        <f t="shared" ref="I44:I80" si="1">IF(C43&lt;$F$18,1,0.5)</f>
        <v>0.5</v>
      </c>
      <c r="M44">
        <f>IF(D43&gt;($D$21+$D$22),$D$21+$D$22,D43)</f>
        <v>62</v>
      </c>
      <c r="N44">
        <f>$G$20*1.5</f>
        <v>43.5</v>
      </c>
      <c r="O44" s="4">
        <v>0</v>
      </c>
      <c r="P44" s="4">
        <v>0</v>
      </c>
      <c r="Q44" s="4">
        <f>H18/4</f>
        <v>15.5</v>
      </c>
      <c r="R44" s="4">
        <f>Q44</f>
        <v>15.5</v>
      </c>
      <c r="S44" s="4">
        <f>R44</f>
        <v>15.5</v>
      </c>
      <c r="T44" s="4">
        <f>S44</f>
        <v>15.5</v>
      </c>
      <c r="U44" s="4"/>
      <c r="V44" s="4"/>
      <c r="W44" s="4"/>
      <c r="X44" s="4">
        <f>F18</f>
        <v>0</v>
      </c>
      <c r="Y44" s="4">
        <v>0</v>
      </c>
      <c r="Z44" s="4">
        <v>0</v>
      </c>
      <c r="AA44" s="4"/>
      <c r="AB44" s="4"/>
      <c r="AC44" s="4"/>
      <c r="AD44" s="4"/>
      <c r="AE44" s="4"/>
      <c r="AF44" s="4"/>
      <c r="AG44" s="4">
        <f>I20</f>
        <v>3</v>
      </c>
      <c r="AH44" s="4">
        <f>I20-AG44</f>
        <v>0</v>
      </c>
      <c r="AI44" s="4"/>
      <c r="AJ44" s="4"/>
      <c r="AK44" s="4"/>
      <c r="AL44" s="4"/>
      <c r="AM44" s="4"/>
      <c r="AN44" s="4">
        <v>0</v>
      </c>
      <c r="AO44" s="4">
        <v>0</v>
      </c>
    </row>
    <row r="45" spans="1:41">
      <c r="A45">
        <v>1</v>
      </c>
      <c r="B45">
        <f t="shared" ref="B45:B80" si="2">FLOOR(SUM(N45:AO45),1)</f>
        <v>96</v>
      </c>
      <c r="C45">
        <f t="shared" ref="C45:C80" si="3">FLOOR(SUM(X45:AF45),1)</f>
        <v>0</v>
      </c>
      <c r="D45">
        <f t="shared" ref="D45:D80" si="4">FLOOR(SUM(Q45:W45),1)</f>
        <v>58</v>
      </c>
      <c r="E45">
        <f t="shared" ref="E45:E80" si="5">FLOOR(SUM(AG45:AO45),1)</f>
        <v>2</v>
      </c>
      <c r="F45">
        <f>IF(E45&gt;0,D45/E45,0)</f>
        <v>29</v>
      </c>
      <c r="G45">
        <f t="shared" ref="G45:G80" si="6">IF(F44&gt;$D$16*1.1,1,0.5)</f>
        <v>0.5</v>
      </c>
      <c r="H45">
        <f t="shared" si="0"/>
        <v>1</v>
      </c>
      <c r="I45">
        <f t="shared" si="1"/>
        <v>0.5</v>
      </c>
      <c r="J45">
        <f>SUM(O44:AO44)-SUM(P45:W45)-SUM(Y45:AF45)-SUM(AH45:AO45)</f>
        <v>3.2500000000000018</v>
      </c>
      <c r="K45">
        <f>IF(J45&gt;0,J45,0)+N45</f>
        <v>32.25</v>
      </c>
      <c r="L45">
        <f>D45*87</f>
        <v>5046</v>
      </c>
      <c r="M45">
        <f t="shared" ref="M45:M80" si="7">IF(D44&gt;($D$21+$D$22),$D$21+$D$22,D44)</f>
        <v>62</v>
      </c>
      <c r="N45">
        <f t="shared" ref="N45:N80" si="8">IF(M44&gt;$G$18,$G$18,M44-O45-X45-AG45)</f>
        <v>29</v>
      </c>
      <c r="O45" s="4">
        <f t="shared" ref="O45:O80" si="9">$H$18/10+IF(D44&lt;$H$18,2,0)</f>
        <v>6.2</v>
      </c>
      <c r="P45" s="4">
        <f>O44*$D$15</f>
        <v>0</v>
      </c>
      <c r="Q45" s="4">
        <f>P44*$D$15</f>
        <v>0</v>
      </c>
      <c r="R45" s="4">
        <f>Q44*$D$15</f>
        <v>14.725</v>
      </c>
      <c r="S45" s="4">
        <f>R44*$D$15</f>
        <v>14.725</v>
      </c>
      <c r="T45" s="4">
        <f>S44*$D$15*$H45</f>
        <v>14.725</v>
      </c>
      <c r="U45" s="4">
        <f t="shared" ref="U45:W60" si="10">T44*$D$15*$H45</f>
        <v>14.725</v>
      </c>
      <c r="V45" s="4">
        <f t="shared" si="10"/>
        <v>0</v>
      </c>
      <c r="W45" s="4">
        <f t="shared" si="10"/>
        <v>0</v>
      </c>
      <c r="X45" s="4">
        <f>$D$6/10</f>
        <v>0</v>
      </c>
      <c r="Y45" s="4">
        <f>X44*$D$15</f>
        <v>0</v>
      </c>
      <c r="Z45" s="4">
        <f t="shared" ref="Z45:AF45" si="11">Y44*$D$15*$I44</f>
        <v>0</v>
      </c>
      <c r="AA45" s="4">
        <f t="shared" si="11"/>
        <v>0</v>
      </c>
      <c r="AB45" s="4">
        <f t="shared" si="11"/>
        <v>0</v>
      </c>
      <c r="AC45" s="4">
        <f t="shared" si="11"/>
        <v>0</v>
      </c>
      <c r="AD45" s="4">
        <f t="shared" si="11"/>
        <v>0</v>
      </c>
      <c r="AE45" s="4">
        <f t="shared" si="11"/>
        <v>0</v>
      </c>
      <c r="AF45" s="4">
        <f t="shared" si="11"/>
        <v>0</v>
      </c>
      <c r="AG45" s="4">
        <f t="shared" ref="AG45:AG80" si="12">IF(E44&lt;$I$18,1,0)</f>
        <v>0</v>
      </c>
      <c r="AH45" s="4">
        <f>AG44*$D$15</f>
        <v>2.8499999999999996</v>
      </c>
      <c r="AI45" s="4">
        <f t="shared" ref="AI45:AO45" si="13">AH44*$D$15*$G44</f>
        <v>0</v>
      </c>
      <c r="AJ45" s="4">
        <f t="shared" si="13"/>
        <v>0</v>
      </c>
      <c r="AK45" s="4">
        <f t="shared" si="13"/>
        <v>0</v>
      </c>
      <c r="AL45" s="4">
        <f t="shared" si="13"/>
        <v>0</v>
      </c>
      <c r="AM45" s="4">
        <f t="shared" si="13"/>
        <v>0</v>
      </c>
      <c r="AN45" s="4">
        <f t="shared" si="13"/>
        <v>0</v>
      </c>
      <c r="AO45" s="4">
        <f t="shared" si="13"/>
        <v>0</v>
      </c>
    </row>
    <row r="46" spans="1:41">
      <c r="A46">
        <f>A45+1</f>
        <v>2</v>
      </c>
      <c r="B46">
        <f t="shared" si="2"/>
        <v>101</v>
      </c>
      <c r="C46">
        <f t="shared" si="3"/>
        <v>0</v>
      </c>
      <c r="D46">
        <f t="shared" si="4"/>
        <v>55</v>
      </c>
      <c r="E46">
        <f t="shared" si="5"/>
        <v>2</v>
      </c>
      <c r="F46">
        <f t="shared" ref="F46:F81" si="14">IF(E46&gt;0,D46/E46,0)</f>
        <v>27.5</v>
      </c>
      <c r="G46">
        <f t="shared" si="6"/>
        <v>1</v>
      </c>
      <c r="H46">
        <f t="shared" si="0"/>
        <v>1</v>
      </c>
      <c r="I46">
        <f t="shared" si="1"/>
        <v>0.5</v>
      </c>
      <c r="J46">
        <f t="shared" ref="J46:J75" si="15">SUM(O45:AO45)-SUM(P46:W46)-SUM(Y46:AF46)-SUM(AH46:AO46)</f>
        <v>4.75124999999999</v>
      </c>
      <c r="K46">
        <f t="shared" ref="K46:K75" si="16">IF(J46&gt;0,J46,0)+N46</f>
        <v>33.751249999999992</v>
      </c>
      <c r="L46">
        <f t="shared" ref="L46:L80" si="17">D46*87*365.25</f>
        <v>1747721.25</v>
      </c>
      <c r="M46">
        <f t="shared" si="7"/>
        <v>58</v>
      </c>
      <c r="N46">
        <f t="shared" si="8"/>
        <v>29</v>
      </c>
      <c r="O46" s="4">
        <f t="shared" si="9"/>
        <v>8.1999999999999993</v>
      </c>
      <c r="P46" s="4">
        <f t="shared" ref="P46:S80" si="18">O45*$D$15</f>
        <v>5.89</v>
      </c>
      <c r="Q46" s="4">
        <f t="shared" si="18"/>
        <v>0</v>
      </c>
      <c r="R46" s="4">
        <f t="shared" si="18"/>
        <v>0</v>
      </c>
      <c r="S46" s="4">
        <f t="shared" si="18"/>
        <v>13.98875</v>
      </c>
      <c r="T46" s="4">
        <f t="shared" ref="T46:W80" si="19">S45*$D$15*$H46</f>
        <v>13.98875</v>
      </c>
      <c r="U46" s="4">
        <f t="shared" si="10"/>
        <v>13.98875</v>
      </c>
      <c r="V46" s="4">
        <f t="shared" si="10"/>
        <v>13.98875</v>
      </c>
      <c r="W46" s="4">
        <f t="shared" si="10"/>
        <v>0</v>
      </c>
      <c r="X46" s="4">
        <f t="shared" ref="X46:X80" si="20">$D$6/10</f>
        <v>0</v>
      </c>
      <c r="Y46" s="4">
        <f t="shared" ref="Y46:Y80" si="21">X45*$D$15</f>
        <v>0</v>
      </c>
      <c r="Z46" s="4">
        <f t="shared" ref="Z46:Z80" si="22">Y45*$D$15*$I45</f>
        <v>0</v>
      </c>
      <c r="AA46" s="4">
        <f t="shared" ref="AA46:AA80" si="23">Z45*$D$15*$I45</f>
        <v>0</v>
      </c>
      <c r="AB46" s="4">
        <f t="shared" ref="AB46:AB80" si="24">AA45*$D$15*$I45</f>
        <v>0</v>
      </c>
      <c r="AC46" s="4">
        <f t="shared" ref="AC46:AC80" si="25">AB45*$D$15*$I45</f>
        <v>0</v>
      </c>
      <c r="AD46" s="4">
        <f t="shared" ref="AD46:AD80" si="26">AC45*$D$15*$I45</f>
        <v>0</v>
      </c>
      <c r="AE46" s="4">
        <f t="shared" ref="AE46:AE80" si="27">AD45*$D$15*$I45</f>
        <v>0</v>
      </c>
      <c r="AF46" s="4">
        <f t="shared" ref="AF46:AF80" si="28">AE45*$D$15*$I45</f>
        <v>0</v>
      </c>
      <c r="AG46" s="4">
        <f t="shared" si="12"/>
        <v>1</v>
      </c>
      <c r="AH46" s="4">
        <f t="shared" ref="AH46:AH80" si="29">AG45*$D$15</f>
        <v>0</v>
      </c>
      <c r="AI46" s="4">
        <f t="shared" ref="AI46:AI80" si="30">AH45*$D$15*$G45</f>
        <v>1.3537499999999998</v>
      </c>
      <c r="AJ46" s="4">
        <f t="shared" ref="AJ46:AJ80" si="31">AI45*$D$15*$G45</f>
        <v>0</v>
      </c>
      <c r="AK46" s="4">
        <f t="shared" ref="AK46:AK80" si="32">AJ45*$D$15*$G45</f>
        <v>0</v>
      </c>
      <c r="AL46" s="4">
        <f t="shared" ref="AL46:AL80" si="33">AK45*$D$15*$G45</f>
        <v>0</v>
      </c>
      <c r="AM46" s="4">
        <f t="shared" ref="AM46:AM80" si="34">AL45*$D$15*$G45</f>
        <v>0</v>
      </c>
      <c r="AN46" s="4">
        <f t="shared" ref="AN46:AN80" si="35">AM45*$D$15*$G45</f>
        <v>0</v>
      </c>
      <c r="AO46" s="4">
        <f t="shared" ref="AO46:AO80" si="36">AN45*$D$15*$G45</f>
        <v>0</v>
      </c>
    </row>
    <row r="47" spans="1:41">
      <c r="A47">
        <f t="shared" ref="A47:A49" si="37">A46+1</f>
        <v>3</v>
      </c>
      <c r="B47">
        <f t="shared" si="2"/>
        <v>106</v>
      </c>
      <c r="C47">
        <f t="shared" si="3"/>
        <v>0</v>
      </c>
      <c r="D47">
        <f t="shared" si="4"/>
        <v>58</v>
      </c>
      <c r="E47">
        <f t="shared" si="5"/>
        <v>3</v>
      </c>
      <c r="F47">
        <f t="shared" si="14"/>
        <v>19.333333333333332</v>
      </c>
      <c r="G47">
        <f t="shared" si="6"/>
        <v>0.5</v>
      </c>
      <c r="H47">
        <f t="shared" si="0"/>
        <v>1</v>
      </c>
      <c r="I47">
        <f t="shared" si="1"/>
        <v>0.5</v>
      </c>
      <c r="J47">
        <f t="shared" si="15"/>
        <v>3.6199374999999949</v>
      </c>
      <c r="K47">
        <f t="shared" si="16"/>
        <v>32.619937499999992</v>
      </c>
      <c r="L47">
        <f t="shared" si="17"/>
        <v>1843051.5</v>
      </c>
      <c r="M47">
        <f t="shared" si="7"/>
        <v>55</v>
      </c>
      <c r="N47">
        <f t="shared" si="8"/>
        <v>29</v>
      </c>
      <c r="O47" s="4">
        <f t="shared" si="9"/>
        <v>8.1999999999999993</v>
      </c>
      <c r="P47" s="4">
        <f t="shared" si="18"/>
        <v>7.7899999999999991</v>
      </c>
      <c r="Q47" s="4">
        <f t="shared" si="18"/>
        <v>5.5954999999999995</v>
      </c>
      <c r="R47" s="4">
        <f t="shared" si="18"/>
        <v>0</v>
      </c>
      <c r="S47" s="4">
        <f t="shared" si="18"/>
        <v>0</v>
      </c>
      <c r="T47" s="4">
        <f t="shared" si="19"/>
        <v>13.289312499999999</v>
      </c>
      <c r="U47" s="4">
        <f t="shared" si="10"/>
        <v>13.289312499999999</v>
      </c>
      <c r="V47" s="4">
        <f t="shared" si="10"/>
        <v>13.289312499999999</v>
      </c>
      <c r="W47" s="4">
        <f t="shared" si="10"/>
        <v>13.289312499999999</v>
      </c>
      <c r="X47" s="4">
        <f t="shared" si="20"/>
        <v>0</v>
      </c>
      <c r="Y47" s="4">
        <f t="shared" si="21"/>
        <v>0</v>
      </c>
      <c r="Z47" s="4">
        <f t="shared" si="22"/>
        <v>0</v>
      </c>
      <c r="AA47" s="4">
        <f t="shared" si="23"/>
        <v>0</v>
      </c>
      <c r="AB47" s="4">
        <f t="shared" si="24"/>
        <v>0</v>
      </c>
      <c r="AC47" s="4">
        <f t="shared" si="25"/>
        <v>0</v>
      </c>
      <c r="AD47" s="4">
        <f t="shared" si="26"/>
        <v>0</v>
      </c>
      <c r="AE47" s="4">
        <f t="shared" si="27"/>
        <v>0</v>
      </c>
      <c r="AF47" s="4">
        <f t="shared" si="28"/>
        <v>0</v>
      </c>
      <c r="AG47" s="4">
        <f t="shared" si="12"/>
        <v>1</v>
      </c>
      <c r="AH47" s="4">
        <f t="shared" si="29"/>
        <v>0.95</v>
      </c>
      <c r="AI47" s="4">
        <f>AH46*$D$15*$G46</f>
        <v>0</v>
      </c>
      <c r="AJ47" s="4">
        <f t="shared" si="31"/>
        <v>1.2860624999999997</v>
      </c>
      <c r="AK47" s="4">
        <f t="shared" si="32"/>
        <v>0</v>
      </c>
      <c r="AL47" s="4">
        <f t="shared" si="33"/>
        <v>0</v>
      </c>
      <c r="AM47" s="4">
        <f t="shared" si="34"/>
        <v>0</v>
      </c>
      <c r="AN47" s="4">
        <f t="shared" si="35"/>
        <v>0</v>
      </c>
      <c r="AO47" s="4">
        <f t="shared" si="36"/>
        <v>0</v>
      </c>
    </row>
    <row r="48" spans="1:41">
      <c r="A48">
        <f t="shared" si="37"/>
        <v>4</v>
      </c>
      <c r="B48">
        <f t="shared" si="2"/>
        <v>97</v>
      </c>
      <c r="C48">
        <f t="shared" si="3"/>
        <v>0</v>
      </c>
      <c r="D48">
        <f t="shared" si="4"/>
        <v>50</v>
      </c>
      <c r="E48">
        <f t="shared" si="5"/>
        <v>2</v>
      </c>
      <c r="F48">
        <f t="shared" si="14"/>
        <v>25</v>
      </c>
      <c r="G48">
        <f t="shared" si="6"/>
        <v>0.5</v>
      </c>
      <c r="H48">
        <f t="shared" si="0"/>
        <v>1</v>
      </c>
      <c r="I48">
        <f t="shared" si="1"/>
        <v>0.5</v>
      </c>
      <c r="J48">
        <f t="shared" si="15"/>
        <v>17.585917187500009</v>
      </c>
      <c r="K48">
        <f t="shared" si="16"/>
        <v>46.585917187500009</v>
      </c>
      <c r="L48">
        <f t="shared" si="17"/>
        <v>1588837.5</v>
      </c>
      <c r="M48">
        <f t="shared" si="7"/>
        <v>58</v>
      </c>
      <c r="N48">
        <f t="shared" si="8"/>
        <v>29</v>
      </c>
      <c r="O48" s="4">
        <f t="shared" si="9"/>
        <v>8.1999999999999993</v>
      </c>
      <c r="P48" s="4">
        <f t="shared" si="18"/>
        <v>7.7899999999999991</v>
      </c>
      <c r="Q48" s="4">
        <f t="shared" si="18"/>
        <v>7.4004999999999992</v>
      </c>
      <c r="R48" s="4">
        <f t="shared" si="18"/>
        <v>5.3157249999999996</v>
      </c>
      <c r="S48" s="4">
        <f t="shared" si="18"/>
        <v>0</v>
      </c>
      <c r="T48" s="4">
        <f t="shared" si="19"/>
        <v>0</v>
      </c>
      <c r="U48" s="4">
        <f t="shared" si="10"/>
        <v>12.624846874999999</v>
      </c>
      <c r="V48" s="4">
        <f t="shared" si="10"/>
        <v>12.624846874999999</v>
      </c>
      <c r="W48" s="4">
        <f t="shared" si="10"/>
        <v>12.624846874999999</v>
      </c>
      <c r="X48" s="4">
        <f t="shared" si="20"/>
        <v>0</v>
      </c>
      <c r="Y48" s="4">
        <f t="shared" si="21"/>
        <v>0</v>
      </c>
      <c r="Z48" s="4">
        <f t="shared" si="22"/>
        <v>0</v>
      </c>
      <c r="AA48" s="4">
        <f t="shared" si="23"/>
        <v>0</v>
      </c>
      <c r="AB48" s="4">
        <f t="shared" si="24"/>
        <v>0</v>
      </c>
      <c r="AC48" s="4">
        <f t="shared" si="25"/>
        <v>0</v>
      </c>
      <c r="AD48" s="4">
        <f t="shared" si="26"/>
        <v>0</v>
      </c>
      <c r="AE48" s="4">
        <f t="shared" si="27"/>
        <v>0</v>
      </c>
      <c r="AF48" s="4">
        <f t="shared" si="28"/>
        <v>0</v>
      </c>
      <c r="AG48" s="4">
        <f t="shared" si="12"/>
        <v>0</v>
      </c>
      <c r="AH48" s="4">
        <f t="shared" si="29"/>
        <v>0.95</v>
      </c>
      <c r="AI48" s="4">
        <f t="shared" si="30"/>
        <v>0.45124999999999998</v>
      </c>
      <c r="AJ48" s="4">
        <f t="shared" si="31"/>
        <v>0</v>
      </c>
      <c r="AK48" s="4">
        <f t="shared" si="32"/>
        <v>0.61087968749999977</v>
      </c>
      <c r="AL48" s="4">
        <f t="shared" si="33"/>
        <v>0</v>
      </c>
      <c r="AM48" s="4">
        <f t="shared" si="34"/>
        <v>0</v>
      </c>
      <c r="AN48" s="4">
        <f t="shared" si="35"/>
        <v>0</v>
      </c>
      <c r="AO48" s="4">
        <f t="shared" si="36"/>
        <v>0</v>
      </c>
    </row>
    <row r="49" spans="1:41">
      <c r="A49">
        <f t="shared" si="37"/>
        <v>5</v>
      </c>
      <c r="B49">
        <f t="shared" si="2"/>
        <v>90</v>
      </c>
      <c r="C49">
        <f t="shared" si="3"/>
        <v>0</v>
      </c>
      <c r="D49">
        <f t="shared" si="4"/>
        <v>43</v>
      </c>
      <c r="E49">
        <f t="shared" si="5"/>
        <v>1</v>
      </c>
      <c r="F49">
        <f t="shared" si="14"/>
        <v>43</v>
      </c>
      <c r="G49">
        <f t="shared" si="6"/>
        <v>0.5</v>
      </c>
      <c r="H49">
        <f t="shared" si="0"/>
        <v>1</v>
      </c>
      <c r="I49">
        <f t="shared" si="1"/>
        <v>0.5</v>
      </c>
      <c r="J49">
        <f t="shared" si="15"/>
        <v>16.379010898437514</v>
      </c>
      <c r="K49">
        <f t="shared" si="16"/>
        <v>45.379010898437514</v>
      </c>
      <c r="L49">
        <f t="shared" si="17"/>
        <v>1366400.25</v>
      </c>
      <c r="M49">
        <f t="shared" si="7"/>
        <v>50</v>
      </c>
      <c r="N49">
        <f t="shared" si="8"/>
        <v>29</v>
      </c>
      <c r="O49" s="4">
        <f t="shared" si="9"/>
        <v>8.1999999999999993</v>
      </c>
      <c r="P49" s="4">
        <f t="shared" si="18"/>
        <v>7.7899999999999991</v>
      </c>
      <c r="Q49" s="4">
        <f t="shared" si="18"/>
        <v>7.4004999999999992</v>
      </c>
      <c r="R49" s="4">
        <f t="shared" si="18"/>
        <v>7.0304749999999991</v>
      </c>
      <c r="S49" s="4">
        <f t="shared" si="18"/>
        <v>5.049938749999999</v>
      </c>
      <c r="T49" s="4">
        <f t="shared" si="19"/>
        <v>0</v>
      </c>
      <c r="U49" s="4">
        <f t="shared" si="10"/>
        <v>0</v>
      </c>
      <c r="V49" s="4">
        <f t="shared" si="10"/>
        <v>11.993604531249998</v>
      </c>
      <c r="W49" s="4">
        <f t="shared" si="10"/>
        <v>11.993604531249998</v>
      </c>
      <c r="X49" s="4">
        <f t="shared" si="20"/>
        <v>0</v>
      </c>
      <c r="Y49" s="4">
        <f t="shared" si="21"/>
        <v>0</v>
      </c>
      <c r="Z49" s="4">
        <f t="shared" si="22"/>
        <v>0</v>
      </c>
      <c r="AA49" s="4">
        <f t="shared" si="23"/>
        <v>0</v>
      </c>
      <c r="AB49" s="4">
        <f t="shared" si="24"/>
        <v>0</v>
      </c>
      <c r="AC49" s="4">
        <f t="shared" si="25"/>
        <v>0</v>
      </c>
      <c r="AD49" s="4">
        <f t="shared" si="26"/>
        <v>0</v>
      </c>
      <c r="AE49" s="4">
        <f t="shared" si="27"/>
        <v>0</v>
      </c>
      <c r="AF49" s="4">
        <f t="shared" si="28"/>
        <v>0</v>
      </c>
      <c r="AG49" s="4">
        <f t="shared" si="12"/>
        <v>1</v>
      </c>
      <c r="AH49" s="4">
        <f t="shared" si="29"/>
        <v>0</v>
      </c>
      <c r="AI49" s="4">
        <f t="shared" si="30"/>
        <v>0.45124999999999998</v>
      </c>
      <c r="AJ49" s="4">
        <f t="shared" si="31"/>
        <v>0.21434374999999997</v>
      </c>
      <c r="AK49" s="4">
        <f t="shared" si="32"/>
        <v>0</v>
      </c>
      <c r="AL49" s="4">
        <f t="shared" si="33"/>
        <v>0.29016785156249986</v>
      </c>
      <c r="AM49" s="4">
        <f t="shared" si="34"/>
        <v>0</v>
      </c>
      <c r="AN49" s="4">
        <f t="shared" si="35"/>
        <v>0</v>
      </c>
      <c r="AO49" s="4">
        <f t="shared" si="36"/>
        <v>0</v>
      </c>
    </row>
    <row r="50" spans="1:41">
      <c r="A50">
        <f t="shared" ref="A50:A58" si="38">A49+1</f>
        <v>6</v>
      </c>
      <c r="B50">
        <f t="shared" si="2"/>
        <v>84</v>
      </c>
      <c r="C50">
        <f t="shared" si="3"/>
        <v>0</v>
      </c>
      <c r="D50">
        <f t="shared" si="4"/>
        <v>37</v>
      </c>
      <c r="E50">
        <f t="shared" si="5"/>
        <v>2</v>
      </c>
      <c r="F50">
        <f t="shared" si="14"/>
        <v>18.5</v>
      </c>
      <c r="G50">
        <f t="shared" si="6"/>
        <v>1</v>
      </c>
      <c r="H50">
        <f t="shared" si="0"/>
        <v>1</v>
      </c>
      <c r="I50">
        <f t="shared" si="1"/>
        <v>0.5</v>
      </c>
      <c r="J50">
        <f t="shared" si="15"/>
        <v>14.918605286132815</v>
      </c>
      <c r="K50">
        <f t="shared" si="16"/>
        <v>43.918605286132816</v>
      </c>
      <c r="L50">
        <f t="shared" si="17"/>
        <v>1175739.75</v>
      </c>
      <c r="M50">
        <f t="shared" si="7"/>
        <v>43</v>
      </c>
      <c r="N50">
        <f t="shared" si="8"/>
        <v>29</v>
      </c>
      <c r="O50" s="4">
        <f t="shared" si="9"/>
        <v>8.1999999999999993</v>
      </c>
      <c r="P50" s="4">
        <f t="shared" si="18"/>
        <v>7.7899999999999991</v>
      </c>
      <c r="Q50" s="4">
        <f t="shared" si="18"/>
        <v>7.4004999999999992</v>
      </c>
      <c r="R50" s="4">
        <f t="shared" si="18"/>
        <v>7.0304749999999991</v>
      </c>
      <c r="S50" s="4">
        <f t="shared" si="18"/>
        <v>6.678951249999999</v>
      </c>
      <c r="T50" s="4">
        <f t="shared" si="19"/>
        <v>4.7974418124999989</v>
      </c>
      <c r="U50" s="4">
        <f t="shared" si="10"/>
        <v>0</v>
      </c>
      <c r="V50" s="4">
        <f t="shared" si="10"/>
        <v>0</v>
      </c>
      <c r="W50" s="4">
        <f t="shared" si="10"/>
        <v>11.393924304687499</v>
      </c>
      <c r="X50" s="4">
        <f t="shared" si="20"/>
        <v>0</v>
      </c>
      <c r="Y50" s="4">
        <f t="shared" si="21"/>
        <v>0</v>
      </c>
      <c r="Z50" s="4">
        <f t="shared" si="22"/>
        <v>0</v>
      </c>
      <c r="AA50" s="4">
        <f t="shared" si="23"/>
        <v>0</v>
      </c>
      <c r="AB50" s="4">
        <f t="shared" si="24"/>
        <v>0</v>
      </c>
      <c r="AC50" s="4">
        <f t="shared" si="25"/>
        <v>0</v>
      </c>
      <c r="AD50" s="4">
        <f t="shared" si="26"/>
        <v>0</v>
      </c>
      <c r="AE50" s="4">
        <f t="shared" si="27"/>
        <v>0</v>
      </c>
      <c r="AF50" s="4">
        <f t="shared" si="28"/>
        <v>0</v>
      </c>
      <c r="AG50" s="4">
        <f t="shared" si="12"/>
        <v>1</v>
      </c>
      <c r="AH50" s="4">
        <f t="shared" si="29"/>
        <v>0.95</v>
      </c>
      <c r="AI50" s="4">
        <f t="shared" si="30"/>
        <v>0</v>
      </c>
      <c r="AJ50" s="4">
        <f t="shared" si="31"/>
        <v>0.21434374999999997</v>
      </c>
      <c r="AK50" s="4">
        <f t="shared" si="32"/>
        <v>0.10181328124999998</v>
      </c>
      <c r="AL50" s="4">
        <f t="shared" si="33"/>
        <v>0</v>
      </c>
      <c r="AM50" s="4">
        <f t="shared" si="34"/>
        <v>0.13782972949218741</v>
      </c>
      <c r="AN50" s="4">
        <f t="shared" si="35"/>
        <v>0</v>
      </c>
      <c r="AO50" s="4">
        <f t="shared" si="36"/>
        <v>0</v>
      </c>
    </row>
    <row r="51" spans="1:41">
      <c r="A51">
        <f t="shared" si="38"/>
        <v>7</v>
      </c>
      <c r="B51">
        <f t="shared" si="2"/>
        <v>80</v>
      </c>
      <c r="C51">
        <f t="shared" si="3"/>
        <v>0</v>
      </c>
      <c r="D51">
        <f t="shared" si="4"/>
        <v>32</v>
      </c>
      <c r="E51">
        <f t="shared" si="5"/>
        <v>3</v>
      </c>
      <c r="F51">
        <f t="shared" si="14"/>
        <v>10.666666666666666</v>
      </c>
      <c r="G51">
        <f t="shared" si="6"/>
        <v>0.5</v>
      </c>
      <c r="H51">
        <f t="shared" si="0"/>
        <v>1</v>
      </c>
      <c r="I51">
        <f t="shared" si="1"/>
        <v>0.5</v>
      </c>
      <c r="J51">
        <f t="shared" si="15"/>
        <v>13.608992045849622</v>
      </c>
      <c r="K51">
        <f t="shared" si="16"/>
        <v>42.608992045849618</v>
      </c>
      <c r="L51">
        <f t="shared" si="17"/>
        <v>1016856</v>
      </c>
      <c r="M51">
        <f t="shared" si="7"/>
        <v>37</v>
      </c>
      <c r="N51">
        <f t="shared" si="8"/>
        <v>29</v>
      </c>
      <c r="O51" s="4">
        <f t="shared" si="9"/>
        <v>8.1999999999999993</v>
      </c>
      <c r="P51" s="4">
        <f t="shared" si="18"/>
        <v>7.7899999999999991</v>
      </c>
      <c r="Q51" s="4">
        <f t="shared" si="18"/>
        <v>7.4004999999999992</v>
      </c>
      <c r="R51" s="4">
        <f t="shared" si="18"/>
        <v>7.0304749999999991</v>
      </c>
      <c r="S51" s="4">
        <f t="shared" si="18"/>
        <v>6.678951249999999</v>
      </c>
      <c r="T51" s="4">
        <f t="shared" si="19"/>
        <v>6.3450036874999984</v>
      </c>
      <c r="U51" s="4">
        <f t="shared" si="10"/>
        <v>4.5575697218749989</v>
      </c>
      <c r="V51" s="4">
        <f t="shared" si="10"/>
        <v>0</v>
      </c>
      <c r="W51" s="4">
        <f t="shared" si="10"/>
        <v>0</v>
      </c>
      <c r="X51" s="4">
        <f t="shared" si="20"/>
        <v>0</v>
      </c>
      <c r="Y51" s="4">
        <f t="shared" si="21"/>
        <v>0</v>
      </c>
      <c r="Z51" s="4">
        <f t="shared" si="22"/>
        <v>0</v>
      </c>
      <c r="AA51" s="4">
        <f t="shared" si="23"/>
        <v>0</v>
      </c>
      <c r="AB51" s="4">
        <f t="shared" si="24"/>
        <v>0</v>
      </c>
      <c r="AC51" s="4">
        <f t="shared" si="25"/>
        <v>0</v>
      </c>
      <c r="AD51" s="4">
        <f t="shared" si="26"/>
        <v>0</v>
      </c>
      <c r="AE51" s="4">
        <f t="shared" si="27"/>
        <v>0</v>
      </c>
      <c r="AF51" s="4">
        <f t="shared" si="28"/>
        <v>0</v>
      </c>
      <c r="AG51" s="4">
        <f t="shared" si="12"/>
        <v>1</v>
      </c>
      <c r="AH51" s="4">
        <f t="shared" si="29"/>
        <v>0.95</v>
      </c>
      <c r="AI51" s="4">
        <f t="shared" si="30"/>
        <v>0.90249999999999997</v>
      </c>
      <c r="AJ51" s="4">
        <f t="shared" si="31"/>
        <v>0</v>
      </c>
      <c r="AK51" s="4">
        <f t="shared" si="32"/>
        <v>0.20362656249999997</v>
      </c>
      <c r="AL51" s="4">
        <f t="shared" si="33"/>
        <v>9.6722617187499985E-2</v>
      </c>
      <c r="AM51" s="4">
        <f t="shared" si="34"/>
        <v>0</v>
      </c>
      <c r="AN51" s="4">
        <f t="shared" si="35"/>
        <v>0.13093824301757803</v>
      </c>
      <c r="AO51" s="4">
        <f t="shared" si="36"/>
        <v>0</v>
      </c>
    </row>
    <row r="52" spans="1:41">
      <c r="A52">
        <f t="shared" si="38"/>
        <v>8</v>
      </c>
      <c r="B52">
        <f t="shared" si="2"/>
        <v>84</v>
      </c>
      <c r="C52">
        <f t="shared" si="3"/>
        <v>0</v>
      </c>
      <c r="D52">
        <f t="shared" si="4"/>
        <v>37</v>
      </c>
      <c r="E52">
        <f t="shared" si="5"/>
        <v>2</v>
      </c>
      <c r="F52">
        <f t="shared" si="14"/>
        <v>18.5</v>
      </c>
      <c r="G52">
        <f t="shared" si="6"/>
        <v>0.5</v>
      </c>
      <c r="H52">
        <f t="shared" si="0"/>
        <v>1</v>
      </c>
      <c r="I52">
        <f t="shared" si="1"/>
        <v>0.5</v>
      </c>
      <c r="J52">
        <f t="shared" si="15"/>
        <v>3.649113379888925</v>
      </c>
      <c r="K52">
        <f t="shared" si="16"/>
        <v>32.649113379888924</v>
      </c>
      <c r="L52">
        <f t="shared" si="17"/>
        <v>1175739.75</v>
      </c>
      <c r="M52">
        <f t="shared" si="7"/>
        <v>32</v>
      </c>
      <c r="N52">
        <f t="shared" si="8"/>
        <v>29</v>
      </c>
      <c r="O52" s="4">
        <f t="shared" si="9"/>
        <v>8.1999999999999993</v>
      </c>
      <c r="P52" s="4">
        <f t="shared" si="18"/>
        <v>7.7899999999999991</v>
      </c>
      <c r="Q52" s="4">
        <f t="shared" si="18"/>
        <v>7.4004999999999992</v>
      </c>
      <c r="R52" s="4">
        <f t="shared" si="18"/>
        <v>7.0304749999999991</v>
      </c>
      <c r="S52" s="4">
        <f t="shared" si="18"/>
        <v>6.678951249999999</v>
      </c>
      <c r="T52" s="4">
        <f t="shared" si="19"/>
        <v>6.3450036874999984</v>
      </c>
      <c r="U52" s="4">
        <f t="shared" si="10"/>
        <v>6.0277535031249982</v>
      </c>
      <c r="V52" s="4">
        <f t="shared" si="10"/>
        <v>4.3296912357812491</v>
      </c>
      <c r="W52" s="4">
        <f t="shared" si="10"/>
        <v>0</v>
      </c>
      <c r="X52" s="4">
        <f t="shared" si="20"/>
        <v>0</v>
      </c>
      <c r="Y52" s="4">
        <f t="shared" si="21"/>
        <v>0</v>
      </c>
      <c r="Z52" s="4">
        <f t="shared" si="22"/>
        <v>0</v>
      </c>
      <c r="AA52" s="4">
        <f t="shared" si="23"/>
        <v>0</v>
      </c>
      <c r="AB52" s="4">
        <f t="shared" si="24"/>
        <v>0</v>
      </c>
      <c r="AC52" s="4">
        <f t="shared" si="25"/>
        <v>0</v>
      </c>
      <c r="AD52" s="4">
        <f t="shared" si="26"/>
        <v>0</v>
      </c>
      <c r="AE52" s="4">
        <f t="shared" si="27"/>
        <v>0</v>
      </c>
      <c r="AF52" s="4">
        <f t="shared" si="28"/>
        <v>0</v>
      </c>
      <c r="AG52" s="4">
        <f t="shared" si="12"/>
        <v>0</v>
      </c>
      <c r="AH52" s="4">
        <f t="shared" si="29"/>
        <v>0.95</v>
      </c>
      <c r="AI52" s="4">
        <f t="shared" si="30"/>
        <v>0.45124999999999998</v>
      </c>
      <c r="AJ52" s="4">
        <f t="shared" si="31"/>
        <v>0.42868749999999994</v>
      </c>
      <c r="AK52" s="4">
        <f t="shared" si="32"/>
        <v>0</v>
      </c>
      <c r="AL52" s="4">
        <f t="shared" si="33"/>
        <v>9.6722617187499985E-2</v>
      </c>
      <c r="AM52" s="4">
        <f t="shared" si="34"/>
        <v>4.5943243164062487E-2</v>
      </c>
      <c r="AN52" s="4">
        <f t="shared" si="35"/>
        <v>0</v>
      </c>
      <c r="AO52" s="4">
        <f t="shared" si="36"/>
        <v>6.2195665433349562E-2</v>
      </c>
    </row>
    <row r="53" spans="1:41">
      <c r="A53">
        <f t="shared" si="38"/>
        <v>9</v>
      </c>
      <c r="B53">
        <f t="shared" si="2"/>
        <v>90</v>
      </c>
      <c r="C53">
        <f t="shared" si="3"/>
        <v>0</v>
      </c>
      <c r="D53">
        <f t="shared" si="4"/>
        <v>43</v>
      </c>
      <c r="E53">
        <f t="shared" si="5"/>
        <v>1</v>
      </c>
      <c r="F53">
        <f t="shared" si="14"/>
        <v>43</v>
      </c>
      <c r="G53">
        <f t="shared" si="6"/>
        <v>0.5</v>
      </c>
      <c r="H53">
        <f t="shared" si="0"/>
        <v>1</v>
      </c>
      <c r="I53">
        <f t="shared" si="1"/>
        <v>0.5</v>
      </c>
      <c r="J53">
        <f t="shared" si="15"/>
        <v>3.7879311634382411</v>
      </c>
      <c r="K53">
        <f t="shared" si="16"/>
        <v>32.787931163438245</v>
      </c>
      <c r="L53">
        <f t="shared" si="17"/>
        <v>1366400.25</v>
      </c>
      <c r="M53">
        <f t="shared" si="7"/>
        <v>37</v>
      </c>
      <c r="N53">
        <f t="shared" si="8"/>
        <v>29</v>
      </c>
      <c r="O53" s="4">
        <f t="shared" si="9"/>
        <v>8.1999999999999993</v>
      </c>
      <c r="P53" s="4">
        <f t="shared" si="18"/>
        <v>7.7899999999999991</v>
      </c>
      <c r="Q53" s="4">
        <f t="shared" si="18"/>
        <v>7.4004999999999992</v>
      </c>
      <c r="R53" s="4">
        <f t="shared" si="18"/>
        <v>7.0304749999999991</v>
      </c>
      <c r="S53" s="4">
        <f t="shared" si="18"/>
        <v>6.678951249999999</v>
      </c>
      <c r="T53" s="4">
        <f t="shared" si="19"/>
        <v>6.3450036874999984</v>
      </c>
      <c r="U53" s="4">
        <f t="shared" si="10"/>
        <v>6.0277535031249982</v>
      </c>
      <c r="V53" s="4">
        <f t="shared" si="10"/>
        <v>5.7263658279687482</v>
      </c>
      <c r="W53" s="4">
        <f t="shared" si="10"/>
        <v>4.1132066739921864</v>
      </c>
      <c r="X53" s="4">
        <f t="shared" si="20"/>
        <v>0</v>
      </c>
      <c r="Y53" s="4">
        <f t="shared" si="21"/>
        <v>0</v>
      </c>
      <c r="Z53" s="4">
        <f t="shared" si="22"/>
        <v>0</v>
      </c>
      <c r="AA53" s="4">
        <f t="shared" si="23"/>
        <v>0</v>
      </c>
      <c r="AB53" s="4">
        <f t="shared" si="24"/>
        <v>0</v>
      </c>
      <c r="AC53" s="4">
        <f t="shared" si="25"/>
        <v>0</v>
      </c>
      <c r="AD53" s="4">
        <f t="shared" si="26"/>
        <v>0</v>
      </c>
      <c r="AE53" s="4">
        <f t="shared" si="27"/>
        <v>0</v>
      </c>
      <c r="AF53" s="4">
        <f t="shared" si="28"/>
        <v>0</v>
      </c>
      <c r="AG53" s="4">
        <f t="shared" si="12"/>
        <v>1</v>
      </c>
      <c r="AH53" s="4">
        <f t="shared" si="29"/>
        <v>0</v>
      </c>
      <c r="AI53" s="4">
        <f t="shared" si="30"/>
        <v>0.45124999999999998</v>
      </c>
      <c r="AJ53" s="4">
        <f t="shared" si="31"/>
        <v>0.21434374999999997</v>
      </c>
      <c r="AK53" s="4">
        <f t="shared" si="32"/>
        <v>0.20362656249999997</v>
      </c>
      <c r="AL53" s="4">
        <f t="shared" si="33"/>
        <v>0</v>
      </c>
      <c r="AM53" s="4">
        <f t="shared" si="34"/>
        <v>4.5943243164062487E-2</v>
      </c>
      <c r="AN53" s="4">
        <f t="shared" si="35"/>
        <v>2.1823040502929679E-2</v>
      </c>
      <c r="AO53" s="4">
        <f t="shared" si="36"/>
        <v>0</v>
      </c>
    </row>
    <row r="54" spans="1:41">
      <c r="A54">
        <f t="shared" si="38"/>
        <v>10</v>
      </c>
      <c r="B54">
        <f t="shared" si="2"/>
        <v>92</v>
      </c>
      <c r="C54">
        <f t="shared" si="3"/>
        <v>0</v>
      </c>
      <c r="D54">
        <f t="shared" si="4"/>
        <v>44</v>
      </c>
      <c r="E54">
        <f t="shared" si="5"/>
        <v>2</v>
      </c>
      <c r="F54">
        <f t="shared" si="14"/>
        <v>22</v>
      </c>
      <c r="G54">
        <f t="shared" si="6"/>
        <v>1</v>
      </c>
      <c r="H54">
        <f t="shared" si="0"/>
        <v>1</v>
      </c>
      <c r="I54">
        <f t="shared" si="1"/>
        <v>0.5</v>
      </c>
      <c r="J54">
        <f t="shared" si="15"/>
        <v>7.4150771004095475</v>
      </c>
      <c r="K54">
        <f t="shared" si="16"/>
        <v>36.415077100409547</v>
      </c>
      <c r="L54">
        <f t="shared" si="17"/>
        <v>1398177</v>
      </c>
      <c r="M54">
        <f t="shared" si="7"/>
        <v>43</v>
      </c>
      <c r="N54">
        <f t="shared" si="8"/>
        <v>29</v>
      </c>
      <c r="O54" s="4">
        <f t="shared" si="9"/>
        <v>8.1999999999999993</v>
      </c>
      <c r="P54" s="4">
        <f t="shared" si="18"/>
        <v>7.7899999999999991</v>
      </c>
      <c r="Q54" s="4">
        <f t="shared" si="18"/>
        <v>7.4004999999999992</v>
      </c>
      <c r="R54" s="4">
        <f t="shared" si="18"/>
        <v>7.0304749999999991</v>
      </c>
      <c r="S54" s="4">
        <f t="shared" si="18"/>
        <v>6.678951249999999</v>
      </c>
      <c r="T54" s="4">
        <f t="shared" si="19"/>
        <v>6.3450036874999984</v>
      </c>
      <c r="U54" s="4">
        <f t="shared" si="10"/>
        <v>6.0277535031249982</v>
      </c>
      <c r="V54" s="4">
        <f t="shared" si="10"/>
        <v>5.7263658279687482</v>
      </c>
      <c r="W54" s="4">
        <f t="shared" si="10"/>
        <v>5.4400475365703107</v>
      </c>
      <c r="X54" s="4">
        <f t="shared" si="20"/>
        <v>0</v>
      </c>
      <c r="Y54" s="4">
        <f t="shared" si="21"/>
        <v>0</v>
      </c>
      <c r="Z54" s="4">
        <f t="shared" si="22"/>
        <v>0</v>
      </c>
      <c r="AA54" s="4">
        <f t="shared" si="23"/>
        <v>0</v>
      </c>
      <c r="AB54" s="4">
        <f t="shared" si="24"/>
        <v>0</v>
      </c>
      <c r="AC54" s="4">
        <f t="shared" si="25"/>
        <v>0</v>
      </c>
      <c r="AD54" s="4">
        <f t="shared" si="26"/>
        <v>0</v>
      </c>
      <c r="AE54" s="4">
        <f t="shared" si="27"/>
        <v>0</v>
      </c>
      <c r="AF54" s="4">
        <f t="shared" si="28"/>
        <v>0</v>
      </c>
      <c r="AG54" s="4">
        <f t="shared" si="12"/>
        <v>1</v>
      </c>
      <c r="AH54" s="4">
        <f t="shared" si="29"/>
        <v>0.95</v>
      </c>
      <c r="AI54" s="4">
        <f t="shared" si="30"/>
        <v>0</v>
      </c>
      <c r="AJ54" s="4">
        <f t="shared" si="31"/>
        <v>0.21434374999999997</v>
      </c>
      <c r="AK54" s="4">
        <f t="shared" si="32"/>
        <v>0.10181328124999998</v>
      </c>
      <c r="AL54" s="4">
        <f t="shared" si="33"/>
        <v>9.6722617187499985E-2</v>
      </c>
      <c r="AM54" s="4">
        <f t="shared" si="34"/>
        <v>0</v>
      </c>
      <c r="AN54" s="4">
        <f t="shared" si="35"/>
        <v>2.1823040502929679E-2</v>
      </c>
      <c r="AO54" s="4">
        <f t="shared" si="36"/>
        <v>1.0365944238891598E-2</v>
      </c>
    </row>
    <row r="55" spans="1:41">
      <c r="A55">
        <f t="shared" si="38"/>
        <v>11</v>
      </c>
      <c r="B55">
        <f t="shared" si="2"/>
        <v>92</v>
      </c>
      <c r="C55">
        <f t="shared" si="3"/>
        <v>0</v>
      </c>
      <c r="D55">
        <f t="shared" si="4"/>
        <v>44</v>
      </c>
      <c r="E55">
        <f t="shared" si="5"/>
        <v>3</v>
      </c>
      <c r="F55">
        <f t="shared" si="14"/>
        <v>14.666666666666666</v>
      </c>
      <c r="G55">
        <f t="shared" si="6"/>
        <v>0.5</v>
      </c>
      <c r="H55">
        <f t="shared" si="0"/>
        <v>1</v>
      </c>
      <c r="I55">
        <f t="shared" si="1"/>
        <v>0.5</v>
      </c>
      <c r="J55">
        <f t="shared" si="15"/>
        <v>8.329601078685922</v>
      </c>
      <c r="K55">
        <f t="shared" si="16"/>
        <v>37.329601078685926</v>
      </c>
      <c r="L55">
        <f t="shared" si="17"/>
        <v>1398177</v>
      </c>
      <c r="M55">
        <f t="shared" si="7"/>
        <v>44</v>
      </c>
      <c r="N55">
        <f t="shared" si="8"/>
        <v>29</v>
      </c>
      <c r="O55" s="4">
        <f t="shared" si="9"/>
        <v>8.1999999999999993</v>
      </c>
      <c r="P55" s="4">
        <f t="shared" si="18"/>
        <v>7.7899999999999991</v>
      </c>
      <c r="Q55" s="4">
        <f t="shared" si="18"/>
        <v>7.4004999999999992</v>
      </c>
      <c r="R55" s="4">
        <f t="shared" si="18"/>
        <v>7.0304749999999991</v>
      </c>
      <c r="S55" s="4">
        <f t="shared" si="18"/>
        <v>6.678951249999999</v>
      </c>
      <c r="T55" s="4">
        <f t="shared" si="19"/>
        <v>6.3450036874999984</v>
      </c>
      <c r="U55" s="4">
        <f t="shared" si="10"/>
        <v>6.0277535031249982</v>
      </c>
      <c r="V55" s="4">
        <f t="shared" si="10"/>
        <v>5.7263658279687482</v>
      </c>
      <c r="W55" s="4">
        <f t="shared" si="10"/>
        <v>5.4400475365703107</v>
      </c>
      <c r="X55" s="4">
        <f t="shared" si="20"/>
        <v>0</v>
      </c>
      <c r="Y55" s="4">
        <f t="shared" si="21"/>
        <v>0</v>
      </c>
      <c r="Z55" s="4">
        <f t="shared" si="22"/>
        <v>0</v>
      </c>
      <c r="AA55" s="4">
        <f t="shared" si="23"/>
        <v>0</v>
      </c>
      <c r="AB55" s="4">
        <f t="shared" si="24"/>
        <v>0</v>
      </c>
      <c r="AC55" s="4">
        <f t="shared" si="25"/>
        <v>0</v>
      </c>
      <c r="AD55" s="4">
        <f t="shared" si="26"/>
        <v>0</v>
      </c>
      <c r="AE55" s="4">
        <f t="shared" si="27"/>
        <v>0</v>
      </c>
      <c r="AF55" s="4">
        <f t="shared" si="28"/>
        <v>0</v>
      </c>
      <c r="AG55" s="4">
        <f t="shared" si="12"/>
        <v>1</v>
      </c>
      <c r="AH55" s="4">
        <f t="shared" si="29"/>
        <v>0.95</v>
      </c>
      <c r="AI55" s="4">
        <f t="shared" si="30"/>
        <v>0.90249999999999997</v>
      </c>
      <c r="AJ55" s="4">
        <f t="shared" si="31"/>
        <v>0</v>
      </c>
      <c r="AK55" s="4">
        <f t="shared" si="32"/>
        <v>0.20362656249999997</v>
      </c>
      <c r="AL55" s="4">
        <f t="shared" si="33"/>
        <v>9.6722617187499985E-2</v>
      </c>
      <c r="AM55" s="4">
        <f t="shared" si="34"/>
        <v>9.1886486328124975E-2</v>
      </c>
      <c r="AN55" s="4">
        <f t="shared" si="35"/>
        <v>0</v>
      </c>
      <c r="AO55" s="4">
        <f t="shared" si="36"/>
        <v>2.0731888477783195E-2</v>
      </c>
    </row>
    <row r="56" spans="1:41">
      <c r="A56">
        <f t="shared" si="38"/>
        <v>12</v>
      </c>
      <c r="B56">
        <f t="shared" si="2"/>
        <v>91</v>
      </c>
      <c r="C56">
        <f t="shared" si="3"/>
        <v>0</v>
      </c>
      <c r="D56">
        <f t="shared" si="4"/>
        <v>44</v>
      </c>
      <c r="E56">
        <f t="shared" si="5"/>
        <v>2</v>
      </c>
      <c r="F56">
        <f t="shared" si="14"/>
        <v>22</v>
      </c>
      <c r="G56">
        <f t="shared" si="6"/>
        <v>0.5</v>
      </c>
      <c r="H56">
        <f t="shared" si="0"/>
        <v>1</v>
      </c>
      <c r="I56">
        <f t="shared" si="1"/>
        <v>0.5</v>
      </c>
      <c r="J56">
        <f t="shared" si="15"/>
        <v>9.4492181131359931</v>
      </c>
      <c r="K56">
        <f t="shared" si="16"/>
        <v>38.449218113135991</v>
      </c>
      <c r="L56">
        <f t="shared" si="17"/>
        <v>1398177</v>
      </c>
      <c r="M56">
        <f t="shared" si="7"/>
        <v>44</v>
      </c>
      <c r="N56">
        <f t="shared" si="8"/>
        <v>29</v>
      </c>
      <c r="O56" s="4">
        <f t="shared" si="9"/>
        <v>8.1999999999999993</v>
      </c>
      <c r="P56" s="4">
        <f t="shared" si="18"/>
        <v>7.7899999999999991</v>
      </c>
      <c r="Q56" s="4">
        <f t="shared" si="18"/>
        <v>7.4004999999999992</v>
      </c>
      <c r="R56" s="4">
        <f t="shared" si="18"/>
        <v>7.0304749999999991</v>
      </c>
      <c r="S56" s="4">
        <f t="shared" si="18"/>
        <v>6.678951249999999</v>
      </c>
      <c r="T56" s="4">
        <f t="shared" si="19"/>
        <v>6.3450036874999984</v>
      </c>
      <c r="U56" s="4">
        <f t="shared" si="10"/>
        <v>6.0277535031249982</v>
      </c>
      <c r="V56" s="4">
        <f t="shared" si="10"/>
        <v>5.7263658279687482</v>
      </c>
      <c r="W56" s="4">
        <f t="shared" si="10"/>
        <v>5.4400475365703107</v>
      </c>
      <c r="X56" s="4">
        <f t="shared" si="20"/>
        <v>0</v>
      </c>
      <c r="Y56" s="4">
        <f t="shared" si="21"/>
        <v>0</v>
      </c>
      <c r="Z56" s="4">
        <f t="shared" si="22"/>
        <v>0</v>
      </c>
      <c r="AA56" s="4">
        <f t="shared" si="23"/>
        <v>0</v>
      </c>
      <c r="AB56" s="4">
        <f t="shared" si="24"/>
        <v>0</v>
      </c>
      <c r="AC56" s="4">
        <f t="shared" si="25"/>
        <v>0</v>
      </c>
      <c r="AD56" s="4">
        <f t="shared" si="26"/>
        <v>0</v>
      </c>
      <c r="AE56" s="4">
        <f t="shared" si="27"/>
        <v>0</v>
      </c>
      <c r="AF56" s="4">
        <f t="shared" si="28"/>
        <v>0</v>
      </c>
      <c r="AG56" s="4">
        <f t="shared" si="12"/>
        <v>0</v>
      </c>
      <c r="AH56" s="4">
        <f t="shared" si="29"/>
        <v>0.95</v>
      </c>
      <c r="AI56" s="4">
        <f t="shared" si="30"/>
        <v>0.45124999999999998</v>
      </c>
      <c r="AJ56" s="4">
        <f t="shared" si="31"/>
        <v>0.42868749999999994</v>
      </c>
      <c r="AK56" s="4">
        <f t="shared" si="32"/>
        <v>0</v>
      </c>
      <c r="AL56" s="4">
        <f t="shared" si="33"/>
        <v>9.6722617187499985E-2</v>
      </c>
      <c r="AM56" s="4">
        <f t="shared" si="34"/>
        <v>4.5943243164062487E-2</v>
      </c>
      <c r="AN56" s="4">
        <f t="shared" si="35"/>
        <v>4.3646081005859358E-2</v>
      </c>
      <c r="AO56" s="4">
        <f t="shared" si="36"/>
        <v>0</v>
      </c>
    </row>
    <row r="57" spans="1:41">
      <c r="A57">
        <f t="shared" si="38"/>
        <v>13</v>
      </c>
      <c r="B57">
        <f t="shared" si="2"/>
        <v>91</v>
      </c>
      <c r="C57">
        <f t="shared" si="3"/>
        <v>0</v>
      </c>
      <c r="D57">
        <f t="shared" si="4"/>
        <v>44</v>
      </c>
      <c r="E57">
        <f t="shared" si="5"/>
        <v>1</v>
      </c>
      <c r="F57">
        <f t="shared" si="14"/>
        <v>44</v>
      </c>
      <c r="G57">
        <f t="shared" si="6"/>
        <v>0.5</v>
      </c>
      <c r="H57">
        <f t="shared" si="0"/>
        <v>1</v>
      </c>
      <c r="I57">
        <f t="shared" si="1"/>
        <v>0.5</v>
      </c>
      <c r="J57">
        <f t="shared" si="15"/>
        <v>9.2585309567126579</v>
      </c>
      <c r="K57">
        <f t="shared" si="16"/>
        <v>38.258530956712661</v>
      </c>
      <c r="L57">
        <f t="shared" si="17"/>
        <v>1398177</v>
      </c>
      <c r="M57">
        <f t="shared" si="7"/>
        <v>44</v>
      </c>
      <c r="N57">
        <f t="shared" si="8"/>
        <v>29</v>
      </c>
      <c r="O57" s="4">
        <f t="shared" si="9"/>
        <v>8.1999999999999993</v>
      </c>
      <c r="P57" s="4">
        <f t="shared" si="18"/>
        <v>7.7899999999999991</v>
      </c>
      <c r="Q57" s="4">
        <f t="shared" si="18"/>
        <v>7.4004999999999992</v>
      </c>
      <c r="R57" s="4">
        <f t="shared" si="18"/>
        <v>7.0304749999999991</v>
      </c>
      <c r="S57" s="4">
        <f t="shared" si="18"/>
        <v>6.678951249999999</v>
      </c>
      <c r="T57" s="4">
        <f t="shared" si="19"/>
        <v>6.3450036874999984</v>
      </c>
      <c r="U57" s="4">
        <f t="shared" si="10"/>
        <v>6.0277535031249982</v>
      </c>
      <c r="V57" s="4">
        <f t="shared" si="10"/>
        <v>5.7263658279687482</v>
      </c>
      <c r="W57" s="4">
        <f t="shared" si="10"/>
        <v>5.4400475365703107</v>
      </c>
      <c r="X57" s="4">
        <f t="shared" si="20"/>
        <v>0</v>
      </c>
      <c r="Y57" s="4">
        <f t="shared" si="21"/>
        <v>0</v>
      </c>
      <c r="Z57" s="4">
        <f t="shared" si="22"/>
        <v>0</v>
      </c>
      <c r="AA57" s="4">
        <f t="shared" si="23"/>
        <v>0</v>
      </c>
      <c r="AB57" s="4">
        <f t="shared" si="24"/>
        <v>0</v>
      </c>
      <c r="AC57" s="4">
        <f t="shared" si="25"/>
        <v>0</v>
      </c>
      <c r="AD57" s="4">
        <f t="shared" si="26"/>
        <v>0</v>
      </c>
      <c r="AE57" s="4">
        <f t="shared" si="27"/>
        <v>0</v>
      </c>
      <c r="AF57" s="4">
        <f t="shared" si="28"/>
        <v>0</v>
      </c>
      <c r="AG57" s="4">
        <f t="shared" si="12"/>
        <v>1</v>
      </c>
      <c r="AH57" s="4">
        <f t="shared" si="29"/>
        <v>0</v>
      </c>
      <c r="AI57" s="4">
        <f t="shared" si="30"/>
        <v>0.45124999999999998</v>
      </c>
      <c r="AJ57" s="4">
        <f t="shared" si="31"/>
        <v>0.21434374999999997</v>
      </c>
      <c r="AK57" s="4">
        <f t="shared" si="32"/>
        <v>0.20362656249999997</v>
      </c>
      <c r="AL57" s="4">
        <f t="shared" si="33"/>
        <v>0</v>
      </c>
      <c r="AM57" s="4">
        <f t="shared" si="34"/>
        <v>4.5943243164062487E-2</v>
      </c>
      <c r="AN57" s="4">
        <f t="shared" si="35"/>
        <v>2.1823040502929679E-2</v>
      </c>
      <c r="AO57" s="4">
        <f t="shared" si="36"/>
        <v>2.0731888477783195E-2</v>
      </c>
    </row>
    <row r="58" spans="1:41">
      <c r="A58">
        <f t="shared" si="38"/>
        <v>14</v>
      </c>
      <c r="B58">
        <f t="shared" si="2"/>
        <v>92</v>
      </c>
      <c r="C58">
        <f t="shared" si="3"/>
        <v>0</v>
      </c>
      <c r="D58">
        <f t="shared" si="4"/>
        <v>44</v>
      </c>
      <c r="E58">
        <f t="shared" si="5"/>
        <v>2</v>
      </c>
      <c r="F58">
        <f t="shared" si="14"/>
        <v>22</v>
      </c>
      <c r="G58">
        <f t="shared" si="6"/>
        <v>1</v>
      </c>
      <c r="H58">
        <f t="shared" si="0"/>
        <v>1</v>
      </c>
      <c r="I58">
        <f t="shared" si="1"/>
        <v>0.5</v>
      </c>
      <c r="J58">
        <f t="shared" si="15"/>
        <v>8.7626498514654543</v>
      </c>
      <c r="K58">
        <f t="shared" si="16"/>
        <v>37.762649851465454</v>
      </c>
      <c r="L58">
        <f t="shared" si="17"/>
        <v>1398177</v>
      </c>
      <c r="M58">
        <f t="shared" si="7"/>
        <v>44</v>
      </c>
      <c r="N58">
        <f t="shared" si="8"/>
        <v>29</v>
      </c>
      <c r="O58" s="4">
        <f t="shared" si="9"/>
        <v>8.1999999999999993</v>
      </c>
      <c r="P58" s="4">
        <f t="shared" si="18"/>
        <v>7.7899999999999991</v>
      </c>
      <c r="Q58" s="4">
        <f t="shared" si="18"/>
        <v>7.4004999999999992</v>
      </c>
      <c r="R58" s="4">
        <f t="shared" si="18"/>
        <v>7.0304749999999991</v>
      </c>
      <c r="S58" s="4">
        <f t="shared" si="18"/>
        <v>6.678951249999999</v>
      </c>
      <c r="T58" s="4">
        <f t="shared" si="19"/>
        <v>6.3450036874999984</v>
      </c>
      <c r="U58" s="4">
        <f t="shared" si="10"/>
        <v>6.0277535031249982</v>
      </c>
      <c r="V58" s="4">
        <f t="shared" si="10"/>
        <v>5.7263658279687482</v>
      </c>
      <c r="W58" s="4">
        <f t="shared" si="10"/>
        <v>5.4400475365703107</v>
      </c>
      <c r="X58" s="4">
        <f t="shared" si="20"/>
        <v>0</v>
      </c>
      <c r="Y58" s="4">
        <f t="shared" si="21"/>
        <v>0</v>
      </c>
      <c r="Z58" s="4">
        <f t="shared" si="22"/>
        <v>0</v>
      </c>
      <c r="AA58" s="4">
        <f t="shared" si="23"/>
        <v>0</v>
      </c>
      <c r="AB58" s="4">
        <f t="shared" si="24"/>
        <v>0</v>
      </c>
      <c r="AC58" s="4">
        <f t="shared" si="25"/>
        <v>0</v>
      </c>
      <c r="AD58" s="4">
        <f t="shared" si="26"/>
        <v>0</v>
      </c>
      <c r="AE58" s="4">
        <f t="shared" si="27"/>
        <v>0</v>
      </c>
      <c r="AF58" s="4">
        <f t="shared" si="28"/>
        <v>0</v>
      </c>
      <c r="AG58" s="4">
        <f t="shared" si="12"/>
        <v>1</v>
      </c>
      <c r="AH58" s="4">
        <f t="shared" si="29"/>
        <v>0.95</v>
      </c>
      <c r="AI58" s="4">
        <f t="shared" si="30"/>
        <v>0</v>
      </c>
      <c r="AJ58" s="4">
        <f t="shared" si="31"/>
        <v>0.21434374999999997</v>
      </c>
      <c r="AK58" s="4">
        <f t="shared" si="32"/>
        <v>0.10181328124999998</v>
      </c>
      <c r="AL58" s="4">
        <f t="shared" si="33"/>
        <v>9.6722617187499985E-2</v>
      </c>
      <c r="AM58" s="4">
        <f t="shared" si="34"/>
        <v>0</v>
      </c>
      <c r="AN58" s="4">
        <f t="shared" si="35"/>
        <v>2.1823040502929679E-2</v>
      </c>
      <c r="AO58" s="4">
        <f t="shared" si="36"/>
        <v>1.0365944238891598E-2</v>
      </c>
    </row>
    <row r="59" spans="1:41">
      <c r="A59">
        <f t="shared" ref="A59:A71" si="39">A58+1</f>
        <v>15</v>
      </c>
      <c r="B59">
        <f t="shared" si="2"/>
        <v>92</v>
      </c>
      <c r="C59">
        <f t="shared" si="3"/>
        <v>0</v>
      </c>
      <c r="D59">
        <f t="shared" si="4"/>
        <v>44</v>
      </c>
      <c r="E59">
        <f t="shared" si="5"/>
        <v>3</v>
      </c>
      <c r="F59">
        <f t="shared" si="14"/>
        <v>14.666666666666666</v>
      </c>
      <c r="G59">
        <f t="shared" si="6"/>
        <v>0.5</v>
      </c>
      <c r="H59">
        <f t="shared" si="0"/>
        <v>1</v>
      </c>
      <c r="I59">
        <f t="shared" si="1"/>
        <v>0.5</v>
      </c>
      <c r="J59">
        <f t="shared" si="15"/>
        <v>8.329601078685922</v>
      </c>
      <c r="K59">
        <f t="shared" si="16"/>
        <v>37.329601078685926</v>
      </c>
      <c r="L59">
        <f t="shared" si="17"/>
        <v>1398177</v>
      </c>
      <c r="M59">
        <f t="shared" si="7"/>
        <v>44</v>
      </c>
      <c r="N59">
        <f t="shared" si="8"/>
        <v>29</v>
      </c>
      <c r="O59" s="4">
        <f t="shared" si="9"/>
        <v>8.1999999999999993</v>
      </c>
      <c r="P59" s="4">
        <f t="shared" si="18"/>
        <v>7.7899999999999991</v>
      </c>
      <c r="Q59" s="4">
        <f t="shared" si="18"/>
        <v>7.4004999999999992</v>
      </c>
      <c r="R59" s="4">
        <f t="shared" si="18"/>
        <v>7.0304749999999991</v>
      </c>
      <c r="S59" s="4">
        <f t="shared" si="18"/>
        <v>6.678951249999999</v>
      </c>
      <c r="T59" s="4">
        <f t="shared" si="19"/>
        <v>6.3450036874999984</v>
      </c>
      <c r="U59" s="4">
        <f t="shared" si="10"/>
        <v>6.0277535031249982</v>
      </c>
      <c r="V59" s="4">
        <f t="shared" si="10"/>
        <v>5.7263658279687482</v>
      </c>
      <c r="W59" s="4">
        <f t="shared" si="10"/>
        <v>5.4400475365703107</v>
      </c>
      <c r="X59" s="4">
        <f t="shared" si="20"/>
        <v>0</v>
      </c>
      <c r="Y59" s="4">
        <f t="shared" si="21"/>
        <v>0</v>
      </c>
      <c r="Z59" s="4">
        <f t="shared" si="22"/>
        <v>0</v>
      </c>
      <c r="AA59" s="4">
        <f t="shared" si="23"/>
        <v>0</v>
      </c>
      <c r="AB59" s="4">
        <f t="shared" si="24"/>
        <v>0</v>
      </c>
      <c r="AC59" s="4">
        <f t="shared" si="25"/>
        <v>0</v>
      </c>
      <c r="AD59" s="4">
        <f t="shared" si="26"/>
        <v>0</v>
      </c>
      <c r="AE59" s="4">
        <f t="shared" si="27"/>
        <v>0</v>
      </c>
      <c r="AF59" s="4">
        <f t="shared" si="28"/>
        <v>0</v>
      </c>
      <c r="AG59" s="4">
        <f t="shared" si="12"/>
        <v>1</v>
      </c>
      <c r="AH59" s="4">
        <f t="shared" si="29"/>
        <v>0.95</v>
      </c>
      <c r="AI59" s="4">
        <f t="shared" si="30"/>
        <v>0.90249999999999997</v>
      </c>
      <c r="AJ59" s="4">
        <f t="shared" si="31"/>
        <v>0</v>
      </c>
      <c r="AK59" s="4">
        <f t="shared" si="32"/>
        <v>0.20362656249999997</v>
      </c>
      <c r="AL59" s="4">
        <f t="shared" si="33"/>
        <v>9.6722617187499985E-2</v>
      </c>
      <c r="AM59" s="4">
        <f t="shared" si="34"/>
        <v>9.1886486328124975E-2</v>
      </c>
      <c r="AN59" s="4">
        <f t="shared" si="35"/>
        <v>0</v>
      </c>
      <c r="AO59" s="4">
        <f t="shared" si="36"/>
        <v>2.0731888477783195E-2</v>
      </c>
    </row>
    <row r="60" spans="1:41">
      <c r="A60">
        <f t="shared" si="39"/>
        <v>16</v>
      </c>
      <c r="B60">
        <f t="shared" si="2"/>
        <v>91</v>
      </c>
      <c r="C60">
        <f t="shared" si="3"/>
        <v>0</v>
      </c>
      <c r="D60">
        <f t="shared" si="4"/>
        <v>44</v>
      </c>
      <c r="E60">
        <f t="shared" si="5"/>
        <v>2</v>
      </c>
      <c r="F60">
        <f t="shared" si="14"/>
        <v>22</v>
      </c>
      <c r="G60">
        <f t="shared" si="6"/>
        <v>0.5</v>
      </c>
      <c r="H60">
        <f t="shared" si="0"/>
        <v>1</v>
      </c>
      <c r="I60">
        <f t="shared" si="1"/>
        <v>0.5</v>
      </c>
      <c r="J60">
        <f t="shared" si="15"/>
        <v>9.4492181131359931</v>
      </c>
      <c r="K60">
        <f t="shared" si="16"/>
        <v>38.449218113135991</v>
      </c>
      <c r="L60">
        <f t="shared" si="17"/>
        <v>1398177</v>
      </c>
      <c r="M60">
        <f t="shared" si="7"/>
        <v>44</v>
      </c>
      <c r="N60">
        <f t="shared" si="8"/>
        <v>29</v>
      </c>
      <c r="O60" s="4">
        <f t="shared" si="9"/>
        <v>8.1999999999999993</v>
      </c>
      <c r="P60" s="4">
        <f t="shared" si="18"/>
        <v>7.7899999999999991</v>
      </c>
      <c r="Q60" s="4">
        <f t="shared" si="18"/>
        <v>7.4004999999999992</v>
      </c>
      <c r="R60" s="4">
        <f t="shared" si="18"/>
        <v>7.0304749999999991</v>
      </c>
      <c r="S60" s="4">
        <f t="shared" si="18"/>
        <v>6.678951249999999</v>
      </c>
      <c r="T60" s="4">
        <f t="shared" si="19"/>
        <v>6.3450036874999984</v>
      </c>
      <c r="U60" s="4">
        <f t="shared" si="10"/>
        <v>6.0277535031249982</v>
      </c>
      <c r="V60" s="4">
        <f t="shared" si="10"/>
        <v>5.7263658279687482</v>
      </c>
      <c r="W60" s="4">
        <f t="shared" si="10"/>
        <v>5.4400475365703107</v>
      </c>
      <c r="X60" s="4">
        <f t="shared" si="20"/>
        <v>0</v>
      </c>
      <c r="Y60" s="4">
        <f t="shared" si="21"/>
        <v>0</v>
      </c>
      <c r="Z60" s="4">
        <f t="shared" si="22"/>
        <v>0</v>
      </c>
      <c r="AA60" s="4">
        <f t="shared" si="23"/>
        <v>0</v>
      </c>
      <c r="AB60" s="4">
        <f t="shared" si="24"/>
        <v>0</v>
      </c>
      <c r="AC60" s="4">
        <f t="shared" si="25"/>
        <v>0</v>
      </c>
      <c r="AD60" s="4">
        <f t="shared" si="26"/>
        <v>0</v>
      </c>
      <c r="AE60" s="4">
        <f t="shared" si="27"/>
        <v>0</v>
      </c>
      <c r="AF60" s="4">
        <f t="shared" si="28"/>
        <v>0</v>
      </c>
      <c r="AG60" s="4">
        <f t="shared" si="12"/>
        <v>0</v>
      </c>
      <c r="AH60" s="4">
        <f t="shared" si="29"/>
        <v>0.95</v>
      </c>
      <c r="AI60" s="4">
        <f t="shared" si="30"/>
        <v>0.45124999999999998</v>
      </c>
      <c r="AJ60" s="4">
        <f t="shared" si="31"/>
        <v>0.42868749999999994</v>
      </c>
      <c r="AK60" s="4">
        <f t="shared" si="32"/>
        <v>0</v>
      </c>
      <c r="AL60" s="4">
        <f t="shared" si="33"/>
        <v>9.6722617187499985E-2</v>
      </c>
      <c r="AM60" s="4">
        <f t="shared" si="34"/>
        <v>4.5943243164062487E-2</v>
      </c>
      <c r="AN60" s="4">
        <f t="shared" si="35"/>
        <v>4.3646081005859358E-2</v>
      </c>
      <c r="AO60" s="4">
        <f t="shared" si="36"/>
        <v>0</v>
      </c>
    </row>
    <row r="61" spans="1:41">
      <c r="A61">
        <f t="shared" si="39"/>
        <v>17</v>
      </c>
      <c r="B61">
        <f t="shared" si="2"/>
        <v>91</v>
      </c>
      <c r="C61">
        <f t="shared" si="3"/>
        <v>0</v>
      </c>
      <c r="D61">
        <f t="shared" si="4"/>
        <v>44</v>
      </c>
      <c r="E61">
        <f t="shared" si="5"/>
        <v>1</v>
      </c>
      <c r="F61">
        <f t="shared" si="14"/>
        <v>44</v>
      </c>
      <c r="G61">
        <f t="shared" si="6"/>
        <v>0.5</v>
      </c>
      <c r="H61">
        <f t="shared" si="0"/>
        <v>1</v>
      </c>
      <c r="I61">
        <f t="shared" si="1"/>
        <v>0.5</v>
      </c>
      <c r="J61">
        <f t="shared" si="15"/>
        <v>9.2585309567126579</v>
      </c>
      <c r="K61">
        <f t="shared" si="16"/>
        <v>38.258530956712661</v>
      </c>
      <c r="L61">
        <f t="shared" si="17"/>
        <v>1398177</v>
      </c>
      <c r="M61">
        <f t="shared" si="7"/>
        <v>44</v>
      </c>
      <c r="N61">
        <f t="shared" si="8"/>
        <v>29</v>
      </c>
      <c r="O61" s="4">
        <f t="shared" si="9"/>
        <v>8.1999999999999993</v>
      </c>
      <c r="P61" s="4">
        <f t="shared" si="18"/>
        <v>7.7899999999999991</v>
      </c>
      <c r="Q61" s="4">
        <f t="shared" si="18"/>
        <v>7.4004999999999992</v>
      </c>
      <c r="R61" s="4">
        <f t="shared" si="18"/>
        <v>7.0304749999999991</v>
      </c>
      <c r="S61" s="4">
        <f t="shared" si="18"/>
        <v>6.678951249999999</v>
      </c>
      <c r="T61" s="4">
        <f t="shared" si="19"/>
        <v>6.3450036874999984</v>
      </c>
      <c r="U61" s="4">
        <f t="shared" si="19"/>
        <v>6.0277535031249982</v>
      </c>
      <c r="V61" s="4">
        <f t="shared" si="19"/>
        <v>5.7263658279687482</v>
      </c>
      <c r="W61" s="4">
        <f t="shared" si="19"/>
        <v>5.4400475365703107</v>
      </c>
      <c r="X61" s="4">
        <f t="shared" si="20"/>
        <v>0</v>
      </c>
      <c r="Y61" s="4">
        <f t="shared" si="21"/>
        <v>0</v>
      </c>
      <c r="Z61" s="4">
        <f t="shared" si="22"/>
        <v>0</v>
      </c>
      <c r="AA61" s="4">
        <f t="shared" si="23"/>
        <v>0</v>
      </c>
      <c r="AB61" s="4">
        <f t="shared" si="24"/>
        <v>0</v>
      </c>
      <c r="AC61" s="4">
        <f t="shared" si="25"/>
        <v>0</v>
      </c>
      <c r="AD61" s="4">
        <f t="shared" si="26"/>
        <v>0</v>
      </c>
      <c r="AE61" s="4">
        <f t="shared" si="27"/>
        <v>0</v>
      </c>
      <c r="AF61" s="4">
        <f t="shared" si="28"/>
        <v>0</v>
      </c>
      <c r="AG61" s="4">
        <f t="shared" si="12"/>
        <v>1</v>
      </c>
      <c r="AH61" s="4">
        <f t="shared" si="29"/>
        <v>0</v>
      </c>
      <c r="AI61" s="4">
        <f t="shared" si="30"/>
        <v>0.45124999999999998</v>
      </c>
      <c r="AJ61" s="4">
        <f t="shared" si="31"/>
        <v>0.21434374999999997</v>
      </c>
      <c r="AK61" s="4">
        <f t="shared" si="32"/>
        <v>0.20362656249999997</v>
      </c>
      <c r="AL61" s="4">
        <f t="shared" si="33"/>
        <v>0</v>
      </c>
      <c r="AM61" s="4">
        <f t="shared" si="34"/>
        <v>4.5943243164062487E-2</v>
      </c>
      <c r="AN61" s="4">
        <f t="shared" si="35"/>
        <v>2.1823040502929679E-2</v>
      </c>
      <c r="AO61" s="4">
        <f t="shared" si="36"/>
        <v>2.0731888477783195E-2</v>
      </c>
    </row>
    <row r="62" spans="1:41">
      <c r="A62">
        <f t="shared" si="39"/>
        <v>18</v>
      </c>
      <c r="B62">
        <f t="shared" si="2"/>
        <v>92</v>
      </c>
      <c r="C62">
        <f t="shared" si="3"/>
        <v>0</v>
      </c>
      <c r="D62">
        <f t="shared" si="4"/>
        <v>44</v>
      </c>
      <c r="E62">
        <f t="shared" si="5"/>
        <v>2</v>
      </c>
      <c r="F62">
        <f t="shared" si="14"/>
        <v>22</v>
      </c>
      <c r="G62">
        <f t="shared" si="6"/>
        <v>1</v>
      </c>
      <c r="H62">
        <f t="shared" si="0"/>
        <v>1</v>
      </c>
      <c r="I62">
        <f t="shared" si="1"/>
        <v>0.5</v>
      </c>
      <c r="J62">
        <f t="shared" si="15"/>
        <v>8.7626498514654543</v>
      </c>
      <c r="K62">
        <f t="shared" si="16"/>
        <v>37.762649851465454</v>
      </c>
      <c r="L62">
        <f t="shared" si="17"/>
        <v>1398177</v>
      </c>
      <c r="M62">
        <f t="shared" si="7"/>
        <v>44</v>
      </c>
      <c r="N62">
        <f t="shared" si="8"/>
        <v>29</v>
      </c>
      <c r="O62" s="4">
        <f t="shared" si="9"/>
        <v>8.1999999999999993</v>
      </c>
      <c r="P62" s="4">
        <f t="shared" si="18"/>
        <v>7.7899999999999991</v>
      </c>
      <c r="Q62" s="4">
        <f t="shared" si="18"/>
        <v>7.4004999999999992</v>
      </c>
      <c r="R62" s="4">
        <f t="shared" si="18"/>
        <v>7.0304749999999991</v>
      </c>
      <c r="S62" s="4">
        <f t="shared" si="18"/>
        <v>6.678951249999999</v>
      </c>
      <c r="T62" s="4">
        <f t="shared" si="19"/>
        <v>6.3450036874999984</v>
      </c>
      <c r="U62" s="4">
        <f t="shared" si="19"/>
        <v>6.0277535031249982</v>
      </c>
      <c r="V62" s="4">
        <f t="shared" si="19"/>
        <v>5.7263658279687482</v>
      </c>
      <c r="W62" s="4">
        <f t="shared" si="19"/>
        <v>5.4400475365703107</v>
      </c>
      <c r="X62" s="4">
        <f t="shared" si="20"/>
        <v>0</v>
      </c>
      <c r="Y62" s="4">
        <f t="shared" si="21"/>
        <v>0</v>
      </c>
      <c r="Z62" s="4">
        <f t="shared" si="22"/>
        <v>0</v>
      </c>
      <c r="AA62" s="4">
        <f t="shared" si="23"/>
        <v>0</v>
      </c>
      <c r="AB62" s="4">
        <f t="shared" si="24"/>
        <v>0</v>
      </c>
      <c r="AC62" s="4">
        <f t="shared" si="25"/>
        <v>0</v>
      </c>
      <c r="AD62" s="4">
        <f t="shared" si="26"/>
        <v>0</v>
      </c>
      <c r="AE62" s="4">
        <f t="shared" si="27"/>
        <v>0</v>
      </c>
      <c r="AF62" s="4">
        <f t="shared" si="28"/>
        <v>0</v>
      </c>
      <c r="AG62" s="4">
        <f t="shared" si="12"/>
        <v>1</v>
      </c>
      <c r="AH62" s="4">
        <f t="shared" si="29"/>
        <v>0.95</v>
      </c>
      <c r="AI62" s="4">
        <f t="shared" si="30"/>
        <v>0</v>
      </c>
      <c r="AJ62" s="4">
        <f t="shared" si="31"/>
        <v>0.21434374999999997</v>
      </c>
      <c r="AK62" s="4">
        <f t="shared" si="32"/>
        <v>0.10181328124999998</v>
      </c>
      <c r="AL62" s="4">
        <f t="shared" si="33"/>
        <v>9.6722617187499985E-2</v>
      </c>
      <c r="AM62" s="4">
        <f t="shared" si="34"/>
        <v>0</v>
      </c>
      <c r="AN62" s="4">
        <f t="shared" si="35"/>
        <v>2.1823040502929679E-2</v>
      </c>
      <c r="AO62" s="4">
        <f t="shared" si="36"/>
        <v>1.0365944238891598E-2</v>
      </c>
    </row>
    <row r="63" spans="1:41">
      <c r="A63">
        <f t="shared" si="39"/>
        <v>19</v>
      </c>
      <c r="B63">
        <f t="shared" si="2"/>
        <v>92</v>
      </c>
      <c r="C63">
        <f t="shared" si="3"/>
        <v>0</v>
      </c>
      <c r="D63">
        <f t="shared" si="4"/>
        <v>44</v>
      </c>
      <c r="E63">
        <f t="shared" si="5"/>
        <v>3</v>
      </c>
      <c r="F63">
        <f t="shared" si="14"/>
        <v>14.666666666666666</v>
      </c>
      <c r="G63">
        <f t="shared" si="6"/>
        <v>0.5</v>
      </c>
      <c r="H63">
        <f t="shared" si="0"/>
        <v>1</v>
      </c>
      <c r="I63">
        <f t="shared" si="1"/>
        <v>0.5</v>
      </c>
      <c r="J63">
        <f t="shared" si="15"/>
        <v>8.329601078685922</v>
      </c>
      <c r="K63">
        <f t="shared" si="16"/>
        <v>37.329601078685926</v>
      </c>
      <c r="L63">
        <f t="shared" si="17"/>
        <v>1398177</v>
      </c>
      <c r="M63">
        <f t="shared" si="7"/>
        <v>44</v>
      </c>
      <c r="N63">
        <f t="shared" si="8"/>
        <v>29</v>
      </c>
      <c r="O63" s="4">
        <f t="shared" si="9"/>
        <v>8.1999999999999993</v>
      </c>
      <c r="P63" s="4">
        <f t="shared" si="18"/>
        <v>7.7899999999999991</v>
      </c>
      <c r="Q63" s="4">
        <f t="shared" si="18"/>
        <v>7.4004999999999992</v>
      </c>
      <c r="R63" s="4">
        <f t="shared" si="18"/>
        <v>7.0304749999999991</v>
      </c>
      <c r="S63" s="4">
        <f t="shared" si="18"/>
        <v>6.678951249999999</v>
      </c>
      <c r="T63" s="4">
        <f t="shared" si="19"/>
        <v>6.3450036874999984</v>
      </c>
      <c r="U63" s="4">
        <f t="shared" si="19"/>
        <v>6.0277535031249982</v>
      </c>
      <c r="V63" s="4">
        <f t="shared" si="19"/>
        <v>5.7263658279687482</v>
      </c>
      <c r="W63" s="4">
        <f t="shared" si="19"/>
        <v>5.4400475365703107</v>
      </c>
      <c r="X63" s="4">
        <f t="shared" si="20"/>
        <v>0</v>
      </c>
      <c r="Y63" s="4">
        <f t="shared" si="21"/>
        <v>0</v>
      </c>
      <c r="Z63" s="4">
        <f t="shared" si="22"/>
        <v>0</v>
      </c>
      <c r="AA63" s="4">
        <f t="shared" si="23"/>
        <v>0</v>
      </c>
      <c r="AB63" s="4">
        <f t="shared" si="24"/>
        <v>0</v>
      </c>
      <c r="AC63" s="4">
        <f t="shared" si="25"/>
        <v>0</v>
      </c>
      <c r="AD63" s="4">
        <f t="shared" si="26"/>
        <v>0</v>
      </c>
      <c r="AE63" s="4">
        <f t="shared" si="27"/>
        <v>0</v>
      </c>
      <c r="AF63" s="4">
        <f t="shared" si="28"/>
        <v>0</v>
      </c>
      <c r="AG63" s="4">
        <f t="shared" si="12"/>
        <v>1</v>
      </c>
      <c r="AH63" s="4">
        <f t="shared" si="29"/>
        <v>0.95</v>
      </c>
      <c r="AI63" s="4">
        <f t="shared" si="30"/>
        <v>0.90249999999999997</v>
      </c>
      <c r="AJ63" s="4">
        <f t="shared" si="31"/>
        <v>0</v>
      </c>
      <c r="AK63" s="4">
        <f t="shared" si="32"/>
        <v>0.20362656249999997</v>
      </c>
      <c r="AL63" s="4">
        <f t="shared" si="33"/>
        <v>9.6722617187499985E-2</v>
      </c>
      <c r="AM63" s="4">
        <f t="shared" si="34"/>
        <v>9.1886486328124975E-2</v>
      </c>
      <c r="AN63" s="4">
        <f t="shared" si="35"/>
        <v>0</v>
      </c>
      <c r="AO63" s="4">
        <f t="shared" si="36"/>
        <v>2.0731888477783195E-2</v>
      </c>
    </row>
    <row r="64" spans="1:41">
      <c r="A64">
        <f t="shared" si="39"/>
        <v>20</v>
      </c>
      <c r="B64">
        <f t="shared" si="2"/>
        <v>91</v>
      </c>
      <c r="C64">
        <f t="shared" si="3"/>
        <v>0</v>
      </c>
      <c r="D64">
        <f t="shared" si="4"/>
        <v>44</v>
      </c>
      <c r="E64">
        <f t="shared" si="5"/>
        <v>2</v>
      </c>
      <c r="F64">
        <f t="shared" si="14"/>
        <v>22</v>
      </c>
      <c r="G64">
        <f t="shared" si="6"/>
        <v>0.5</v>
      </c>
      <c r="H64">
        <f t="shared" si="0"/>
        <v>1</v>
      </c>
      <c r="I64">
        <f t="shared" si="1"/>
        <v>0.5</v>
      </c>
      <c r="J64">
        <f t="shared" si="15"/>
        <v>9.4492181131359931</v>
      </c>
      <c r="K64">
        <f t="shared" si="16"/>
        <v>38.449218113135991</v>
      </c>
      <c r="L64">
        <f t="shared" si="17"/>
        <v>1398177</v>
      </c>
      <c r="M64">
        <f t="shared" si="7"/>
        <v>44</v>
      </c>
      <c r="N64">
        <f t="shared" si="8"/>
        <v>29</v>
      </c>
      <c r="O64" s="4">
        <f t="shared" si="9"/>
        <v>8.1999999999999993</v>
      </c>
      <c r="P64" s="4">
        <f t="shared" si="18"/>
        <v>7.7899999999999991</v>
      </c>
      <c r="Q64" s="4">
        <f t="shared" si="18"/>
        <v>7.4004999999999992</v>
      </c>
      <c r="R64" s="4">
        <f t="shared" si="18"/>
        <v>7.0304749999999991</v>
      </c>
      <c r="S64" s="4">
        <f t="shared" si="18"/>
        <v>6.678951249999999</v>
      </c>
      <c r="T64" s="4">
        <f t="shared" si="19"/>
        <v>6.3450036874999984</v>
      </c>
      <c r="U64" s="4">
        <f t="shared" si="19"/>
        <v>6.0277535031249982</v>
      </c>
      <c r="V64" s="4">
        <f t="shared" si="19"/>
        <v>5.7263658279687482</v>
      </c>
      <c r="W64" s="4">
        <f t="shared" si="19"/>
        <v>5.4400475365703107</v>
      </c>
      <c r="X64" s="4">
        <f t="shared" si="20"/>
        <v>0</v>
      </c>
      <c r="Y64" s="4">
        <f t="shared" si="21"/>
        <v>0</v>
      </c>
      <c r="Z64" s="4">
        <f t="shared" si="22"/>
        <v>0</v>
      </c>
      <c r="AA64" s="4">
        <f t="shared" si="23"/>
        <v>0</v>
      </c>
      <c r="AB64" s="4">
        <f t="shared" si="24"/>
        <v>0</v>
      </c>
      <c r="AC64" s="4">
        <f t="shared" si="25"/>
        <v>0</v>
      </c>
      <c r="AD64" s="4">
        <f t="shared" si="26"/>
        <v>0</v>
      </c>
      <c r="AE64" s="4">
        <f t="shared" si="27"/>
        <v>0</v>
      </c>
      <c r="AF64" s="4">
        <f t="shared" si="28"/>
        <v>0</v>
      </c>
      <c r="AG64" s="4">
        <f t="shared" si="12"/>
        <v>0</v>
      </c>
      <c r="AH64" s="4">
        <f t="shared" si="29"/>
        <v>0.95</v>
      </c>
      <c r="AI64" s="4">
        <f t="shared" si="30"/>
        <v>0.45124999999999998</v>
      </c>
      <c r="AJ64" s="4">
        <f t="shared" si="31"/>
        <v>0.42868749999999994</v>
      </c>
      <c r="AK64" s="4">
        <f t="shared" si="32"/>
        <v>0</v>
      </c>
      <c r="AL64" s="4">
        <f t="shared" si="33"/>
        <v>9.6722617187499985E-2</v>
      </c>
      <c r="AM64" s="4">
        <f t="shared" si="34"/>
        <v>4.5943243164062487E-2</v>
      </c>
      <c r="AN64" s="4">
        <f t="shared" si="35"/>
        <v>4.3646081005859358E-2</v>
      </c>
      <c r="AO64" s="4">
        <f t="shared" si="36"/>
        <v>0</v>
      </c>
    </row>
    <row r="65" spans="1:41">
      <c r="A65">
        <f t="shared" si="39"/>
        <v>21</v>
      </c>
      <c r="B65">
        <f t="shared" si="2"/>
        <v>91</v>
      </c>
      <c r="C65">
        <f t="shared" si="3"/>
        <v>0</v>
      </c>
      <c r="D65">
        <f t="shared" si="4"/>
        <v>44</v>
      </c>
      <c r="E65">
        <f t="shared" si="5"/>
        <v>1</v>
      </c>
      <c r="F65">
        <f t="shared" si="14"/>
        <v>44</v>
      </c>
      <c r="G65">
        <f t="shared" si="6"/>
        <v>0.5</v>
      </c>
      <c r="H65">
        <f t="shared" si="0"/>
        <v>1</v>
      </c>
      <c r="I65">
        <f t="shared" si="1"/>
        <v>0.5</v>
      </c>
      <c r="J65">
        <f t="shared" si="15"/>
        <v>9.2585309567126579</v>
      </c>
      <c r="K65">
        <f t="shared" si="16"/>
        <v>38.258530956712661</v>
      </c>
      <c r="L65">
        <f t="shared" si="17"/>
        <v>1398177</v>
      </c>
      <c r="M65">
        <f t="shared" si="7"/>
        <v>44</v>
      </c>
      <c r="N65">
        <f t="shared" si="8"/>
        <v>29</v>
      </c>
      <c r="O65" s="4">
        <f t="shared" si="9"/>
        <v>8.1999999999999993</v>
      </c>
      <c r="P65" s="4">
        <f t="shared" si="18"/>
        <v>7.7899999999999991</v>
      </c>
      <c r="Q65" s="4">
        <f t="shared" si="18"/>
        <v>7.4004999999999992</v>
      </c>
      <c r="R65" s="4">
        <f t="shared" si="18"/>
        <v>7.0304749999999991</v>
      </c>
      <c r="S65" s="4">
        <f t="shared" si="18"/>
        <v>6.678951249999999</v>
      </c>
      <c r="T65" s="4">
        <f t="shared" si="19"/>
        <v>6.3450036874999984</v>
      </c>
      <c r="U65" s="4">
        <f t="shared" si="19"/>
        <v>6.0277535031249982</v>
      </c>
      <c r="V65" s="4">
        <f t="shared" si="19"/>
        <v>5.7263658279687482</v>
      </c>
      <c r="W65" s="4">
        <f t="shared" si="19"/>
        <v>5.4400475365703107</v>
      </c>
      <c r="X65" s="4">
        <f t="shared" si="20"/>
        <v>0</v>
      </c>
      <c r="Y65" s="4">
        <f t="shared" si="21"/>
        <v>0</v>
      </c>
      <c r="Z65" s="4">
        <f t="shared" si="22"/>
        <v>0</v>
      </c>
      <c r="AA65" s="4">
        <f t="shared" si="23"/>
        <v>0</v>
      </c>
      <c r="AB65" s="4">
        <f t="shared" si="24"/>
        <v>0</v>
      </c>
      <c r="AC65" s="4">
        <f t="shared" si="25"/>
        <v>0</v>
      </c>
      <c r="AD65" s="4">
        <f t="shared" si="26"/>
        <v>0</v>
      </c>
      <c r="AE65" s="4">
        <f t="shared" si="27"/>
        <v>0</v>
      </c>
      <c r="AF65" s="4">
        <f t="shared" si="28"/>
        <v>0</v>
      </c>
      <c r="AG65" s="4">
        <f t="shared" si="12"/>
        <v>1</v>
      </c>
      <c r="AH65" s="4">
        <f t="shared" si="29"/>
        <v>0</v>
      </c>
      <c r="AI65" s="4">
        <f t="shared" si="30"/>
        <v>0.45124999999999998</v>
      </c>
      <c r="AJ65" s="4">
        <f t="shared" si="31"/>
        <v>0.21434374999999997</v>
      </c>
      <c r="AK65" s="4">
        <f t="shared" si="32"/>
        <v>0.20362656249999997</v>
      </c>
      <c r="AL65" s="4">
        <f t="shared" si="33"/>
        <v>0</v>
      </c>
      <c r="AM65" s="4">
        <f t="shared" si="34"/>
        <v>4.5943243164062487E-2</v>
      </c>
      <c r="AN65" s="4">
        <f t="shared" si="35"/>
        <v>2.1823040502929679E-2</v>
      </c>
      <c r="AO65" s="4">
        <f t="shared" si="36"/>
        <v>2.0731888477783195E-2</v>
      </c>
    </row>
    <row r="66" spans="1:41">
      <c r="A66">
        <f t="shared" si="39"/>
        <v>22</v>
      </c>
      <c r="B66">
        <f t="shared" si="2"/>
        <v>92</v>
      </c>
      <c r="C66">
        <f t="shared" si="3"/>
        <v>0</v>
      </c>
      <c r="D66">
        <f t="shared" si="4"/>
        <v>44</v>
      </c>
      <c r="E66">
        <f t="shared" si="5"/>
        <v>2</v>
      </c>
      <c r="F66">
        <f t="shared" si="14"/>
        <v>22</v>
      </c>
      <c r="G66">
        <f t="shared" si="6"/>
        <v>1</v>
      </c>
      <c r="H66">
        <f t="shared" si="0"/>
        <v>1</v>
      </c>
      <c r="I66">
        <f t="shared" si="1"/>
        <v>0.5</v>
      </c>
      <c r="J66">
        <f t="shared" si="15"/>
        <v>8.7626498514654543</v>
      </c>
      <c r="K66">
        <f t="shared" si="16"/>
        <v>37.762649851465454</v>
      </c>
      <c r="L66">
        <f t="shared" si="17"/>
        <v>1398177</v>
      </c>
      <c r="M66">
        <f t="shared" si="7"/>
        <v>44</v>
      </c>
      <c r="N66">
        <f t="shared" si="8"/>
        <v>29</v>
      </c>
      <c r="O66" s="4">
        <f t="shared" si="9"/>
        <v>8.1999999999999993</v>
      </c>
      <c r="P66" s="4">
        <f t="shared" si="18"/>
        <v>7.7899999999999991</v>
      </c>
      <c r="Q66" s="4">
        <f t="shared" si="18"/>
        <v>7.4004999999999992</v>
      </c>
      <c r="R66" s="4">
        <f t="shared" si="18"/>
        <v>7.0304749999999991</v>
      </c>
      <c r="S66" s="4">
        <f t="shared" si="18"/>
        <v>6.678951249999999</v>
      </c>
      <c r="T66" s="4">
        <f t="shared" si="19"/>
        <v>6.3450036874999984</v>
      </c>
      <c r="U66" s="4">
        <f t="shared" si="19"/>
        <v>6.0277535031249982</v>
      </c>
      <c r="V66" s="4">
        <f t="shared" si="19"/>
        <v>5.7263658279687482</v>
      </c>
      <c r="W66" s="4">
        <f t="shared" si="19"/>
        <v>5.4400475365703107</v>
      </c>
      <c r="X66" s="4">
        <f t="shared" si="20"/>
        <v>0</v>
      </c>
      <c r="Y66" s="4">
        <f t="shared" si="21"/>
        <v>0</v>
      </c>
      <c r="Z66" s="4">
        <f t="shared" si="22"/>
        <v>0</v>
      </c>
      <c r="AA66" s="4">
        <f t="shared" si="23"/>
        <v>0</v>
      </c>
      <c r="AB66" s="4">
        <f t="shared" si="24"/>
        <v>0</v>
      </c>
      <c r="AC66" s="4">
        <f t="shared" si="25"/>
        <v>0</v>
      </c>
      <c r="AD66" s="4">
        <f t="shared" si="26"/>
        <v>0</v>
      </c>
      <c r="AE66" s="4">
        <f t="shared" si="27"/>
        <v>0</v>
      </c>
      <c r="AF66" s="4">
        <f t="shared" si="28"/>
        <v>0</v>
      </c>
      <c r="AG66" s="4">
        <f t="shared" si="12"/>
        <v>1</v>
      </c>
      <c r="AH66" s="4">
        <f t="shared" si="29"/>
        <v>0.95</v>
      </c>
      <c r="AI66" s="4">
        <f t="shared" si="30"/>
        <v>0</v>
      </c>
      <c r="AJ66" s="4">
        <f t="shared" si="31"/>
        <v>0.21434374999999997</v>
      </c>
      <c r="AK66" s="4">
        <f t="shared" si="32"/>
        <v>0.10181328124999998</v>
      </c>
      <c r="AL66" s="4">
        <f t="shared" si="33"/>
        <v>9.6722617187499985E-2</v>
      </c>
      <c r="AM66" s="4">
        <f t="shared" si="34"/>
        <v>0</v>
      </c>
      <c r="AN66" s="4">
        <f t="shared" si="35"/>
        <v>2.1823040502929679E-2</v>
      </c>
      <c r="AO66" s="4">
        <f t="shared" si="36"/>
        <v>1.0365944238891598E-2</v>
      </c>
    </row>
    <row r="67" spans="1:41">
      <c r="A67">
        <f t="shared" si="39"/>
        <v>23</v>
      </c>
      <c r="B67">
        <f t="shared" si="2"/>
        <v>92</v>
      </c>
      <c r="C67">
        <f t="shared" si="3"/>
        <v>0</v>
      </c>
      <c r="D67">
        <f t="shared" si="4"/>
        <v>44</v>
      </c>
      <c r="E67">
        <f t="shared" si="5"/>
        <v>3</v>
      </c>
      <c r="F67">
        <f t="shared" si="14"/>
        <v>14.666666666666666</v>
      </c>
      <c r="G67">
        <f t="shared" si="6"/>
        <v>0.5</v>
      </c>
      <c r="H67">
        <f t="shared" si="0"/>
        <v>1</v>
      </c>
      <c r="I67">
        <f t="shared" si="1"/>
        <v>0.5</v>
      </c>
      <c r="J67">
        <f t="shared" si="15"/>
        <v>8.329601078685922</v>
      </c>
      <c r="K67">
        <f t="shared" si="16"/>
        <v>37.329601078685926</v>
      </c>
      <c r="L67">
        <f t="shared" si="17"/>
        <v>1398177</v>
      </c>
      <c r="M67">
        <f t="shared" si="7"/>
        <v>44</v>
      </c>
      <c r="N67">
        <f t="shared" si="8"/>
        <v>29</v>
      </c>
      <c r="O67" s="4">
        <f t="shared" si="9"/>
        <v>8.1999999999999993</v>
      </c>
      <c r="P67" s="4">
        <f t="shared" si="18"/>
        <v>7.7899999999999991</v>
      </c>
      <c r="Q67" s="4">
        <f t="shared" si="18"/>
        <v>7.4004999999999992</v>
      </c>
      <c r="R67" s="4">
        <f t="shared" si="18"/>
        <v>7.0304749999999991</v>
      </c>
      <c r="S67" s="4">
        <f t="shared" si="18"/>
        <v>6.678951249999999</v>
      </c>
      <c r="T67" s="4">
        <f t="shared" si="19"/>
        <v>6.3450036874999984</v>
      </c>
      <c r="U67" s="4">
        <f t="shared" si="19"/>
        <v>6.0277535031249982</v>
      </c>
      <c r="V67" s="4">
        <f t="shared" si="19"/>
        <v>5.7263658279687482</v>
      </c>
      <c r="W67" s="4">
        <f t="shared" si="19"/>
        <v>5.4400475365703107</v>
      </c>
      <c r="X67" s="4">
        <f t="shared" si="20"/>
        <v>0</v>
      </c>
      <c r="Y67" s="4">
        <f t="shared" si="21"/>
        <v>0</v>
      </c>
      <c r="Z67" s="4">
        <f t="shared" si="22"/>
        <v>0</v>
      </c>
      <c r="AA67" s="4">
        <f t="shared" si="23"/>
        <v>0</v>
      </c>
      <c r="AB67" s="4">
        <f t="shared" si="24"/>
        <v>0</v>
      </c>
      <c r="AC67" s="4">
        <f t="shared" si="25"/>
        <v>0</v>
      </c>
      <c r="AD67" s="4">
        <f t="shared" si="26"/>
        <v>0</v>
      </c>
      <c r="AE67" s="4">
        <f t="shared" si="27"/>
        <v>0</v>
      </c>
      <c r="AF67" s="4">
        <f t="shared" si="28"/>
        <v>0</v>
      </c>
      <c r="AG67" s="4">
        <f t="shared" si="12"/>
        <v>1</v>
      </c>
      <c r="AH67" s="4">
        <f t="shared" si="29"/>
        <v>0.95</v>
      </c>
      <c r="AI67" s="4">
        <f t="shared" si="30"/>
        <v>0.90249999999999997</v>
      </c>
      <c r="AJ67" s="4">
        <f t="shared" si="31"/>
        <v>0</v>
      </c>
      <c r="AK67" s="4">
        <f t="shared" si="32"/>
        <v>0.20362656249999997</v>
      </c>
      <c r="AL67" s="4">
        <f t="shared" si="33"/>
        <v>9.6722617187499985E-2</v>
      </c>
      <c r="AM67" s="4">
        <f t="shared" si="34"/>
        <v>9.1886486328124975E-2</v>
      </c>
      <c r="AN67" s="4">
        <f t="shared" si="35"/>
        <v>0</v>
      </c>
      <c r="AO67" s="4">
        <f t="shared" si="36"/>
        <v>2.0731888477783195E-2</v>
      </c>
    </row>
    <row r="68" spans="1:41">
      <c r="A68">
        <f t="shared" si="39"/>
        <v>24</v>
      </c>
      <c r="B68">
        <f t="shared" si="2"/>
        <v>91</v>
      </c>
      <c r="C68">
        <f t="shared" si="3"/>
        <v>0</v>
      </c>
      <c r="D68">
        <f t="shared" si="4"/>
        <v>44</v>
      </c>
      <c r="E68">
        <f t="shared" si="5"/>
        <v>2</v>
      </c>
      <c r="F68">
        <f t="shared" si="14"/>
        <v>22</v>
      </c>
      <c r="G68">
        <f t="shared" si="6"/>
        <v>0.5</v>
      </c>
      <c r="H68">
        <f t="shared" si="0"/>
        <v>1</v>
      </c>
      <c r="I68">
        <f t="shared" si="1"/>
        <v>0.5</v>
      </c>
      <c r="J68">
        <f t="shared" si="15"/>
        <v>9.4492181131359931</v>
      </c>
      <c r="K68">
        <f t="shared" si="16"/>
        <v>38.449218113135991</v>
      </c>
      <c r="L68">
        <f t="shared" si="17"/>
        <v>1398177</v>
      </c>
      <c r="M68">
        <f t="shared" si="7"/>
        <v>44</v>
      </c>
      <c r="N68">
        <f t="shared" si="8"/>
        <v>29</v>
      </c>
      <c r="O68" s="4">
        <f t="shared" si="9"/>
        <v>8.1999999999999993</v>
      </c>
      <c r="P68" s="4">
        <f t="shared" si="18"/>
        <v>7.7899999999999991</v>
      </c>
      <c r="Q68" s="4">
        <f t="shared" si="18"/>
        <v>7.4004999999999992</v>
      </c>
      <c r="R68" s="4">
        <f t="shared" si="18"/>
        <v>7.0304749999999991</v>
      </c>
      <c r="S68" s="4">
        <f t="shared" si="18"/>
        <v>6.678951249999999</v>
      </c>
      <c r="T68" s="4">
        <f t="shared" si="19"/>
        <v>6.3450036874999984</v>
      </c>
      <c r="U68" s="4">
        <f t="shared" si="19"/>
        <v>6.0277535031249982</v>
      </c>
      <c r="V68" s="4">
        <f t="shared" si="19"/>
        <v>5.7263658279687482</v>
      </c>
      <c r="W68" s="4">
        <f t="shared" si="19"/>
        <v>5.4400475365703107</v>
      </c>
      <c r="X68" s="4">
        <f t="shared" si="20"/>
        <v>0</v>
      </c>
      <c r="Y68" s="4">
        <f t="shared" si="21"/>
        <v>0</v>
      </c>
      <c r="Z68" s="4">
        <f t="shared" si="22"/>
        <v>0</v>
      </c>
      <c r="AA68" s="4">
        <f t="shared" si="23"/>
        <v>0</v>
      </c>
      <c r="AB68" s="4">
        <f t="shared" si="24"/>
        <v>0</v>
      </c>
      <c r="AC68" s="4">
        <f t="shared" si="25"/>
        <v>0</v>
      </c>
      <c r="AD68" s="4">
        <f t="shared" si="26"/>
        <v>0</v>
      </c>
      <c r="AE68" s="4">
        <f t="shared" si="27"/>
        <v>0</v>
      </c>
      <c r="AF68" s="4">
        <f t="shared" si="28"/>
        <v>0</v>
      </c>
      <c r="AG68" s="4">
        <f t="shared" si="12"/>
        <v>0</v>
      </c>
      <c r="AH68" s="4">
        <f t="shared" si="29"/>
        <v>0.95</v>
      </c>
      <c r="AI68" s="4">
        <f t="shared" si="30"/>
        <v>0.45124999999999998</v>
      </c>
      <c r="AJ68" s="4">
        <f t="shared" si="31"/>
        <v>0.42868749999999994</v>
      </c>
      <c r="AK68" s="4">
        <f t="shared" si="32"/>
        <v>0</v>
      </c>
      <c r="AL68" s="4">
        <f t="shared" si="33"/>
        <v>9.6722617187499985E-2</v>
      </c>
      <c r="AM68" s="4">
        <f t="shared" si="34"/>
        <v>4.5943243164062487E-2</v>
      </c>
      <c r="AN68" s="4">
        <f t="shared" si="35"/>
        <v>4.3646081005859358E-2</v>
      </c>
      <c r="AO68" s="4">
        <f t="shared" si="36"/>
        <v>0</v>
      </c>
    </row>
    <row r="69" spans="1:41">
      <c r="A69">
        <f t="shared" si="39"/>
        <v>25</v>
      </c>
      <c r="B69">
        <f t="shared" si="2"/>
        <v>91</v>
      </c>
      <c r="C69">
        <f t="shared" si="3"/>
        <v>0</v>
      </c>
      <c r="D69">
        <f t="shared" si="4"/>
        <v>44</v>
      </c>
      <c r="E69">
        <f t="shared" si="5"/>
        <v>1</v>
      </c>
      <c r="F69">
        <f t="shared" si="14"/>
        <v>44</v>
      </c>
      <c r="G69">
        <f t="shared" si="6"/>
        <v>0.5</v>
      </c>
      <c r="H69">
        <f t="shared" si="0"/>
        <v>1</v>
      </c>
      <c r="I69">
        <f t="shared" si="1"/>
        <v>0.5</v>
      </c>
      <c r="J69">
        <f t="shared" si="15"/>
        <v>9.2585309567126579</v>
      </c>
      <c r="K69">
        <f t="shared" si="16"/>
        <v>38.258530956712661</v>
      </c>
      <c r="L69">
        <f t="shared" si="17"/>
        <v>1398177</v>
      </c>
      <c r="M69">
        <f t="shared" si="7"/>
        <v>44</v>
      </c>
      <c r="N69">
        <f t="shared" si="8"/>
        <v>29</v>
      </c>
      <c r="O69" s="4">
        <f t="shared" si="9"/>
        <v>8.1999999999999993</v>
      </c>
      <c r="P69" s="4">
        <f t="shared" si="18"/>
        <v>7.7899999999999991</v>
      </c>
      <c r="Q69" s="4">
        <f t="shared" si="18"/>
        <v>7.4004999999999992</v>
      </c>
      <c r="R69" s="4">
        <f t="shared" si="18"/>
        <v>7.0304749999999991</v>
      </c>
      <c r="S69" s="4">
        <f t="shared" si="18"/>
        <v>6.678951249999999</v>
      </c>
      <c r="T69" s="4">
        <f t="shared" si="19"/>
        <v>6.3450036874999984</v>
      </c>
      <c r="U69" s="4">
        <f t="shared" si="19"/>
        <v>6.0277535031249982</v>
      </c>
      <c r="V69" s="4">
        <f t="shared" si="19"/>
        <v>5.7263658279687482</v>
      </c>
      <c r="W69" s="4">
        <f t="shared" si="19"/>
        <v>5.4400475365703107</v>
      </c>
      <c r="X69" s="4">
        <f t="shared" si="20"/>
        <v>0</v>
      </c>
      <c r="Y69" s="4">
        <f t="shared" si="21"/>
        <v>0</v>
      </c>
      <c r="Z69" s="4">
        <f t="shared" si="22"/>
        <v>0</v>
      </c>
      <c r="AA69" s="4">
        <f t="shared" si="23"/>
        <v>0</v>
      </c>
      <c r="AB69" s="4">
        <f t="shared" si="24"/>
        <v>0</v>
      </c>
      <c r="AC69" s="4">
        <f t="shared" si="25"/>
        <v>0</v>
      </c>
      <c r="AD69" s="4">
        <f t="shared" si="26"/>
        <v>0</v>
      </c>
      <c r="AE69" s="4">
        <f t="shared" si="27"/>
        <v>0</v>
      </c>
      <c r="AF69" s="4">
        <f t="shared" si="28"/>
        <v>0</v>
      </c>
      <c r="AG69" s="4">
        <f t="shared" si="12"/>
        <v>1</v>
      </c>
      <c r="AH69" s="4">
        <f t="shared" si="29"/>
        <v>0</v>
      </c>
      <c r="AI69" s="4">
        <f t="shared" si="30"/>
        <v>0.45124999999999998</v>
      </c>
      <c r="AJ69" s="4">
        <f t="shared" si="31"/>
        <v>0.21434374999999997</v>
      </c>
      <c r="AK69" s="4">
        <f t="shared" si="32"/>
        <v>0.20362656249999997</v>
      </c>
      <c r="AL69" s="4">
        <f t="shared" si="33"/>
        <v>0</v>
      </c>
      <c r="AM69" s="4">
        <f t="shared" si="34"/>
        <v>4.5943243164062487E-2</v>
      </c>
      <c r="AN69" s="4">
        <f t="shared" si="35"/>
        <v>2.1823040502929679E-2</v>
      </c>
      <c r="AO69" s="4">
        <f t="shared" si="36"/>
        <v>2.0731888477783195E-2</v>
      </c>
    </row>
    <row r="70" spans="1:41">
      <c r="A70">
        <f t="shared" si="39"/>
        <v>26</v>
      </c>
      <c r="B70">
        <f t="shared" si="2"/>
        <v>92</v>
      </c>
      <c r="C70">
        <f t="shared" si="3"/>
        <v>0</v>
      </c>
      <c r="D70">
        <f t="shared" si="4"/>
        <v>44</v>
      </c>
      <c r="E70">
        <f t="shared" si="5"/>
        <v>2</v>
      </c>
      <c r="F70">
        <f t="shared" si="14"/>
        <v>22</v>
      </c>
      <c r="G70">
        <f t="shared" si="6"/>
        <v>1</v>
      </c>
      <c r="H70">
        <f t="shared" si="0"/>
        <v>1</v>
      </c>
      <c r="I70">
        <f t="shared" si="1"/>
        <v>0.5</v>
      </c>
      <c r="J70">
        <f t="shared" si="15"/>
        <v>8.7626498514654543</v>
      </c>
      <c r="K70">
        <f t="shared" si="16"/>
        <v>37.762649851465454</v>
      </c>
      <c r="L70">
        <f t="shared" si="17"/>
        <v>1398177</v>
      </c>
      <c r="M70">
        <f t="shared" si="7"/>
        <v>44</v>
      </c>
      <c r="N70">
        <f t="shared" si="8"/>
        <v>29</v>
      </c>
      <c r="O70" s="4">
        <f t="shared" si="9"/>
        <v>8.1999999999999993</v>
      </c>
      <c r="P70" s="4">
        <f t="shared" si="18"/>
        <v>7.7899999999999991</v>
      </c>
      <c r="Q70" s="4">
        <f t="shared" si="18"/>
        <v>7.4004999999999992</v>
      </c>
      <c r="R70" s="4">
        <f t="shared" si="18"/>
        <v>7.0304749999999991</v>
      </c>
      <c r="S70" s="4">
        <f t="shared" si="18"/>
        <v>6.678951249999999</v>
      </c>
      <c r="T70" s="4">
        <f t="shared" si="19"/>
        <v>6.3450036874999984</v>
      </c>
      <c r="U70" s="4">
        <f t="shared" si="19"/>
        <v>6.0277535031249982</v>
      </c>
      <c r="V70" s="4">
        <f t="shared" si="19"/>
        <v>5.7263658279687482</v>
      </c>
      <c r="W70" s="4">
        <f t="shared" si="19"/>
        <v>5.4400475365703107</v>
      </c>
      <c r="X70" s="4">
        <f t="shared" si="20"/>
        <v>0</v>
      </c>
      <c r="Y70" s="4">
        <f t="shared" si="21"/>
        <v>0</v>
      </c>
      <c r="Z70" s="4">
        <f t="shared" si="22"/>
        <v>0</v>
      </c>
      <c r="AA70" s="4">
        <f t="shared" si="23"/>
        <v>0</v>
      </c>
      <c r="AB70" s="4">
        <f t="shared" si="24"/>
        <v>0</v>
      </c>
      <c r="AC70" s="4">
        <f t="shared" si="25"/>
        <v>0</v>
      </c>
      <c r="AD70" s="4">
        <f t="shared" si="26"/>
        <v>0</v>
      </c>
      <c r="AE70" s="4">
        <f t="shared" si="27"/>
        <v>0</v>
      </c>
      <c r="AF70" s="4">
        <f t="shared" si="28"/>
        <v>0</v>
      </c>
      <c r="AG70" s="4">
        <f t="shared" si="12"/>
        <v>1</v>
      </c>
      <c r="AH70" s="4">
        <f t="shared" si="29"/>
        <v>0.95</v>
      </c>
      <c r="AI70" s="4">
        <f t="shared" si="30"/>
        <v>0</v>
      </c>
      <c r="AJ70" s="4">
        <f t="shared" si="31"/>
        <v>0.21434374999999997</v>
      </c>
      <c r="AK70" s="4">
        <f t="shared" si="32"/>
        <v>0.10181328124999998</v>
      </c>
      <c r="AL70" s="4">
        <f t="shared" si="33"/>
        <v>9.6722617187499985E-2</v>
      </c>
      <c r="AM70" s="4">
        <f t="shared" si="34"/>
        <v>0</v>
      </c>
      <c r="AN70" s="4">
        <f t="shared" si="35"/>
        <v>2.1823040502929679E-2</v>
      </c>
      <c r="AO70" s="4">
        <f t="shared" si="36"/>
        <v>1.0365944238891598E-2</v>
      </c>
    </row>
    <row r="71" spans="1:41">
      <c r="A71">
        <f t="shared" si="39"/>
        <v>27</v>
      </c>
      <c r="B71">
        <f t="shared" si="2"/>
        <v>92</v>
      </c>
      <c r="C71">
        <f t="shared" si="3"/>
        <v>0</v>
      </c>
      <c r="D71">
        <f t="shared" si="4"/>
        <v>44</v>
      </c>
      <c r="E71">
        <f t="shared" si="5"/>
        <v>3</v>
      </c>
      <c r="F71">
        <f t="shared" si="14"/>
        <v>14.666666666666666</v>
      </c>
      <c r="G71">
        <f t="shared" si="6"/>
        <v>0.5</v>
      </c>
      <c r="H71">
        <f t="shared" si="0"/>
        <v>1</v>
      </c>
      <c r="I71">
        <f t="shared" si="1"/>
        <v>0.5</v>
      </c>
      <c r="J71">
        <f t="shared" si="15"/>
        <v>8.329601078685922</v>
      </c>
      <c r="K71">
        <f t="shared" si="16"/>
        <v>37.329601078685926</v>
      </c>
      <c r="L71">
        <f t="shared" si="17"/>
        <v>1398177</v>
      </c>
      <c r="M71">
        <f t="shared" si="7"/>
        <v>44</v>
      </c>
      <c r="N71">
        <f t="shared" si="8"/>
        <v>29</v>
      </c>
      <c r="O71" s="4">
        <f t="shared" si="9"/>
        <v>8.1999999999999993</v>
      </c>
      <c r="P71" s="4">
        <f t="shared" si="18"/>
        <v>7.7899999999999991</v>
      </c>
      <c r="Q71" s="4">
        <f t="shared" si="18"/>
        <v>7.4004999999999992</v>
      </c>
      <c r="R71" s="4">
        <f t="shared" si="18"/>
        <v>7.0304749999999991</v>
      </c>
      <c r="S71" s="4">
        <f t="shared" si="18"/>
        <v>6.678951249999999</v>
      </c>
      <c r="T71" s="4">
        <f t="shared" si="19"/>
        <v>6.3450036874999984</v>
      </c>
      <c r="U71" s="4">
        <f t="shared" si="19"/>
        <v>6.0277535031249982</v>
      </c>
      <c r="V71" s="4">
        <f t="shared" si="19"/>
        <v>5.7263658279687482</v>
      </c>
      <c r="W71" s="4">
        <f t="shared" si="19"/>
        <v>5.4400475365703107</v>
      </c>
      <c r="X71" s="4">
        <f t="shared" si="20"/>
        <v>0</v>
      </c>
      <c r="Y71" s="4">
        <f t="shared" si="21"/>
        <v>0</v>
      </c>
      <c r="Z71" s="4">
        <f t="shared" si="22"/>
        <v>0</v>
      </c>
      <c r="AA71" s="4">
        <f t="shared" si="23"/>
        <v>0</v>
      </c>
      <c r="AB71" s="4">
        <f t="shared" si="24"/>
        <v>0</v>
      </c>
      <c r="AC71" s="4">
        <f t="shared" si="25"/>
        <v>0</v>
      </c>
      <c r="AD71" s="4">
        <f t="shared" si="26"/>
        <v>0</v>
      </c>
      <c r="AE71" s="4">
        <f t="shared" si="27"/>
        <v>0</v>
      </c>
      <c r="AF71" s="4">
        <f t="shared" si="28"/>
        <v>0</v>
      </c>
      <c r="AG71" s="4">
        <f t="shared" si="12"/>
        <v>1</v>
      </c>
      <c r="AH71" s="4">
        <f t="shared" si="29"/>
        <v>0.95</v>
      </c>
      <c r="AI71" s="4">
        <f t="shared" si="30"/>
        <v>0.90249999999999997</v>
      </c>
      <c r="AJ71" s="4">
        <f t="shared" si="31"/>
        <v>0</v>
      </c>
      <c r="AK71" s="4">
        <f t="shared" si="32"/>
        <v>0.20362656249999997</v>
      </c>
      <c r="AL71" s="4">
        <f t="shared" si="33"/>
        <v>9.6722617187499985E-2</v>
      </c>
      <c r="AM71" s="4">
        <f t="shared" si="34"/>
        <v>9.1886486328124975E-2</v>
      </c>
      <c r="AN71" s="4">
        <f t="shared" si="35"/>
        <v>0</v>
      </c>
      <c r="AO71" s="4">
        <f t="shared" si="36"/>
        <v>2.0731888477783195E-2</v>
      </c>
    </row>
    <row r="72" spans="1:41">
      <c r="A72">
        <f t="shared" ref="A72:A75" si="40">A71+1</f>
        <v>28</v>
      </c>
      <c r="B72">
        <f t="shared" si="2"/>
        <v>91</v>
      </c>
      <c r="C72">
        <f t="shared" si="3"/>
        <v>0</v>
      </c>
      <c r="D72">
        <f t="shared" si="4"/>
        <v>44</v>
      </c>
      <c r="E72">
        <f t="shared" si="5"/>
        <v>2</v>
      </c>
      <c r="F72">
        <f t="shared" si="14"/>
        <v>22</v>
      </c>
      <c r="G72">
        <f t="shared" si="6"/>
        <v>0.5</v>
      </c>
      <c r="H72">
        <f t="shared" si="0"/>
        <v>1</v>
      </c>
      <c r="I72">
        <f t="shared" si="1"/>
        <v>0.5</v>
      </c>
      <c r="J72">
        <f t="shared" si="15"/>
        <v>9.4492181131359931</v>
      </c>
      <c r="K72">
        <f t="shared" si="16"/>
        <v>38.449218113135991</v>
      </c>
      <c r="L72">
        <f t="shared" si="17"/>
        <v>1398177</v>
      </c>
      <c r="M72">
        <f t="shared" si="7"/>
        <v>44</v>
      </c>
      <c r="N72">
        <f t="shared" si="8"/>
        <v>29</v>
      </c>
      <c r="O72" s="4">
        <f t="shared" si="9"/>
        <v>8.1999999999999993</v>
      </c>
      <c r="P72" s="4">
        <f t="shared" si="18"/>
        <v>7.7899999999999991</v>
      </c>
      <c r="Q72" s="4">
        <f t="shared" si="18"/>
        <v>7.4004999999999992</v>
      </c>
      <c r="R72" s="4">
        <f t="shared" si="18"/>
        <v>7.0304749999999991</v>
      </c>
      <c r="S72" s="4">
        <f t="shared" si="18"/>
        <v>6.678951249999999</v>
      </c>
      <c r="T72" s="4">
        <f t="shared" si="19"/>
        <v>6.3450036874999984</v>
      </c>
      <c r="U72" s="4">
        <f t="shared" si="19"/>
        <v>6.0277535031249982</v>
      </c>
      <c r="V72" s="4">
        <f t="shared" si="19"/>
        <v>5.7263658279687482</v>
      </c>
      <c r="W72" s="4">
        <f t="shared" si="19"/>
        <v>5.4400475365703107</v>
      </c>
      <c r="X72" s="4">
        <f t="shared" si="20"/>
        <v>0</v>
      </c>
      <c r="Y72" s="4">
        <f t="shared" si="21"/>
        <v>0</v>
      </c>
      <c r="Z72" s="4">
        <f t="shared" si="22"/>
        <v>0</v>
      </c>
      <c r="AA72" s="4">
        <f t="shared" si="23"/>
        <v>0</v>
      </c>
      <c r="AB72" s="4">
        <f t="shared" si="24"/>
        <v>0</v>
      </c>
      <c r="AC72" s="4">
        <f t="shared" si="25"/>
        <v>0</v>
      </c>
      <c r="AD72" s="4">
        <f t="shared" si="26"/>
        <v>0</v>
      </c>
      <c r="AE72" s="4">
        <f t="shared" si="27"/>
        <v>0</v>
      </c>
      <c r="AF72" s="4">
        <f t="shared" si="28"/>
        <v>0</v>
      </c>
      <c r="AG72" s="4">
        <f t="shared" si="12"/>
        <v>0</v>
      </c>
      <c r="AH72" s="4">
        <f t="shared" si="29"/>
        <v>0.95</v>
      </c>
      <c r="AI72" s="4">
        <f t="shared" si="30"/>
        <v>0.45124999999999998</v>
      </c>
      <c r="AJ72" s="4">
        <f t="shared" si="31"/>
        <v>0.42868749999999994</v>
      </c>
      <c r="AK72" s="4">
        <f t="shared" si="32"/>
        <v>0</v>
      </c>
      <c r="AL72" s="4">
        <f t="shared" si="33"/>
        <v>9.6722617187499985E-2</v>
      </c>
      <c r="AM72" s="4">
        <f t="shared" si="34"/>
        <v>4.5943243164062487E-2</v>
      </c>
      <c r="AN72" s="4">
        <f t="shared" si="35"/>
        <v>4.3646081005859358E-2</v>
      </c>
      <c r="AO72" s="4">
        <f t="shared" si="36"/>
        <v>0</v>
      </c>
    </row>
    <row r="73" spans="1:41">
      <c r="A73">
        <f t="shared" si="40"/>
        <v>29</v>
      </c>
      <c r="B73">
        <f t="shared" si="2"/>
        <v>91</v>
      </c>
      <c r="C73">
        <f t="shared" si="3"/>
        <v>0</v>
      </c>
      <c r="D73">
        <f t="shared" si="4"/>
        <v>44</v>
      </c>
      <c r="E73">
        <f t="shared" si="5"/>
        <v>1</v>
      </c>
      <c r="F73">
        <f t="shared" si="14"/>
        <v>44</v>
      </c>
      <c r="G73">
        <f t="shared" si="6"/>
        <v>0.5</v>
      </c>
      <c r="H73">
        <f t="shared" si="0"/>
        <v>1</v>
      </c>
      <c r="I73">
        <f t="shared" si="1"/>
        <v>0.5</v>
      </c>
      <c r="J73">
        <f t="shared" si="15"/>
        <v>9.2585309567126579</v>
      </c>
      <c r="K73">
        <f t="shared" si="16"/>
        <v>38.258530956712661</v>
      </c>
      <c r="L73">
        <f t="shared" si="17"/>
        <v>1398177</v>
      </c>
      <c r="M73">
        <f t="shared" si="7"/>
        <v>44</v>
      </c>
      <c r="N73">
        <f t="shared" si="8"/>
        <v>29</v>
      </c>
      <c r="O73" s="4">
        <f t="shared" si="9"/>
        <v>8.1999999999999993</v>
      </c>
      <c r="P73" s="4">
        <f t="shared" si="18"/>
        <v>7.7899999999999991</v>
      </c>
      <c r="Q73" s="4">
        <f t="shared" si="18"/>
        <v>7.4004999999999992</v>
      </c>
      <c r="R73" s="4">
        <f t="shared" si="18"/>
        <v>7.0304749999999991</v>
      </c>
      <c r="S73" s="4">
        <f t="shared" si="18"/>
        <v>6.678951249999999</v>
      </c>
      <c r="T73" s="4">
        <f t="shared" si="19"/>
        <v>6.3450036874999984</v>
      </c>
      <c r="U73" s="4">
        <f t="shared" si="19"/>
        <v>6.0277535031249982</v>
      </c>
      <c r="V73" s="4">
        <f t="shared" si="19"/>
        <v>5.7263658279687482</v>
      </c>
      <c r="W73" s="4">
        <f t="shared" si="19"/>
        <v>5.4400475365703107</v>
      </c>
      <c r="X73" s="4">
        <f t="shared" si="20"/>
        <v>0</v>
      </c>
      <c r="Y73" s="4">
        <f t="shared" si="21"/>
        <v>0</v>
      </c>
      <c r="Z73" s="4">
        <f t="shared" si="22"/>
        <v>0</v>
      </c>
      <c r="AA73" s="4">
        <f t="shared" si="23"/>
        <v>0</v>
      </c>
      <c r="AB73" s="4">
        <f t="shared" si="24"/>
        <v>0</v>
      </c>
      <c r="AC73" s="4">
        <f t="shared" si="25"/>
        <v>0</v>
      </c>
      <c r="AD73" s="4">
        <f t="shared" si="26"/>
        <v>0</v>
      </c>
      <c r="AE73" s="4">
        <f t="shared" si="27"/>
        <v>0</v>
      </c>
      <c r="AF73" s="4">
        <f t="shared" si="28"/>
        <v>0</v>
      </c>
      <c r="AG73" s="4">
        <f t="shared" si="12"/>
        <v>1</v>
      </c>
      <c r="AH73" s="4">
        <f t="shared" si="29"/>
        <v>0</v>
      </c>
      <c r="AI73" s="4">
        <f t="shared" si="30"/>
        <v>0.45124999999999998</v>
      </c>
      <c r="AJ73" s="4">
        <f t="shared" si="31"/>
        <v>0.21434374999999997</v>
      </c>
      <c r="AK73" s="4">
        <f t="shared" si="32"/>
        <v>0.20362656249999997</v>
      </c>
      <c r="AL73" s="4">
        <f t="shared" si="33"/>
        <v>0</v>
      </c>
      <c r="AM73" s="4">
        <f t="shared" si="34"/>
        <v>4.5943243164062487E-2</v>
      </c>
      <c r="AN73" s="4">
        <f t="shared" si="35"/>
        <v>2.1823040502929679E-2</v>
      </c>
      <c r="AO73" s="4">
        <f t="shared" si="36"/>
        <v>2.0731888477783195E-2</v>
      </c>
    </row>
    <row r="74" spans="1:41">
      <c r="A74">
        <f t="shared" si="40"/>
        <v>30</v>
      </c>
      <c r="B74">
        <f t="shared" si="2"/>
        <v>92</v>
      </c>
      <c r="C74">
        <f t="shared" si="3"/>
        <v>0</v>
      </c>
      <c r="D74">
        <f t="shared" si="4"/>
        <v>44</v>
      </c>
      <c r="E74">
        <f t="shared" si="5"/>
        <v>2</v>
      </c>
      <c r="F74">
        <f t="shared" si="14"/>
        <v>22</v>
      </c>
      <c r="G74">
        <f t="shared" si="6"/>
        <v>1</v>
      </c>
      <c r="H74">
        <f t="shared" si="0"/>
        <v>1</v>
      </c>
      <c r="I74">
        <f t="shared" si="1"/>
        <v>0.5</v>
      </c>
      <c r="J74">
        <f t="shared" si="15"/>
        <v>8.7626498514654543</v>
      </c>
      <c r="K74">
        <f t="shared" si="16"/>
        <v>37.762649851465454</v>
      </c>
      <c r="L74">
        <f t="shared" si="17"/>
        <v>1398177</v>
      </c>
      <c r="M74">
        <f t="shared" si="7"/>
        <v>44</v>
      </c>
      <c r="N74">
        <f t="shared" si="8"/>
        <v>29</v>
      </c>
      <c r="O74" s="4">
        <f t="shared" si="9"/>
        <v>8.1999999999999993</v>
      </c>
      <c r="P74" s="4">
        <f t="shared" si="18"/>
        <v>7.7899999999999991</v>
      </c>
      <c r="Q74" s="4">
        <f t="shared" si="18"/>
        <v>7.4004999999999992</v>
      </c>
      <c r="R74" s="4">
        <f t="shared" si="18"/>
        <v>7.0304749999999991</v>
      </c>
      <c r="S74" s="4">
        <f t="shared" si="18"/>
        <v>6.678951249999999</v>
      </c>
      <c r="T74" s="4">
        <f t="shared" si="19"/>
        <v>6.3450036874999984</v>
      </c>
      <c r="U74" s="4">
        <f t="shared" si="19"/>
        <v>6.0277535031249982</v>
      </c>
      <c r="V74" s="4">
        <f t="shared" si="19"/>
        <v>5.7263658279687482</v>
      </c>
      <c r="W74" s="4">
        <f t="shared" si="19"/>
        <v>5.4400475365703107</v>
      </c>
      <c r="X74" s="4">
        <f t="shared" si="20"/>
        <v>0</v>
      </c>
      <c r="Y74" s="4">
        <f t="shared" si="21"/>
        <v>0</v>
      </c>
      <c r="Z74" s="4">
        <f t="shared" si="22"/>
        <v>0</v>
      </c>
      <c r="AA74" s="4">
        <f t="shared" si="23"/>
        <v>0</v>
      </c>
      <c r="AB74" s="4">
        <f t="shared" si="24"/>
        <v>0</v>
      </c>
      <c r="AC74" s="4">
        <f t="shared" si="25"/>
        <v>0</v>
      </c>
      <c r="AD74" s="4">
        <f t="shared" si="26"/>
        <v>0</v>
      </c>
      <c r="AE74" s="4">
        <f t="shared" si="27"/>
        <v>0</v>
      </c>
      <c r="AF74" s="4">
        <f t="shared" si="28"/>
        <v>0</v>
      </c>
      <c r="AG74" s="4">
        <f t="shared" si="12"/>
        <v>1</v>
      </c>
      <c r="AH74" s="4">
        <f t="shared" si="29"/>
        <v>0.95</v>
      </c>
      <c r="AI74" s="4">
        <f t="shared" si="30"/>
        <v>0</v>
      </c>
      <c r="AJ74" s="4">
        <f t="shared" si="31"/>
        <v>0.21434374999999997</v>
      </c>
      <c r="AK74" s="4">
        <f t="shared" si="32"/>
        <v>0.10181328124999998</v>
      </c>
      <c r="AL74" s="4">
        <f t="shared" si="33"/>
        <v>9.6722617187499985E-2</v>
      </c>
      <c r="AM74" s="4">
        <f t="shared" si="34"/>
        <v>0</v>
      </c>
      <c r="AN74" s="4">
        <f t="shared" si="35"/>
        <v>2.1823040502929679E-2</v>
      </c>
      <c r="AO74" s="4">
        <f t="shared" si="36"/>
        <v>1.0365944238891598E-2</v>
      </c>
    </row>
    <row r="75" spans="1:41">
      <c r="A75">
        <f t="shared" si="40"/>
        <v>31</v>
      </c>
      <c r="B75">
        <f t="shared" si="2"/>
        <v>92</v>
      </c>
      <c r="C75">
        <f t="shared" si="3"/>
        <v>0</v>
      </c>
      <c r="D75">
        <f t="shared" si="4"/>
        <v>44</v>
      </c>
      <c r="E75">
        <f t="shared" si="5"/>
        <v>3</v>
      </c>
      <c r="F75">
        <f t="shared" si="14"/>
        <v>14.666666666666666</v>
      </c>
      <c r="G75">
        <f t="shared" si="6"/>
        <v>0.5</v>
      </c>
      <c r="H75">
        <f t="shared" si="0"/>
        <v>1</v>
      </c>
      <c r="I75">
        <f t="shared" si="1"/>
        <v>0.5</v>
      </c>
      <c r="J75">
        <f t="shared" si="15"/>
        <v>8.329601078685922</v>
      </c>
      <c r="K75">
        <f t="shared" si="16"/>
        <v>37.329601078685926</v>
      </c>
      <c r="L75">
        <f t="shared" si="17"/>
        <v>1398177</v>
      </c>
      <c r="M75">
        <f t="shared" si="7"/>
        <v>44</v>
      </c>
      <c r="N75">
        <f t="shared" si="8"/>
        <v>29</v>
      </c>
      <c r="O75" s="4">
        <f t="shared" si="9"/>
        <v>8.1999999999999993</v>
      </c>
      <c r="P75" s="4">
        <f t="shared" si="18"/>
        <v>7.7899999999999991</v>
      </c>
      <c r="Q75" s="4">
        <f t="shared" si="18"/>
        <v>7.4004999999999992</v>
      </c>
      <c r="R75" s="4">
        <f t="shared" si="18"/>
        <v>7.0304749999999991</v>
      </c>
      <c r="S75" s="4">
        <f t="shared" si="18"/>
        <v>6.678951249999999</v>
      </c>
      <c r="T75" s="4">
        <f t="shared" si="19"/>
        <v>6.3450036874999984</v>
      </c>
      <c r="U75" s="4">
        <f t="shared" si="19"/>
        <v>6.0277535031249982</v>
      </c>
      <c r="V75" s="4">
        <f t="shared" si="19"/>
        <v>5.7263658279687482</v>
      </c>
      <c r="W75" s="4">
        <f t="shared" si="19"/>
        <v>5.4400475365703107</v>
      </c>
      <c r="X75" s="4">
        <f t="shared" si="20"/>
        <v>0</v>
      </c>
      <c r="Y75" s="4">
        <f t="shared" si="21"/>
        <v>0</v>
      </c>
      <c r="Z75" s="4">
        <f t="shared" si="22"/>
        <v>0</v>
      </c>
      <c r="AA75" s="4">
        <f t="shared" si="23"/>
        <v>0</v>
      </c>
      <c r="AB75" s="4">
        <f t="shared" si="24"/>
        <v>0</v>
      </c>
      <c r="AC75" s="4">
        <f t="shared" si="25"/>
        <v>0</v>
      </c>
      <c r="AD75" s="4">
        <f t="shared" si="26"/>
        <v>0</v>
      </c>
      <c r="AE75" s="4">
        <f t="shared" si="27"/>
        <v>0</v>
      </c>
      <c r="AF75" s="4">
        <f t="shared" si="28"/>
        <v>0</v>
      </c>
      <c r="AG75" s="4">
        <f t="shared" si="12"/>
        <v>1</v>
      </c>
      <c r="AH75" s="4">
        <f t="shared" si="29"/>
        <v>0.95</v>
      </c>
      <c r="AI75" s="4">
        <f t="shared" si="30"/>
        <v>0.90249999999999997</v>
      </c>
      <c r="AJ75" s="4">
        <f t="shared" si="31"/>
        <v>0</v>
      </c>
      <c r="AK75" s="4">
        <f t="shared" si="32"/>
        <v>0.20362656249999997</v>
      </c>
      <c r="AL75" s="4">
        <f t="shared" si="33"/>
        <v>9.6722617187499985E-2</v>
      </c>
      <c r="AM75" s="4">
        <f t="shared" si="34"/>
        <v>9.1886486328124975E-2</v>
      </c>
      <c r="AN75" s="4">
        <f t="shared" si="35"/>
        <v>0</v>
      </c>
      <c r="AO75" s="4">
        <f t="shared" si="36"/>
        <v>2.0731888477783195E-2</v>
      </c>
    </row>
    <row r="76" spans="1:41">
      <c r="A76">
        <f t="shared" ref="A76:A80" si="41">A75+1</f>
        <v>32</v>
      </c>
      <c r="B76">
        <f t="shared" si="2"/>
        <v>91</v>
      </c>
      <c r="C76">
        <f t="shared" si="3"/>
        <v>0</v>
      </c>
      <c r="D76">
        <f t="shared" si="4"/>
        <v>44</v>
      </c>
      <c r="E76">
        <f t="shared" si="5"/>
        <v>2</v>
      </c>
      <c r="F76">
        <f t="shared" si="14"/>
        <v>22</v>
      </c>
      <c r="G76">
        <f t="shared" si="6"/>
        <v>0.5</v>
      </c>
      <c r="H76">
        <f t="shared" si="0"/>
        <v>1</v>
      </c>
      <c r="I76">
        <f t="shared" si="1"/>
        <v>0.5</v>
      </c>
      <c r="J76">
        <f t="shared" ref="J76:J80" si="42">SUM(O75:AO75)-SUM(P76:W76)-SUM(Y76:AF76)-SUM(AH76:AO76)</f>
        <v>9.4492181131359931</v>
      </c>
      <c r="K76">
        <f t="shared" ref="K76:K80" si="43">IF(J76&gt;0,J76,0)+N76</f>
        <v>38.449218113135991</v>
      </c>
      <c r="L76">
        <f t="shared" si="17"/>
        <v>1398177</v>
      </c>
      <c r="M76">
        <f t="shared" si="7"/>
        <v>44</v>
      </c>
      <c r="N76">
        <f t="shared" si="8"/>
        <v>29</v>
      </c>
      <c r="O76" s="4">
        <f t="shared" si="9"/>
        <v>8.1999999999999993</v>
      </c>
      <c r="P76" s="4">
        <f t="shared" si="18"/>
        <v>7.7899999999999991</v>
      </c>
      <c r="Q76" s="4">
        <f t="shared" si="18"/>
        <v>7.4004999999999992</v>
      </c>
      <c r="R76" s="4">
        <f t="shared" si="18"/>
        <v>7.0304749999999991</v>
      </c>
      <c r="S76" s="4">
        <f t="shared" si="18"/>
        <v>6.678951249999999</v>
      </c>
      <c r="T76" s="4">
        <f t="shared" si="19"/>
        <v>6.3450036874999984</v>
      </c>
      <c r="U76" s="4">
        <f t="shared" si="19"/>
        <v>6.0277535031249982</v>
      </c>
      <c r="V76" s="4">
        <f t="shared" si="19"/>
        <v>5.7263658279687482</v>
      </c>
      <c r="W76" s="4">
        <f t="shared" si="19"/>
        <v>5.4400475365703107</v>
      </c>
      <c r="X76" s="4">
        <f t="shared" si="20"/>
        <v>0</v>
      </c>
      <c r="Y76" s="4">
        <f t="shared" si="21"/>
        <v>0</v>
      </c>
      <c r="Z76" s="4">
        <f t="shared" si="22"/>
        <v>0</v>
      </c>
      <c r="AA76" s="4">
        <f t="shared" si="23"/>
        <v>0</v>
      </c>
      <c r="AB76" s="4">
        <f t="shared" si="24"/>
        <v>0</v>
      </c>
      <c r="AC76" s="4">
        <f t="shared" si="25"/>
        <v>0</v>
      </c>
      <c r="AD76" s="4">
        <f t="shared" si="26"/>
        <v>0</v>
      </c>
      <c r="AE76" s="4">
        <f t="shared" si="27"/>
        <v>0</v>
      </c>
      <c r="AF76" s="4">
        <f t="shared" si="28"/>
        <v>0</v>
      </c>
      <c r="AG76" s="4">
        <f t="shared" si="12"/>
        <v>0</v>
      </c>
      <c r="AH76" s="4">
        <f t="shared" si="29"/>
        <v>0.95</v>
      </c>
      <c r="AI76" s="4">
        <f t="shared" si="30"/>
        <v>0.45124999999999998</v>
      </c>
      <c r="AJ76" s="4">
        <f t="shared" si="31"/>
        <v>0.42868749999999994</v>
      </c>
      <c r="AK76" s="4">
        <f t="shared" si="32"/>
        <v>0</v>
      </c>
      <c r="AL76" s="4">
        <f t="shared" si="33"/>
        <v>9.6722617187499985E-2</v>
      </c>
      <c r="AM76" s="4">
        <f t="shared" si="34"/>
        <v>4.5943243164062487E-2</v>
      </c>
      <c r="AN76" s="4">
        <f t="shared" si="35"/>
        <v>4.3646081005859358E-2</v>
      </c>
      <c r="AO76" s="4">
        <f t="shared" si="36"/>
        <v>0</v>
      </c>
    </row>
    <row r="77" spans="1:41">
      <c r="A77">
        <f t="shared" si="41"/>
        <v>33</v>
      </c>
      <c r="B77">
        <f t="shared" si="2"/>
        <v>91</v>
      </c>
      <c r="C77">
        <f t="shared" si="3"/>
        <v>0</v>
      </c>
      <c r="D77">
        <f t="shared" si="4"/>
        <v>44</v>
      </c>
      <c r="E77">
        <f t="shared" si="5"/>
        <v>1</v>
      </c>
      <c r="F77">
        <f t="shared" si="14"/>
        <v>44</v>
      </c>
      <c r="G77">
        <f t="shared" si="6"/>
        <v>0.5</v>
      </c>
      <c r="H77">
        <f t="shared" si="0"/>
        <v>1</v>
      </c>
      <c r="I77">
        <f t="shared" si="1"/>
        <v>0.5</v>
      </c>
      <c r="J77">
        <f t="shared" si="42"/>
        <v>9.2585309567126579</v>
      </c>
      <c r="K77">
        <f t="shared" si="43"/>
        <v>38.258530956712661</v>
      </c>
      <c r="L77">
        <f t="shared" si="17"/>
        <v>1398177</v>
      </c>
      <c r="M77">
        <f t="shared" si="7"/>
        <v>44</v>
      </c>
      <c r="N77">
        <f t="shared" si="8"/>
        <v>29</v>
      </c>
      <c r="O77" s="4">
        <f t="shared" si="9"/>
        <v>8.1999999999999993</v>
      </c>
      <c r="P77" s="4">
        <f t="shared" si="18"/>
        <v>7.7899999999999991</v>
      </c>
      <c r="Q77" s="4">
        <f t="shared" si="18"/>
        <v>7.4004999999999992</v>
      </c>
      <c r="R77" s="4">
        <f t="shared" si="18"/>
        <v>7.0304749999999991</v>
      </c>
      <c r="S77" s="4">
        <f t="shared" si="18"/>
        <v>6.678951249999999</v>
      </c>
      <c r="T77" s="4">
        <f t="shared" si="19"/>
        <v>6.3450036874999984</v>
      </c>
      <c r="U77" s="4">
        <f t="shared" si="19"/>
        <v>6.0277535031249982</v>
      </c>
      <c r="V77" s="4">
        <f t="shared" si="19"/>
        <v>5.7263658279687482</v>
      </c>
      <c r="W77" s="4">
        <f t="shared" si="19"/>
        <v>5.4400475365703107</v>
      </c>
      <c r="X77" s="4">
        <f t="shared" si="20"/>
        <v>0</v>
      </c>
      <c r="Y77" s="4">
        <f t="shared" si="21"/>
        <v>0</v>
      </c>
      <c r="Z77" s="4">
        <f t="shared" si="22"/>
        <v>0</v>
      </c>
      <c r="AA77" s="4">
        <f t="shared" si="23"/>
        <v>0</v>
      </c>
      <c r="AB77" s="4">
        <f t="shared" si="24"/>
        <v>0</v>
      </c>
      <c r="AC77" s="4">
        <f t="shared" si="25"/>
        <v>0</v>
      </c>
      <c r="AD77" s="4">
        <f t="shared" si="26"/>
        <v>0</v>
      </c>
      <c r="AE77" s="4">
        <f t="shared" si="27"/>
        <v>0</v>
      </c>
      <c r="AF77" s="4">
        <f t="shared" si="28"/>
        <v>0</v>
      </c>
      <c r="AG77" s="4">
        <f t="shared" si="12"/>
        <v>1</v>
      </c>
      <c r="AH77" s="4">
        <f t="shared" si="29"/>
        <v>0</v>
      </c>
      <c r="AI77" s="4">
        <f t="shared" si="30"/>
        <v>0.45124999999999998</v>
      </c>
      <c r="AJ77" s="4">
        <f t="shared" si="31"/>
        <v>0.21434374999999997</v>
      </c>
      <c r="AK77" s="4">
        <f t="shared" si="32"/>
        <v>0.20362656249999997</v>
      </c>
      <c r="AL77" s="4">
        <f t="shared" si="33"/>
        <v>0</v>
      </c>
      <c r="AM77" s="4">
        <f t="shared" si="34"/>
        <v>4.5943243164062487E-2</v>
      </c>
      <c r="AN77" s="4">
        <f t="shared" si="35"/>
        <v>2.1823040502929679E-2</v>
      </c>
      <c r="AO77" s="4">
        <f t="shared" si="36"/>
        <v>2.0731888477783195E-2</v>
      </c>
    </row>
    <row r="78" spans="1:41">
      <c r="A78">
        <f t="shared" si="41"/>
        <v>34</v>
      </c>
      <c r="B78">
        <f t="shared" si="2"/>
        <v>92</v>
      </c>
      <c r="C78">
        <f t="shared" si="3"/>
        <v>0</v>
      </c>
      <c r="D78">
        <f t="shared" si="4"/>
        <v>44</v>
      </c>
      <c r="E78">
        <f t="shared" si="5"/>
        <v>2</v>
      </c>
      <c r="F78">
        <f t="shared" si="14"/>
        <v>22</v>
      </c>
      <c r="G78">
        <f t="shared" si="6"/>
        <v>1</v>
      </c>
      <c r="H78">
        <f t="shared" si="0"/>
        <v>1</v>
      </c>
      <c r="I78">
        <f t="shared" si="1"/>
        <v>0.5</v>
      </c>
      <c r="J78">
        <f t="shared" si="42"/>
        <v>8.7626498514654543</v>
      </c>
      <c r="K78">
        <f t="shared" si="43"/>
        <v>37.762649851465454</v>
      </c>
      <c r="L78">
        <f t="shared" si="17"/>
        <v>1398177</v>
      </c>
      <c r="M78">
        <f t="shared" si="7"/>
        <v>44</v>
      </c>
      <c r="N78">
        <f t="shared" si="8"/>
        <v>29</v>
      </c>
      <c r="O78" s="4">
        <f t="shared" si="9"/>
        <v>8.1999999999999993</v>
      </c>
      <c r="P78" s="4">
        <f t="shared" si="18"/>
        <v>7.7899999999999991</v>
      </c>
      <c r="Q78" s="4">
        <f t="shared" si="18"/>
        <v>7.4004999999999992</v>
      </c>
      <c r="R78" s="4">
        <f t="shared" si="18"/>
        <v>7.0304749999999991</v>
      </c>
      <c r="S78" s="4">
        <f t="shared" si="18"/>
        <v>6.678951249999999</v>
      </c>
      <c r="T78" s="4">
        <f t="shared" si="19"/>
        <v>6.3450036874999984</v>
      </c>
      <c r="U78" s="4">
        <f t="shared" si="19"/>
        <v>6.0277535031249982</v>
      </c>
      <c r="V78" s="4">
        <f t="shared" si="19"/>
        <v>5.7263658279687482</v>
      </c>
      <c r="W78" s="4">
        <f t="shared" si="19"/>
        <v>5.4400475365703107</v>
      </c>
      <c r="X78" s="4">
        <f t="shared" si="20"/>
        <v>0</v>
      </c>
      <c r="Y78" s="4">
        <f t="shared" si="21"/>
        <v>0</v>
      </c>
      <c r="Z78" s="4">
        <f t="shared" si="22"/>
        <v>0</v>
      </c>
      <c r="AA78" s="4">
        <f t="shared" si="23"/>
        <v>0</v>
      </c>
      <c r="AB78" s="4">
        <f t="shared" si="24"/>
        <v>0</v>
      </c>
      <c r="AC78" s="4">
        <f t="shared" si="25"/>
        <v>0</v>
      </c>
      <c r="AD78" s="4">
        <f t="shared" si="26"/>
        <v>0</v>
      </c>
      <c r="AE78" s="4">
        <f t="shared" si="27"/>
        <v>0</v>
      </c>
      <c r="AF78" s="4">
        <f t="shared" si="28"/>
        <v>0</v>
      </c>
      <c r="AG78" s="4">
        <f t="shared" si="12"/>
        <v>1</v>
      </c>
      <c r="AH78" s="4">
        <f t="shared" si="29"/>
        <v>0.95</v>
      </c>
      <c r="AI78" s="4">
        <f t="shared" si="30"/>
        <v>0</v>
      </c>
      <c r="AJ78" s="4">
        <f t="shared" si="31"/>
        <v>0.21434374999999997</v>
      </c>
      <c r="AK78" s="4">
        <f t="shared" si="32"/>
        <v>0.10181328124999998</v>
      </c>
      <c r="AL78" s="4">
        <f t="shared" si="33"/>
        <v>9.6722617187499985E-2</v>
      </c>
      <c r="AM78" s="4">
        <f t="shared" si="34"/>
        <v>0</v>
      </c>
      <c r="AN78" s="4">
        <f t="shared" si="35"/>
        <v>2.1823040502929679E-2</v>
      </c>
      <c r="AO78" s="4">
        <f t="shared" si="36"/>
        <v>1.0365944238891598E-2</v>
      </c>
    </row>
    <row r="79" spans="1:41">
      <c r="A79">
        <f t="shared" si="41"/>
        <v>35</v>
      </c>
      <c r="B79">
        <f t="shared" si="2"/>
        <v>92</v>
      </c>
      <c r="C79">
        <f t="shared" si="3"/>
        <v>0</v>
      </c>
      <c r="D79">
        <f t="shared" si="4"/>
        <v>44</v>
      </c>
      <c r="E79">
        <f t="shared" si="5"/>
        <v>3</v>
      </c>
      <c r="F79">
        <f t="shared" si="14"/>
        <v>14.666666666666666</v>
      </c>
      <c r="G79">
        <f t="shared" si="6"/>
        <v>0.5</v>
      </c>
      <c r="H79">
        <f t="shared" si="0"/>
        <v>1</v>
      </c>
      <c r="I79">
        <f t="shared" si="1"/>
        <v>0.5</v>
      </c>
      <c r="J79">
        <f t="shared" si="42"/>
        <v>8.329601078685922</v>
      </c>
      <c r="K79">
        <f t="shared" si="43"/>
        <v>37.329601078685926</v>
      </c>
      <c r="L79">
        <f t="shared" si="17"/>
        <v>1398177</v>
      </c>
      <c r="M79">
        <f t="shared" si="7"/>
        <v>44</v>
      </c>
      <c r="N79">
        <f t="shared" si="8"/>
        <v>29</v>
      </c>
      <c r="O79" s="4">
        <f t="shared" si="9"/>
        <v>8.1999999999999993</v>
      </c>
      <c r="P79" s="4">
        <f t="shared" si="18"/>
        <v>7.7899999999999991</v>
      </c>
      <c r="Q79" s="4">
        <f t="shared" si="18"/>
        <v>7.4004999999999992</v>
      </c>
      <c r="R79" s="4">
        <f t="shared" si="18"/>
        <v>7.0304749999999991</v>
      </c>
      <c r="S79" s="4">
        <f t="shared" si="18"/>
        <v>6.678951249999999</v>
      </c>
      <c r="T79" s="4">
        <f t="shared" si="19"/>
        <v>6.3450036874999984</v>
      </c>
      <c r="U79" s="4">
        <f t="shared" si="19"/>
        <v>6.0277535031249982</v>
      </c>
      <c r="V79" s="4">
        <f t="shared" si="19"/>
        <v>5.7263658279687482</v>
      </c>
      <c r="W79" s="4">
        <f t="shared" si="19"/>
        <v>5.4400475365703107</v>
      </c>
      <c r="X79" s="4">
        <f t="shared" si="20"/>
        <v>0</v>
      </c>
      <c r="Y79" s="4">
        <f t="shared" si="21"/>
        <v>0</v>
      </c>
      <c r="Z79" s="4">
        <f t="shared" si="22"/>
        <v>0</v>
      </c>
      <c r="AA79" s="4">
        <f t="shared" si="23"/>
        <v>0</v>
      </c>
      <c r="AB79" s="4">
        <f t="shared" si="24"/>
        <v>0</v>
      </c>
      <c r="AC79" s="4">
        <f t="shared" si="25"/>
        <v>0</v>
      </c>
      <c r="AD79" s="4">
        <f t="shared" si="26"/>
        <v>0</v>
      </c>
      <c r="AE79" s="4">
        <f t="shared" si="27"/>
        <v>0</v>
      </c>
      <c r="AF79" s="4">
        <f t="shared" si="28"/>
        <v>0</v>
      </c>
      <c r="AG79" s="4">
        <f t="shared" si="12"/>
        <v>1</v>
      </c>
      <c r="AH79" s="4">
        <f t="shared" si="29"/>
        <v>0.95</v>
      </c>
      <c r="AI79" s="4">
        <f t="shared" si="30"/>
        <v>0.90249999999999997</v>
      </c>
      <c r="AJ79" s="4">
        <f t="shared" si="31"/>
        <v>0</v>
      </c>
      <c r="AK79" s="4">
        <f t="shared" si="32"/>
        <v>0.20362656249999997</v>
      </c>
      <c r="AL79" s="4">
        <f t="shared" si="33"/>
        <v>9.6722617187499985E-2</v>
      </c>
      <c r="AM79" s="4">
        <f t="shared" si="34"/>
        <v>9.1886486328124975E-2</v>
      </c>
      <c r="AN79" s="4">
        <f t="shared" si="35"/>
        <v>0</v>
      </c>
      <c r="AO79" s="4">
        <f t="shared" si="36"/>
        <v>2.0731888477783195E-2</v>
      </c>
    </row>
    <row r="80" spans="1:41">
      <c r="A80">
        <f t="shared" si="41"/>
        <v>36</v>
      </c>
      <c r="B80">
        <f t="shared" si="2"/>
        <v>91</v>
      </c>
      <c r="C80">
        <f t="shared" si="3"/>
        <v>0</v>
      </c>
      <c r="D80">
        <f t="shared" si="4"/>
        <v>44</v>
      </c>
      <c r="E80">
        <f t="shared" si="5"/>
        <v>2</v>
      </c>
      <c r="F80">
        <f t="shared" si="14"/>
        <v>22</v>
      </c>
      <c r="G80">
        <f t="shared" si="6"/>
        <v>0.5</v>
      </c>
      <c r="H80">
        <f t="shared" si="0"/>
        <v>1</v>
      </c>
      <c r="I80">
        <f t="shared" si="1"/>
        <v>0.5</v>
      </c>
      <c r="J80">
        <f t="shared" si="42"/>
        <v>9.4492181131359931</v>
      </c>
      <c r="K80">
        <f t="shared" si="43"/>
        <v>38.449218113135991</v>
      </c>
      <c r="L80">
        <f t="shared" si="17"/>
        <v>1398177</v>
      </c>
      <c r="M80">
        <f t="shared" si="7"/>
        <v>44</v>
      </c>
      <c r="N80">
        <f t="shared" si="8"/>
        <v>29</v>
      </c>
      <c r="O80" s="4">
        <f t="shared" si="9"/>
        <v>8.1999999999999993</v>
      </c>
      <c r="P80" s="4">
        <f t="shared" si="18"/>
        <v>7.7899999999999991</v>
      </c>
      <c r="Q80" s="4">
        <f t="shared" si="18"/>
        <v>7.4004999999999992</v>
      </c>
      <c r="R80" s="4">
        <f t="shared" si="18"/>
        <v>7.0304749999999991</v>
      </c>
      <c r="S80" s="4">
        <f t="shared" si="18"/>
        <v>6.678951249999999</v>
      </c>
      <c r="T80" s="4">
        <f t="shared" si="19"/>
        <v>6.3450036874999984</v>
      </c>
      <c r="U80" s="4">
        <f t="shared" si="19"/>
        <v>6.0277535031249982</v>
      </c>
      <c r="V80" s="4">
        <f t="shared" si="19"/>
        <v>5.7263658279687482</v>
      </c>
      <c r="W80" s="4">
        <f t="shared" si="19"/>
        <v>5.4400475365703107</v>
      </c>
      <c r="X80" s="4">
        <f t="shared" si="20"/>
        <v>0</v>
      </c>
      <c r="Y80" s="4">
        <f t="shared" si="21"/>
        <v>0</v>
      </c>
      <c r="Z80" s="4">
        <f t="shared" si="22"/>
        <v>0</v>
      </c>
      <c r="AA80" s="4">
        <f t="shared" si="23"/>
        <v>0</v>
      </c>
      <c r="AB80" s="4">
        <f t="shared" si="24"/>
        <v>0</v>
      </c>
      <c r="AC80" s="4">
        <f t="shared" si="25"/>
        <v>0</v>
      </c>
      <c r="AD80" s="4">
        <f t="shared" si="26"/>
        <v>0</v>
      </c>
      <c r="AE80" s="4">
        <f t="shared" si="27"/>
        <v>0</v>
      </c>
      <c r="AF80" s="4">
        <f t="shared" si="28"/>
        <v>0</v>
      </c>
      <c r="AG80" s="4">
        <f t="shared" si="12"/>
        <v>0</v>
      </c>
      <c r="AH80" s="4">
        <f t="shared" si="29"/>
        <v>0.95</v>
      </c>
      <c r="AI80" s="4">
        <f t="shared" si="30"/>
        <v>0.45124999999999998</v>
      </c>
      <c r="AJ80" s="4">
        <f t="shared" si="31"/>
        <v>0.42868749999999994</v>
      </c>
      <c r="AK80" s="4">
        <f t="shared" si="32"/>
        <v>0</v>
      </c>
      <c r="AL80" s="4">
        <f t="shared" si="33"/>
        <v>9.6722617187499985E-2</v>
      </c>
      <c r="AM80" s="4">
        <f t="shared" si="34"/>
        <v>4.5943243164062487E-2</v>
      </c>
      <c r="AN80" s="4">
        <f t="shared" si="35"/>
        <v>4.3646081005859358E-2</v>
      </c>
      <c r="AO80" s="4">
        <f t="shared" si="36"/>
        <v>0</v>
      </c>
    </row>
    <row r="81" spans="6:6">
      <c r="F81">
        <f t="shared" si="14"/>
        <v>0</v>
      </c>
    </row>
  </sheetData>
  <pageMargins left="0.7" right="0.7" top="0.75" bottom="0.75" header="0.3" footer="0.3"/>
  <pageSetup orientation="portrait" horizontalDpi="0" verticalDpi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AAF59-74DD-8741-972D-AB9022076D4B}">
  <dimension ref="A1:F60"/>
  <sheetViews>
    <sheetView workbookViewId="0"/>
  </sheetViews>
  <sheetFormatPr baseColWidth="10" defaultRowHeight="16"/>
  <cols>
    <col min="1" max="1" width="29" bestFit="1" customWidth="1"/>
  </cols>
  <sheetData>
    <row r="1" spans="1:4">
      <c r="A1" t="s">
        <v>118</v>
      </c>
      <c r="B1">
        <f>Vehicle!E25</f>
        <v>291</v>
      </c>
    </row>
    <row r="3" spans="1:4">
      <c r="A3" t="s">
        <v>245</v>
      </c>
    </row>
    <row r="5" spans="1:4">
      <c r="A5" t="s">
        <v>246</v>
      </c>
      <c r="B5">
        <f>Agriculture!D11</f>
        <v>5.2447664141414165</v>
      </c>
    </row>
    <row r="6" spans="1:4">
      <c r="A6" t="s">
        <v>250</v>
      </c>
      <c r="B6">
        <f>B5*B1+SUM(B26:D26)+B43+B59</f>
        <v>93082.101592720282</v>
      </c>
    </row>
    <row r="7" spans="1:4">
      <c r="A7" t="s">
        <v>247</v>
      </c>
      <c r="B7">
        <v>1</v>
      </c>
    </row>
    <row r="8" spans="1:4">
      <c r="A8" t="s">
        <v>248</v>
      </c>
      <c r="B8">
        <f>B6/B7</f>
        <v>93082.101592720282</v>
      </c>
    </row>
    <row r="9" spans="1:4">
      <c r="A9" t="s">
        <v>249</v>
      </c>
      <c r="B9">
        <v>2</v>
      </c>
    </row>
    <row r="10" spans="1:4">
      <c r="A10" t="s">
        <v>440</v>
      </c>
      <c r="B10">
        <f>B8*B9</f>
        <v>186164.20318544056</v>
      </c>
    </row>
    <row r="12" spans="1:4">
      <c r="A12" t="s">
        <v>269</v>
      </c>
      <c r="B12" t="s">
        <v>275</v>
      </c>
      <c r="C12" t="s">
        <v>276</v>
      </c>
      <c r="D12" t="s">
        <v>277</v>
      </c>
    </row>
    <row r="13" spans="1:4">
      <c r="A13" t="s">
        <v>308</v>
      </c>
      <c r="B13">
        <f>Agriculture!D13*B1</f>
        <v>3968.1818181818176</v>
      </c>
    </row>
    <row r="14" spans="1:4">
      <c r="A14" t="s">
        <v>281</v>
      </c>
      <c r="B14">
        <v>0.1</v>
      </c>
    </row>
    <row r="15" spans="1:4">
      <c r="A15" t="s">
        <v>270</v>
      </c>
      <c r="B15">
        <f>B16/B1</f>
        <v>3.4090909090909087</v>
      </c>
      <c r="C15">
        <f>C16/B1</f>
        <v>10.227272727272725</v>
      </c>
      <c r="D15">
        <f>D16/B1</f>
        <v>0.68181818181818166</v>
      </c>
    </row>
    <row r="16" spans="1:4">
      <c r="A16" t="s">
        <v>271</v>
      </c>
      <c r="B16">
        <f>B13*0.25</f>
        <v>992.04545454545439</v>
      </c>
      <c r="C16">
        <f>B13*0.75</f>
        <v>2976.1363636363631</v>
      </c>
      <c r="D16">
        <f>B13*0.05</f>
        <v>198.40909090909088</v>
      </c>
    </row>
    <row r="17" spans="1:6">
      <c r="A17" t="s">
        <v>272</v>
      </c>
      <c r="B17">
        <v>0.66</v>
      </c>
      <c r="C17">
        <v>0.66</v>
      </c>
      <c r="D17">
        <v>0.66</v>
      </c>
    </row>
    <row r="18" spans="1:6">
      <c r="A18" t="s">
        <v>273</v>
      </c>
      <c r="B18">
        <f>B16/B17</f>
        <v>1503.0991735537186</v>
      </c>
      <c r="C18">
        <f>C16/C17</f>
        <v>4509.2975206611563</v>
      </c>
      <c r="D18">
        <f>D16/D17</f>
        <v>300.61983471074376</v>
      </c>
    </row>
    <row r="19" spans="1:6">
      <c r="A19" t="s">
        <v>323</v>
      </c>
      <c r="B19">
        <f>B18/2</f>
        <v>751.54958677685931</v>
      </c>
      <c r="C19">
        <f>C18/6</f>
        <v>751.54958677685943</v>
      </c>
      <c r="D19">
        <f>D18/4</f>
        <v>75.15495867768594</v>
      </c>
    </row>
    <row r="20" spans="1:6">
      <c r="A20" t="s">
        <v>443</v>
      </c>
      <c r="B20">
        <f>SUM(B19:D19)</f>
        <v>1578.2541322314046</v>
      </c>
    </row>
    <row r="21" spans="1:6">
      <c r="A21" t="s">
        <v>324</v>
      </c>
      <c r="B21">
        <v>0.27100000000000002</v>
      </c>
      <c r="C21" t="s">
        <v>20</v>
      </c>
    </row>
    <row r="22" spans="1:6">
      <c r="A22" t="s">
        <v>322</v>
      </c>
      <c r="B22">
        <f>SUM(B19:D19)*B21*11</f>
        <v>4704.775568181818</v>
      </c>
    </row>
    <row r="23" spans="1:6">
      <c r="A23" t="s">
        <v>279</v>
      </c>
      <c r="B23">
        <f>B24*0.25</f>
        <v>0.55555555555555558</v>
      </c>
      <c r="C23">
        <f t="shared" ref="C23:D23" si="0">C24*0.25</f>
        <v>1.4583333333333333</v>
      </c>
      <c r="D23">
        <f t="shared" si="0"/>
        <v>1.4583333333333333</v>
      </c>
      <c r="F23" t="s">
        <v>274</v>
      </c>
    </row>
    <row r="24" spans="1:6">
      <c r="A24" t="s">
        <v>249</v>
      </c>
      <c r="B24">
        <f>(1+1.5+1.5)/1.8</f>
        <v>2.2222222222222223</v>
      </c>
      <c r="C24">
        <f>(1+5+4.5)/1.8</f>
        <v>5.833333333333333</v>
      </c>
      <c r="D24">
        <f>(1+5+4.5)/1.8</f>
        <v>5.833333333333333</v>
      </c>
    </row>
    <row r="25" spans="1:6">
      <c r="A25" t="s">
        <v>278</v>
      </c>
      <c r="B25">
        <f>B18*B24</f>
        <v>3340.2203856749306</v>
      </c>
      <c r="C25">
        <f>C18*C24</f>
        <v>26304.235537190078</v>
      </c>
      <c r="D25">
        <f>D18*D24</f>
        <v>1753.6157024793386</v>
      </c>
    </row>
    <row r="26" spans="1:6">
      <c r="A26" t="s">
        <v>280</v>
      </c>
      <c r="B26">
        <f>B25*$B$14</f>
        <v>334.0220385674931</v>
      </c>
      <c r="C26">
        <f t="shared" ref="C26:D26" si="1">C25*$B$14</f>
        <v>2630.4235537190079</v>
      </c>
      <c r="D26">
        <f t="shared" si="1"/>
        <v>175.36157024793386</v>
      </c>
    </row>
    <row r="27" spans="1:6">
      <c r="A27" t="s">
        <v>440</v>
      </c>
      <c r="B27">
        <f>SUM(B25:D25)-SUM(B26:D26)</f>
        <v>28258.264462809911</v>
      </c>
    </row>
    <row r="29" spans="1:6">
      <c r="A29" t="s">
        <v>300</v>
      </c>
      <c r="B29" t="s">
        <v>307</v>
      </c>
    </row>
    <row r="31" spans="1:6">
      <c r="A31" t="s">
        <v>308</v>
      </c>
      <c r="B31">
        <f>Agriculture!D14*B1</f>
        <v>1322.7272727272725</v>
      </c>
    </row>
    <row r="32" spans="1:6">
      <c r="A32" t="s">
        <v>272</v>
      </c>
      <c r="B32">
        <v>0.75</v>
      </c>
    </row>
    <row r="33" spans="1:4">
      <c r="A33" t="s">
        <v>273</v>
      </c>
      <c r="B33">
        <f>B31/B32</f>
        <v>1763.6363636363633</v>
      </c>
    </row>
    <row r="34" spans="1:4">
      <c r="A34" t="s">
        <v>309</v>
      </c>
      <c r="B34">
        <v>105</v>
      </c>
    </row>
    <row r="35" spans="1:4">
      <c r="A35" t="s">
        <v>310</v>
      </c>
      <c r="B35">
        <f>B33/B34</f>
        <v>16.796536796536792</v>
      </c>
    </row>
    <row r="36" spans="1:4">
      <c r="A36" t="s">
        <v>321</v>
      </c>
      <c r="B36">
        <v>4</v>
      </c>
    </row>
    <row r="37" spans="1:4">
      <c r="A37" t="s">
        <v>322</v>
      </c>
      <c r="B37">
        <f>B35*B36*11</f>
        <v>739.04761904761881</v>
      </c>
    </row>
    <row r="38" spans="1:4">
      <c r="A38" t="s">
        <v>279</v>
      </c>
      <c r="B38">
        <f>B39*0.25</f>
        <v>0.81168831168831157</v>
      </c>
    </row>
    <row r="39" spans="1:4">
      <c r="A39" t="s">
        <v>249</v>
      </c>
      <c r="B39">
        <f>B41/B33</f>
        <v>3.2467532467532463</v>
      </c>
    </row>
    <row r="40" spans="1:4">
      <c r="A40" t="s">
        <v>311</v>
      </c>
      <c r="B40">
        <f>750/2.2</f>
        <v>340.90909090909088</v>
      </c>
      <c r="C40" t="s">
        <v>313</v>
      </c>
      <c r="D40" t="s">
        <v>312</v>
      </c>
    </row>
    <row r="41" spans="1:4">
      <c r="A41" t="s">
        <v>278</v>
      </c>
      <c r="B41">
        <f>B40*B35</f>
        <v>5726.0920897284514</v>
      </c>
    </row>
    <row r="42" spans="1:4">
      <c r="A42" t="s">
        <v>319</v>
      </c>
      <c r="C42">
        <v>0</v>
      </c>
    </row>
    <row r="43" spans="1:4">
      <c r="A43" t="s">
        <v>280</v>
      </c>
      <c r="B43">
        <f>(B41-C42)*B14</f>
        <v>572.60920897284518</v>
      </c>
    </row>
    <row r="44" spans="1:4">
      <c r="A44" t="s">
        <v>440</v>
      </c>
      <c r="B44">
        <f>B41-C42</f>
        <v>5726.0920897284514</v>
      </c>
    </row>
    <row r="46" spans="1:4">
      <c r="A46" t="s">
        <v>568</v>
      </c>
    </row>
    <row r="48" spans="1:4">
      <c r="A48" t="s">
        <v>308</v>
      </c>
      <c r="B48">
        <f>Agriculture!D15*B18</f>
        <v>27055.785123966936</v>
      </c>
      <c r="D48" t="s">
        <v>569</v>
      </c>
    </row>
    <row r="49" spans="1:3">
      <c r="A49" t="s">
        <v>272</v>
      </c>
      <c r="B49">
        <v>0.75</v>
      </c>
    </row>
    <row r="50" spans="1:3">
      <c r="A50" t="s">
        <v>273</v>
      </c>
      <c r="B50">
        <f>B48/B49</f>
        <v>36074.380165289251</v>
      </c>
    </row>
    <row r="51" spans="1:3">
      <c r="A51" t="s">
        <v>309</v>
      </c>
      <c r="B51">
        <v>105</v>
      </c>
    </row>
    <row r="52" spans="1:3">
      <c r="A52" t="s">
        <v>310</v>
      </c>
      <c r="B52">
        <f>B50/B51</f>
        <v>343.56552538370715</v>
      </c>
    </row>
    <row r="53" spans="1:3">
      <c r="A53" t="s">
        <v>321</v>
      </c>
      <c r="B53">
        <v>4</v>
      </c>
    </row>
    <row r="54" spans="1:3">
      <c r="A54" t="s">
        <v>322</v>
      </c>
      <c r="B54">
        <f>B52*B53*11</f>
        <v>15116.883116883115</v>
      </c>
    </row>
    <row r="55" spans="1:3">
      <c r="A55" t="s">
        <v>279</v>
      </c>
      <c r="B55">
        <f>B56*0.25</f>
        <v>0.81168831168831157</v>
      </c>
    </row>
    <row r="56" spans="1:3">
      <c r="A56" t="s">
        <v>249</v>
      </c>
      <c r="B56">
        <f>B58/B50</f>
        <v>3.2467532467532463</v>
      </c>
    </row>
    <row r="57" spans="1:3">
      <c r="A57" t="s">
        <v>311</v>
      </c>
      <c r="B57">
        <f>750/2.2</f>
        <v>340.90909090909088</v>
      </c>
      <c r="C57" t="s">
        <v>570</v>
      </c>
    </row>
    <row r="58" spans="1:3">
      <c r="A58" t="s">
        <v>278</v>
      </c>
      <c r="B58">
        <f>B57*B52</f>
        <v>117124.61092626379</v>
      </c>
    </row>
    <row r="59" spans="1:3">
      <c r="A59" t="s">
        <v>280</v>
      </c>
      <c r="B59">
        <f>B58*0.75</f>
        <v>87843.458194697843</v>
      </c>
    </row>
    <row r="60" spans="1:3">
      <c r="A60" t="s">
        <v>440</v>
      </c>
      <c r="B60">
        <f>B58-B59</f>
        <v>29281.152731565948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3</vt:i4>
      </vt:variant>
    </vt:vector>
  </HeadingPairs>
  <TitlesOfParts>
    <vt:vector size="22" baseType="lpstr">
      <vt:lpstr>Vehicle</vt:lpstr>
      <vt:lpstr>Automation</vt:lpstr>
      <vt:lpstr>Conversion</vt:lpstr>
      <vt:lpstr>Costs</vt:lpstr>
      <vt:lpstr>Geometry</vt:lpstr>
      <vt:lpstr>Gravity</vt:lpstr>
      <vt:lpstr>Sheet2</vt:lpstr>
      <vt:lpstr>Power Consumption</vt:lpstr>
      <vt:lpstr>Propulsion</vt:lpstr>
      <vt:lpstr>Population</vt:lpstr>
      <vt:lpstr>Population Model</vt:lpstr>
      <vt:lpstr>Vocations</vt:lpstr>
      <vt:lpstr>Billet</vt:lpstr>
      <vt:lpstr>Agriculture</vt:lpstr>
      <vt:lpstr>Crops</vt:lpstr>
      <vt:lpstr>Diet</vt:lpstr>
      <vt:lpstr>Aquaculture</vt:lpstr>
      <vt:lpstr>Cattle</vt:lpstr>
      <vt:lpstr>Protein</vt:lpstr>
      <vt:lpstr>Vocations!Criteria</vt:lpstr>
      <vt:lpstr>Vocations!Extract</vt:lpstr>
      <vt:lpstr>Vocations!Print_Area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cp:lastPrinted>2019-03-30T21:01:46Z</cp:lastPrinted>
  <dcterms:created xsi:type="dcterms:W3CDTF">2019-01-31T03:30:08Z</dcterms:created>
  <dcterms:modified xsi:type="dcterms:W3CDTF">2019-05-08T05:02:02Z</dcterms:modified>
</cp:coreProperties>
</file>