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Documents/Games/Iliad-07/"/>
    </mc:Choice>
  </mc:AlternateContent>
  <xr:revisionPtr revIDLastSave="0" documentId="13_ncr:1_{F5F76900-AF8F-9E46-B68F-60366ED934A6}" xr6:coauthVersionLast="36" xr6:coauthVersionMax="36" xr10:uidLastSave="{00000000-0000-0000-0000-000000000000}"/>
  <bookViews>
    <workbookView xWindow="4400" yWindow="1640" windowWidth="31120" windowHeight="17720" activeTab="1" xr2:uid="{20718141-F9D4-A04D-8D50-E9BB2D5E08CE}"/>
  </bookViews>
  <sheets>
    <sheet name="Mission" sheetId="31" r:id="rId1"/>
    <sheet name="DateConvert" sheetId="33" r:id="rId2"/>
    <sheet name="Calendar" sheetId="34" r:id="rId3"/>
    <sheet name="Vehicle" sheetId="1" r:id="rId4"/>
    <sheet name="Automation" sheetId="26" r:id="rId5"/>
    <sheet name="Conversion" sheetId="27" r:id="rId6"/>
    <sheet name="Geometry" sheetId="18" r:id="rId7"/>
    <sheet name="Gravity" sheetId="19" r:id="rId8"/>
    <sheet name="Power Consumption" sheetId="13" r:id="rId9"/>
    <sheet name="Propulsion" sheetId="7" r:id="rId10"/>
    <sheet name="Population" sheetId="6" r:id="rId11"/>
    <sheet name="Population Model" sheetId="28" r:id="rId12"/>
    <sheet name="Vocations" sheetId="24" r:id="rId13"/>
    <sheet name="Agriculture" sheetId="9" r:id="rId14"/>
    <sheet name="Crops" sheetId="21" r:id="rId15"/>
    <sheet name="Diet" sheetId="20" r:id="rId16"/>
    <sheet name="Aquaculture" sheetId="14" r:id="rId17"/>
    <sheet name="Cattle" sheetId="8" r:id="rId18"/>
    <sheet name="Protein" sheetId="15" r:id="rId19"/>
    <sheet name="Buildings" sheetId="17" r:id="rId20"/>
  </sheets>
  <definedNames>
    <definedName name="_xlnm._FilterDatabase" localSheetId="7" hidden="1">Gravity!$A$6:$T$117</definedName>
    <definedName name="_xlnm._FilterDatabase" localSheetId="12" hidden="1">Vocations!$A:$A</definedName>
    <definedName name="_xlnm.Criteria" localSheetId="12">Vocations!$A:$A</definedName>
    <definedName name="_xlnm.Extract" localSheetId="12">Vocations!$B$14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20" l="1"/>
  <c r="I11" i="20"/>
  <c r="I12" i="20"/>
  <c r="I13" i="20"/>
  <c r="I14" i="20"/>
  <c r="I15" i="20"/>
  <c r="I16" i="20"/>
  <c r="I17" i="20"/>
  <c r="I18" i="20"/>
  <c r="I19" i="20"/>
  <c r="I20" i="20"/>
  <c r="I21" i="20"/>
  <c r="I22" i="20"/>
  <c r="I23" i="20"/>
  <c r="I24" i="20"/>
  <c r="I25" i="20"/>
  <c r="I26" i="20"/>
  <c r="I9" i="20"/>
  <c r="H10" i="20"/>
  <c r="H11" i="20"/>
  <c r="H12" i="20"/>
  <c r="H13" i="20"/>
  <c r="H14" i="20"/>
  <c r="H15" i="20"/>
  <c r="H16" i="20"/>
  <c r="H17" i="20"/>
  <c r="H18" i="20"/>
  <c r="H19" i="20"/>
  <c r="H20" i="20"/>
  <c r="H21" i="20"/>
  <c r="H22" i="20"/>
  <c r="H23" i="20"/>
  <c r="H24" i="20"/>
  <c r="H25" i="20"/>
  <c r="H26" i="20"/>
  <c r="H9" i="20"/>
  <c r="C10" i="20"/>
  <c r="C11" i="20"/>
  <c r="C12" i="20"/>
  <c r="C13" i="20"/>
  <c r="C14" i="20"/>
  <c r="C15" i="20"/>
  <c r="C16" i="20"/>
  <c r="C17" i="20"/>
  <c r="C18" i="20"/>
  <c r="C19" i="20"/>
  <c r="C20" i="20"/>
  <c r="C21" i="20"/>
  <c r="C22" i="20"/>
  <c r="C23" i="20"/>
  <c r="C24" i="20"/>
  <c r="C25" i="20"/>
  <c r="C26" i="20"/>
  <c r="C9" i="20"/>
  <c r="C24" i="31"/>
  <c r="B24" i="31"/>
  <c r="G8" i="19" l="1"/>
  <c r="L8" i="19"/>
  <c r="D33" i="33" l="1"/>
  <c r="D32" i="33"/>
  <c r="D31" i="33"/>
  <c r="D11" i="33"/>
  <c r="D10" i="33"/>
  <c r="R6" i="18" l="1"/>
  <c r="R7" i="18" s="1"/>
  <c r="P6" i="18"/>
  <c r="R2" i="19"/>
  <c r="R8" i="18" l="1"/>
  <c r="S7" i="18"/>
  <c r="P3" i="19"/>
  <c r="O3" i="19"/>
  <c r="N3" i="19"/>
  <c r="O2" i="19"/>
  <c r="N2" i="19"/>
  <c r="H3" i="18" l="1"/>
  <c r="J2" i="18"/>
  <c r="P5" i="18"/>
  <c r="D6" i="33" l="1"/>
  <c r="G1" i="34" l="1"/>
  <c r="F3" i="33"/>
  <c r="D3" i="33"/>
  <c r="AA5" i="28"/>
  <c r="M3" i="28"/>
  <c r="X3" i="28"/>
  <c r="B9" i="33"/>
  <c r="B8" i="33"/>
  <c r="B2" i="34"/>
  <c r="B3" i="34" s="1"/>
  <c r="F57" i="33"/>
  <c r="H57" i="33" s="1"/>
  <c r="D57" i="33"/>
  <c r="G57" i="33" s="1"/>
  <c r="E56" i="33"/>
  <c r="D56" i="33" s="1"/>
  <c r="C56" i="33" s="1"/>
  <c r="J54" i="33"/>
  <c r="F54" i="33"/>
  <c r="H54" i="33" s="1"/>
  <c r="D54" i="33"/>
  <c r="E54" i="33" s="1"/>
  <c r="C54" i="33"/>
  <c r="D52" i="33"/>
  <c r="C52" i="33"/>
  <c r="D51" i="33"/>
  <c r="C51" i="33"/>
  <c r="N48" i="33"/>
  <c r="K48" i="33"/>
  <c r="C30" i="33"/>
  <c r="B30" i="33" s="1"/>
  <c r="N8" i="33"/>
  <c r="J8" i="33"/>
  <c r="I28" i="33"/>
  <c r="J28" i="33" s="1"/>
  <c r="D5" i="33"/>
  <c r="M48" i="33" s="1"/>
  <c r="L3" i="33"/>
  <c r="K2" i="33"/>
  <c r="N9" i="33" s="1"/>
  <c r="G2" i="33"/>
  <c r="F2" i="33"/>
  <c r="G1" i="33"/>
  <c r="F1" i="33"/>
  <c r="G8" i="33" s="1"/>
  <c r="B7" i="31"/>
  <c r="D7" i="31"/>
  <c r="D11" i="31"/>
  <c r="B8" i="31"/>
  <c r="B11" i="31"/>
  <c r="F19" i="31"/>
  <c r="D18" i="31"/>
  <c r="E12" i="31"/>
  <c r="G55" i="6"/>
  <c r="F54" i="6"/>
  <c r="D55" i="6" s="1"/>
  <c r="C55" i="6"/>
  <c r="C56" i="6" s="1"/>
  <c r="C57" i="6" s="1"/>
  <c r="C58" i="6" s="1"/>
  <c r="B4" i="31"/>
  <c r="D3" i="34" l="1"/>
  <c r="E3" i="34" s="1"/>
  <c r="B4" i="34"/>
  <c r="D2" i="34"/>
  <c r="E2" i="34" s="1"/>
  <c r="A3" i="34" s="1"/>
  <c r="A4" i="34" s="1"/>
  <c r="I57" i="33"/>
  <c r="L28" i="33"/>
  <c r="K28" i="33"/>
  <c r="N28" i="33" s="1"/>
  <c r="F8" i="33"/>
  <c r="E8" i="33"/>
  <c r="L54" i="33"/>
  <c r="K54" i="33"/>
  <c r="G54" i="33"/>
  <c r="I54" i="33" s="1"/>
  <c r="D9" i="33"/>
  <c r="I29" i="33"/>
  <c r="J29" i="33" s="1"/>
  <c r="L29" i="33" s="1"/>
  <c r="L48" i="33"/>
  <c r="G9" i="33"/>
  <c r="E55" i="6"/>
  <c r="F55" i="6" s="1"/>
  <c r="D56" i="6" s="1"/>
  <c r="B6" i="6"/>
  <c r="J3" i="6" s="1"/>
  <c r="H47" i="31"/>
  <c r="B47" i="31" s="1"/>
  <c r="A47" i="31" s="1"/>
  <c r="B21" i="31"/>
  <c r="K29" i="33" l="1"/>
  <c r="N29" i="33" s="1"/>
  <c r="C31" i="33"/>
  <c r="D4" i="34"/>
  <c r="E4" i="34" s="1"/>
  <c r="A5" i="34" s="1"/>
  <c r="B5" i="34"/>
  <c r="C9" i="33"/>
  <c r="I3" i="33"/>
  <c r="H9" i="33"/>
  <c r="J9" i="33" s="1"/>
  <c r="D28" i="33"/>
  <c r="G3" i="33"/>
  <c r="G48" i="33"/>
  <c r="F9" i="33"/>
  <c r="E9" i="33"/>
  <c r="O9" i="33"/>
  <c r="E56" i="6"/>
  <c r="F56" i="6" s="1"/>
  <c r="E57" i="6" s="1"/>
  <c r="F57" i="6" s="1"/>
  <c r="I47" i="31"/>
  <c r="G24" i="20"/>
  <c r="J24" i="20"/>
  <c r="G25" i="20"/>
  <c r="J25" i="20"/>
  <c r="G17" i="20"/>
  <c r="J17" i="20"/>
  <c r="G13" i="20"/>
  <c r="J13" i="20"/>
  <c r="J12" i="20"/>
  <c r="G12" i="20"/>
  <c r="B31" i="33" l="1"/>
  <c r="C32" i="33"/>
  <c r="D5" i="34"/>
  <c r="E5" i="34" s="1"/>
  <c r="A6" i="34" s="1"/>
  <c r="B6" i="34"/>
  <c r="H31" i="33"/>
  <c r="H32" i="33"/>
  <c r="D48" i="33"/>
  <c r="H30" i="33"/>
  <c r="F48" i="33"/>
  <c r="O48" i="33"/>
  <c r="E48" i="33"/>
  <c r="H28" i="33"/>
  <c r="C28" i="33"/>
  <c r="B28" i="33" s="1"/>
  <c r="D57" i="6"/>
  <c r="D58" i="6"/>
  <c r="E58" i="6"/>
  <c r="F58" i="6" s="1"/>
  <c r="G21" i="31"/>
  <c r="I34" i="31"/>
  <c r="D49" i="31"/>
  <c r="D52" i="31"/>
  <c r="D53" i="31"/>
  <c r="D50" i="31"/>
  <c r="B66" i="1"/>
  <c r="F55" i="1"/>
  <c r="D32" i="27"/>
  <c r="D31" i="27"/>
  <c r="M19" i="31"/>
  <c r="J10" i="31"/>
  <c r="J6" i="31"/>
  <c r="L12" i="31"/>
  <c r="J8" i="31"/>
  <c r="B95" i="1"/>
  <c r="B96" i="1" s="1"/>
  <c r="H10" i="1"/>
  <c r="K106" i="1"/>
  <c r="O108" i="1" s="1"/>
  <c r="O106" i="1"/>
  <c r="D47" i="31"/>
  <c r="J5" i="31"/>
  <c r="D6" i="31"/>
  <c r="C33" i="33" l="1"/>
  <c r="D34" i="33" s="1"/>
  <c r="B32" i="33"/>
  <c r="H33" i="33"/>
  <c r="I33" i="33" s="1"/>
  <c r="B7" i="34"/>
  <c r="D6" i="34"/>
  <c r="E6" i="34" s="1"/>
  <c r="A7" i="34" s="1"/>
  <c r="H29" i="33"/>
  <c r="M29" i="33" s="1"/>
  <c r="G29" i="33" s="1"/>
  <c r="M28" i="33"/>
  <c r="G28" i="33" s="1"/>
  <c r="J31" i="33"/>
  <c r="I31" i="33"/>
  <c r="M31" i="33"/>
  <c r="G31" i="33" s="1"/>
  <c r="J30" i="33"/>
  <c r="I30" i="33"/>
  <c r="M30" i="33"/>
  <c r="G30" i="33" s="1"/>
  <c r="M32" i="33"/>
  <c r="G32" i="33" s="1"/>
  <c r="J32" i="33"/>
  <c r="I32" i="33"/>
  <c r="C48" i="33"/>
  <c r="B48" i="33" s="1"/>
  <c r="N49" i="31"/>
  <c r="O49" i="31" s="1"/>
  <c r="N52" i="31"/>
  <c r="O52" i="31" s="1"/>
  <c r="N53" i="31"/>
  <c r="O53" i="31" s="1"/>
  <c r="N50" i="31"/>
  <c r="O50" i="31" s="1"/>
  <c r="E49" i="31"/>
  <c r="E52" i="31"/>
  <c r="E53" i="31"/>
  <c r="F53" i="31"/>
  <c r="G53" i="31" s="1"/>
  <c r="F50" i="31"/>
  <c r="G50" i="31" s="1"/>
  <c r="E50" i="31"/>
  <c r="J13" i="31"/>
  <c r="L13" i="31" s="1"/>
  <c r="N47" i="31"/>
  <c r="O47" i="31" s="1"/>
  <c r="I42" i="31"/>
  <c r="D96" i="1"/>
  <c r="E96" i="1" s="1"/>
  <c r="M106" i="1"/>
  <c r="O107" i="1"/>
  <c r="E47" i="31"/>
  <c r="D44" i="31"/>
  <c r="B2" i="1"/>
  <c r="J3" i="31"/>
  <c r="J2" i="31"/>
  <c r="C82" i="1"/>
  <c r="C8" i="7"/>
  <c r="D8" i="7" s="1"/>
  <c r="B62" i="1"/>
  <c r="C6" i="27"/>
  <c r="E20" i="17"/>
  <c r="E21" i="17"/>
  <c r="E22" i="17"/>
  <c r="E24" i="17"/>
  <c r="F14" i="17"/>
  <c r="G14" i="17" s="1"/>
  <c r="F15" i="17"/>
  <c r="G15" i="17" s="1"/>
  <c r="F16" i="17"/>
  <c r="G16" i="17" s="1"/>
  <c r="F17" i="17"/>
  <c r="D17" i="17" s="1"/>
  <c r="D18" i="17" s="1"/>
  <c r="C16" i="7"/>
  <c r="D16" i="7" s="1"/>
  <c r="C11" i="7"/>
  <c r="C14" i="7"/>
  <c r="D29" i="33" l="1"/>
  <c r="M33" i="33"/>
  <c r="G33" i="33" s="1"/>
  <c r="O33" i="33" s="1"/>
  <c r="J33" i="33"/>
  <c r="L33" i="33" s="1"/>
  <c r="H34" i="33"/>
  <c r="C34" i="33"/>
  <c r="D35" i="33" s="1"/>
  <c r="B33" i="33"/>
  <c r="D7" i="34"/>
  <c r="E7" i="34" s="1"/>
  <c r="A8" i="34" s="1"/>
  <c r="B8" i="34"/>
  <c r="O31" i="33"/>
  <c r="F31" i="33"/>
  <c r="E31" i="33"/>
  <c r="O28" i="33"/>
  <c r="F28" i="33"/>
  <c r="E28" i="33"/>
  <c r="L31" i="33"/>
  <c r="K31" i="33"/>
  <c r="N31" i="33" s="1"/>
  <c r="O29" i="33"/>
  <c r="F29" i="33"/>
  <c r="E29" i="33"/>
  <c r="L30" i="33"/>
  <c r="K30" i="33"/>
  <c r="N30" i="33" s="1"/>
  <c r="C29" i="33"/>
  <c r="B29" i="33" s="1"/>
  <c r="L32" i="33"/>
  <c r="K32" i="33"/>
  <c r="N32" i="33" s="1"/>
  <c r="O32" i="33"/>
  <c r="F32" i="33"/>
  <c r="E32" i="33"/>
  <c r="F30" i="33"/>
  <c r="E30" i="33"/>
  <c r="O30" i="33"/>
  <c r="N13" i="31"/>
  <c r="N14" i="31" s="1"/>
  <c r="H50" i="31"/>
  <c r="I50" i="31" s="1"/>
  <c r="F52" i="31"/>
  <c r="G52" i="31" s="1"/>
  <c r="F49" i="31"/>
  <c r="G49" i="31" s="1"/>
  <c r="H53" i="31"/>
  <c r="B28" i="31"/>
  <c r="C28" i="31" s="1"/>
  <c r="D28" i="31" s="1"/>
  <c r="F47" i="31"/>
  <c r="G47" i="31" s="1"/>
  <c r="B30" i="31"/>
  <c r="C30" i="31" s="1"/>
  <c r="D30" i="31" s="1"/>
  <c r="D24" i="31"/>
  <c r="P24" i="31" s="1"/>
  <c r="B25" i="31"/>
  <c r="C25" i="31" s="1"/>
  <c r="D25" i="31" s="1"/>
  <c r="P25" i="31" s="1"/>
  <c r="B32" i="31"/>
  <c r="C32" i="31" s="1"/>
  <c r="D32" i="31" s="1"/>
  <c r="P32" i="31" s="1"/>
  <c r="B36" i="31"/>
  <c r="C36" i="31" s="1"/>
  <c r="D36" i="31" s="1"/>
  <c r="P36" i="31" s="1"/>
  <c r="N44" i="31"/>
  <c r="O44" i="31" s="1"/>
  <c r="F44" i="31"/>
  <c r="H44" i="31" s="1"/>
  <c r="H42" i="31"/>
  <c r="K42" i="31" s="1"/>
  <c r="B37" i="31"/>
  <c r="C37" i="31" s="1"/>
  <c r="D37" i="31" s="1"/>
  <c r="P37" i="31" s="1"/>
  <c r="H34" i="31"/>
  <c r="B33" i="31"/>
  <c r="C33" i="31" s="1"/>
  <c r="D33" i="31" s="1"/>
  <c r="P33" i="31" s="1"/>
  <c r="B35" i="31"/>
  <c r="C35" i="31" s="1"/>
  <c r="D35" i="31" s="1"/>
  <c r="P35" i="31" s="1"/>
  <c r="B40" i="31"/>
  <c r="C40" i="31" s="1"/>
  <c r="D40" i="31" s="1"/>
  <c r="P40" i="31" s="1"/>
  <c r="B39" i="31"/>
  <c r="C39" i="31" s="1"/>
  <c r="D39" i="31" s="1"/>
  <c r="P39" i="31" s="1"/>
  <c r="B29" i="31"/>
  <c r="C29" i="31" s="1"/>
  <c r="D29" i="31" s="1"/>
  <c r="P29" i="31" s="1"/>
  <c r="B38" i="31"/>
  <c r="C38" i="31" s="1"/>
  <c r="D38" i="31" s="1"/>
  <c r="P38" i="31" s="1"/>
  <c r="B27" i="31"/>
  <c r="C27" i="31" s="1"/>
  <c r="D27" i="31" s="1"/>
  <c r="P27" i="31" s="1"/>
  <c r="B26" i="31"/>
  <c r="C26" i="31" s="1"/>
  <c r="D26" i="31" s="1"/>
  <c r="P26" i="31" s="1"/>
  <c r="B31" i="31"/>
  <c r="C31" i="31" s="1"/>
  <c r="D31" i="31" s="1"/>
  <c r="P31" i="31" s="1"/>
  <c r="B41" i="31"/>
  <c r="C41" i="31" s="1"/>
  <c r="D41" i="31" s="1"/>
  <c r="P41" i="31" s="1"/>
  <c r="B43" i="31"/>
  <c r="C43" i="31" s="1"/>
  <c r="D43" i="31" s="1"/>
  <c r="P43" i="31" s="1"/>
  <c r="D9" i="7"/>
  <c r="D4" i="1" s="1"/>
  <c r="B4" i="1"/>
  <c r="C9" i="7"/>
  <c r="L3" i="19"/>
  <c r="L2" i="19"/>
  <c r="P7" i="18"/>
  <c r="Q7" i="18" s="1"/>
  <c r="J3" i="18"/>
  <c r="O1" i="18"/>
  <c r="O2" i="18"/>
  <c r="I4" i="18"/>
  <c r="G59" i="1"/>
  <c r="G60" i="1"/>
  <c r="G58" i="1"/>
  <c r="F33" i="33" l="1"/>
  <c r="E33" i="33"/>
  <c r="K33" i="33"/>
  <c r="N33" i="33" s="1"/>
  <c r="P8" i="18"/>
  <c r="B59" i="33"/>
  <c r="B34" i="33"/>
  <c r="H35" i="33"/>
  <c r="C35" i="33"/>
  <c r="D36" i="33" s="1"/>
  <c r="I34" i="33"/>
  <c r="M34" i="33"/>
  <c r="G34" i="33" s="1"/>
  <c r="J34" i="33"/>
  <c r="B9" i="34"/>
  <c r="D8" i="34"/>
  <c r="E8" i="34" s="1"/>
  <c r="A9" i="34" s="1"/>
  <c r="G51" i="33"/>
  <c r="G52" i="33"/>
  <c r="O13" i="31"/>
  <c r="J50" i="31"/>
  <c r="B50" i="31"/>
  <c r="C50" i="31" s="1"/>
  <c r="L50" i="31" s="1"/>
  <c r="K50" i="31"/>
  <c r="H52" i="31"/>
  <c r="B52" i="31" s="1"/>
  <c r="H49" i="31"/>
  <c r="K53" i="31"/>
  <c r="J53" i="31"/>
  <c r="B53" i="31"/>
  <c r="I53" i="31"/>
  <c r="E28" i="31"/>
  <c r="P28" i="31"/>
  <c r="F28" i="31"/>
  <c r="M28" i="31" s="1"/>
  <c r="N28" i="31"/>
  <c r="O28" i="31" s="1"/>
  <c r="P30" i="31"/>
  <c r="F30" i="31"/>
  <c r="M30" i="31" s="1"/>
  <c r="E30" i="31"/>
  <c r="N30" i="31"/>
  <c r="O30" i="31" s="1"/>
  <c r="B44" i="31"/>
  <c r="A44" i="31" s="1"/>
  <c r="K44" i="31"/>
  <c r="J34" i="31"/>
  <c r="K34" i="31"/>
  <c r="E25" i="31"/>
  <c r="F25" i="31"/>
  <c r="M25" i="31" s="1"/>
  <c r="N25" i="31"/>
  <c r="O25" i="31" s="1"/>
  <c r="F24" i="31"/>
  <c r="E24" i="31"/>
  <c r="N24" i="31"/>
  <c r="O24" i="31" s="1"/>
  <c r="F36" i="31"/>
  <c r="M36" i="31" s="1"/>
  <c r="E36" i="31"/>
  <c r="N36" i="31"/>
  <c r="O36" i="31" s="1"/>
  <c r="F32" i="31"/>
  <c r="M32" i="31" s="1"/>
  <c r="N32" i="31"/>
  <c r="O32" i="31" s="1"/>
  <c r="E32" i="31"/>
  <c r="N27" i="31"/>
  <c r="O27" i="31" s="1"/>
  <c r="N38" i="31"/>
  <c r="O38" i="31" s="1"/>
  <c r="E37" i="31"/>
  <c r="N37" i="31"/>
  <c r="O37" i="31" s="1"/>
  <c r="N33" i="31"/>
  <c r="O33" i="31" s="1"/>
  <c r="N39" i="31"/>
  <c r="O39" i="31" s="1"/>
  <c r="N26" i="31"/>
  <c r="O26" i="31" s="1"/>
  <c r="N35" i="31"/>
  <c r="O35" i="31" s="1"/>
  <c r="N29" i="31"/>
  <c r="O29" i="31" s="1"/>
  <c r="N43" i="31"/>
  <c r="O43" i="31" s="1"/>
  <c r="N41" i="31"/>
  <c r="O41" i="31" s="1"/>
  <c r="N40" i="31"/>
  <c r="O40" i="31" s="1"/>
  <c r="N31" i="31"/>
  <c r="O31" i="31" s="1"/>
  <c r="E33" i="31"/>
  <c r="F37" i="31"/>
  <c r="H37" i="31" s="1"/>
  <c r="C34" i="31"/>
  <c r="D34" i="31" s="1"/>
  <c r="P34" i="31" s="1"/>
  <c r="J42" i="31"/>
  <c r="C42" i="31"/>
  <c r="D42" i="31" s="1"/>
  <c r="P42" i="31" s="1"/>
  <c r="F33" i="31"/>
  <c r="G33" i="31" s="1"/>
  <c r="F35" i="31"/>
  <c r="M35" i="31" s="1"/>
  <c r="E35" i="31"/>
  <c r="E40" i="31"/>
  <c r="F40" i="31"/>
  <c r="G40" i="31" s="1"/>
  <c r="E44" i="31"/>
  <c r="G44" i="31"/>
  <c r="E43" i="31"/>
  <c r="F43" i="31"/>
  <c r="G43" i="31" s="1"/>
  <c r="F38" i="31"/>
  <c r="G38" i="31" s="1"/>
  <c r="E38" i="31"/>
  <c r="E41" i="31"/>
  <c r="F41" i="31"/>
  <c r="G41" i="31" s="1"/>
  <c r="E39" i="31"/>
  <c r="F39" i="31"/>
  <c r="G39" i="31" s="1"/>
  <c r="E27" i="31"/>
  <c r="F27" i="31"/>
  <c r="G27" i="31" s="1"/>
  <c r="E29" i="31"/>
  <c r="F29" i="31"/>
  <c r="G29" i="31" s="1"/>
  <c r="F31" i="31"/>
  <c r="G31" i="31" s="1"/>
  <c r="E31" i="31"/>
  <c r="E26" i="31"/>
  <c r="F26" i="31"/>
  <c r="G26" i="31" s="1"/>
  <c r="C40" i="13"/>
  <c r="B83" i="1" s="1"/>
  <c r="E2" i="31" s="1"/>
  <c r="M21" i="18"/>
  <c r="M20" i="18"/>
  <c r="M2" i="18"/>
  <c r="B17" i="1"/>
  <c r="C36" i="33" l="1"/>
  <c r="D37" i="33" s="1"/>
  <c r="H36" i="33"/>
  <c r="J36" i="33" s="1"/>
  <c r="L34" i="33"/>
  <c r="K34" i="33"/>
  <c r="N34" i="33" s="1"/>
  <c r="F34" i="33"/>
  <c r="E34" i="33"/>
  <c r="O34" i="33"/>
  <c r="J35" i="33"/>
  <c r="M35" i="33"/>
  <c r="G35" i="33" s="1"/>
  <c r="I35" i="33"/>
  <c r="B35" i="33"/>
  <c r="D9" i="34"/>
  <c r="E9" i="34" s="1"/>
  <c r="A10" i="34" s="1"/>
  <c r="B10" i="34"/>
  <c r="H52" i="33"/>
  <c r="F52" i="33"/>
  <c r="E52" i="33" s="1"/>
  <c r="H51" i="33"/>
  <c r="F51" i="33"/>
  <c r="E51" i="33" s="1"/>
  <c r="I36" i="33"/>
  <c r="M50" i="31"/>
  <c r="A50" i="31"/>
  <c r="I52" i="31"/>
  <c r="J52" i="31"/>
  <c r="K52" i="31"/>
  <c r="K49" i="31"/>
  <c r="J49" i="31"/>
  <c r="I49" i="31"/>
  <c r="B49" i="31"/>
  <c r="A52" i="31"/>
  <c r="C52" i="31"/>
  <c r="L52" i="31" s="1"/>
  <c r="M52" i="31"/>
  <c r="C53" i="31"/>
  <c r="L53" i="31" s="1"/>
  <c r="A53" i="31"/>
  <c r="M53" i="31"/>
  <c r="K47" i="31"/>
  <c r="J47" i="31"/>
  <c r="G28" i="31"/>
  <c r="H28" i="31"/>
  <c r="G30" i="31"/>
  <c r="H30" i="31"/>
  <c r="M44" i="31"/>
  <c r="C47" i="31"/>
  <c r="L47" i="31" s="1"/>
  <c r="M47" i="31"/>
  <c r="J37" i="31"/>
  <c r="K37" i="31"/>
  <c r="G24" i="31"/>
  <c r="H24" i="31"/>
  <c r="G25" i="31"/>
  <c r="H25" i="31"/>
  <c r="K25" i="31" s="1"/>
  <c r="M24" i="31"/>
  <c r="M27" i="31"/>
  <c r="M29" i="31"/>
  <c r="M31" i="31"/>
  <c r="M26" i="31"/>
  <c r="M43" i="31"/>
  <c r="G36" i="31"/>
  <c r="H36" i="31"/>
  <c r="K36" i="31" s="1"/>
  <c r="M37" i="31"/>
  <c r="M33" i="31"/>
  <c r="M41" i="31"/>
  <c r="L37" i="31"/>
  <c r="M38" i="31"/>
  <c r="M39" i="31"/>
  <c r="H32" i="31"/>
  <c r="K32" i="31" s="1"/>
  <c r="G32" i="31"/>
  <c r="M40" i="31"/>
  <c r="N34" i="31"/>
  <c r="O34" i="31" s="1"/>
  <c r="N42" i="31"/>
  <c r="O42" i="31" s="1"/>
  <c r="I37" i="31"/>
  <c r="G37" i="31"/>
  <c r="F42" i="31"/>
  <c r="E42" i="31"/>
  <c r="H33" i="31"/>
  <c r="H35" i="31"/>
  <c r="J35" i="31" s="1"/>
  <c r="G35" i="31"/>
  <c r="F34" i="31"/>
  <c r="B34" i="31" s="1"/>
  <c r="L34" i="31" s="1"/>
  <c r="E34" i="31"/>
  <c r="H26" i="31"/>
  <c r="H43" i="31"/>
  <c r="H31" i="31"/>
  <c r="H27" i="31"/>
  <c r="H39" i="31"/>
  <c r="H40" i="31"/>
  <c r="H41" i="31"/>
  <c r="H29" i="31"/>
  <c r="H114" i="1"/>
  <c r="I114" i="1" s="1"/>
  <c r="I115" i="1" s="1"/>
  <c r="G14" i="18"/>
  <c r="H14" i="18"/>
  <c r="I14" i="18"/>
  <c r="L14" i="18" s="1"/>
  <c r="J14" i="18"/>
  <c r="K14" i="18"/>
  <c r="R82" i="19"/>
  <c r="N83" i="19"/>
  <c r="Q83" i="19"/>
  <c r="R83" i="19"/>
  <c r="N84" i="19"/>
  <c r="Q84" i="19"/>
  <c r="N85" i="19"/>
  <c r="Q85" i="19"/>
  <c r="N87" i="19"/>
  <c r="R87" i="19"/>
  <c r="N88" i="19"/>
  <c r="R88" i="19"/>
  <c r="Q89" i="19"/>
  <c r="R89" i="19"/>
  <c r="Q90" i="19"/>
  <c r="R90" i="19"/>
  <c r="N91" i="19"/>
  <c r="R91" i="19"/>
  <c r="N92" i="19"/>
  <c r="R92" i="19"/>
  <c r="N93" i="19"/>
  <c r="N94" i="19"/>
  <c r="Q94" i="19"/>
  <c r="R94" i="19"/>
  <c r="Q95" i="19"/>
  <c r="R95" i="19"/>
  <c r="Q96" i="19"/>
  <c r="R96" i="19"/>
  <c r="Q97" i="19"/>
  <c r="R97" i="19"/>
  <c r="O98" i="19"/>
  <c r="R98" i="19"/>
  <c r="O99" i="19"/>
  <c r="R99" i="19"/>
  <c r="N100" i="19"/>
  <c r="Q100" i="19"/>
  <c r="R100" i="19"/>
  <c r="N101" i="19"/>
  <c r="P101" i="19"/>
  <c r="Q101" i="19"/>
  <c r="R101" i="19"/>
  <c r="N102" i="19"/>
  <c r="P102" i="19"/>
  <c r="Q102" i="19"/>
  <c r="R102" i="19"/>
  <c r="P103" i="19"/>
  <c r="Q103" i="19"/>
  <c r="R103" i="19"/>
  <c r="Q104" i="19"/>
  <c r="R104" i="19"/>
  <c r="P105" i="19"/>
  <c r="Q105" i="19"/>
  <c r="R105" i="19"/>
  <c r="N106" i="19"/>
  <c r="P106" i="19"/>
  <c r="Q106" i="19"/>
  <c r="R106" i="19"/>
  <c r="N107" i="19"/>
  <c r="Q107" i="19"/>
  <c r="R107" i="19"/>
  <c r="N108" i="19"/>
  <c r="Q108" i="19"/>
  <c r="R108" i="19"/>
  <c r="N109" i="19"/>
  <c r="Q109" i="19"/>
  <c r="R109" i="19"/>
  <c r="N110" i="19"/>
  <c r="P110" i="19"/>
  <c r="Q110" i="19"/>
  <c r="R110" i="19"/>
  <c r="N111" i="19"/>
  <c r="Q111" i="19"/>
  <c r="R111" i="19"/>
  <c r="Q112" i="19"/>
  <c r="R112" i="19"/>
  <c r="Q113" i="19"/>
  <c r="R113" i="19"/>
  <c r="P114" i="19"/>
  <c r="Q114" i="19"/>
  <c r="R114" i="19"/>
  <c r="N115" i="19"/>
  <c r="Q115" i="19"/>
  <c r="R115" i="19"/>
  <c r="P116" i="19"/>
  <c r="Q116" i="19"/>
  <c r="R116" i="19"/>
  <c r="Q117" i="19"/>
  <c r="R117" i="19"/>
  <c r="M9" i="19"/>
  <c r="M10" i="19"/>
  <c r="M11" i="19"/>
  <c r="M8" i="19"/>
  <c r="N9" i="19"/>
  <c r="O9" i="19"/>
  <c r="N10" i="19"/>
  <c r="O10" i="19"/>
  <c r="N11" i="19"/>
  <c r="O11" i="19"/>
  <c r="O12" i="19"/>
  <c r="O13" i="19"/>
  <c r="N14" i="19"/>
  <c r="O14" i="19"/>
  <c r="N15" i="19"/>
  <c r="O15" i="19"/>
  <c r="N16" i="19"/>
  <c r="O16" i="19"/>
  <c r="N17" i="19"/>
  <c r="O17" i="19"/>
  <c r="N18" i="19"/>
  <c r="O18" i="19"/>
  <c r="N19" i="19"/>
  <c r="O19" i="19"/>
  <c r="N20" i="19"/>
  <c r="O20" i="19"/>
  <c r="N21" i="19"/>
  <c r="O21" i="19"/>
  <c r="N22" i="19"/>
  <c r="O22" i="19"/>
  <c r="N23" i="19"/>
  <c r="O23" i="19"/>
  <c r="N24" i="19"/>
  <c r="O24" i="19"/>
  <c r="N25" i="19"/>
  <c r="O25" i="19"/>
  <c r="N26" i="19"/>
  <c r="O26" i="19"/>
  <c r="N27" i="19"/>
  <c r="O27" i="19"/>
  <c r="N28" i="19"/>
  <c r="O28" i="19"/>
  <c r="N29" i="19"/>
  <c r="O29" i="19"/>
  <c r="N30" i="19"/>
  <c r="O30" i="19"/>
  <c r="N31" i="19"/>
  <c r="O31" i="19"/>
  <c r="N32" i="19"/>
  <c r="O32" i="19"/>
  <c r="N33" i="19"/>
  <c r="O33" i="19"/>
  <c r="N34" i="19"/>
  <c r="O34" i="19"/>
  <c r="N35" i="19"/>
  <c r="O35" i="19"/>
  <c r="N36" i="19"/>
  <c r="O36" i="19"/>
  <c r="N37" i="19"/>
  <c r="O37" i="19"/>
  <c r="N38" i="19"/>
  <c r="O38" i="19"/>
  <c r="N39" i="19"/>
  <c r="O39" i="19"/>
  <c r="N40" i="19"/>
  <c r="O40" i="19"/>
  <c r="N41" i="19"/>
  <c r="O41" i="19"/>
  <c r="N42" i="19"/>
  <c r="O42" i="19"/>
  <c r="N43" i="19"/>
  <c r="O43" i="19"/>
  <c r="N44" i="19"/>
  <c r="O44" i="19"/>
  <c r="N45" i="19"/>
  <c r="O45" i="19"/>
  <c r="N46" i="19"/>
  <c r="O46" i="19"/>
  <c r="N47" i="19"/>
  <c r="O47" i="19"/>
  <c r="N48" i="19"/>
  <c r="O48" i="19"/>
  <c r="N49" i="19"/>
  <c r="O49" i="19"/>
  <c r="N50" i="19"/>
  <c r="O50" i="19"/>
  <c r="N51" i="19"/>
  <c r="O51" i="19"/>
  <c r="N52" i="19"/>
  <c r="O52" i="19"/>
  <c r="N53" i="19"/>
  <c r="O53" i="19"/>
  <c r="N54" i="19"/>
  <c r="O54" i="19"/>
  <c r="N55" i="19"/>
  <c r="O55" i="19"/>
  <c r="N56" i="19"/>
  <c r="O56" i="19"/>
  <c r="N57" i="19"/>
  <c r="N58" i="19"/>
  <c r="N59" i="19"/>
  <c r="N60" i="19"/>
  <c r="N61" i="19"/>
  <c r="N62" i="19"/>
  <c r="N63" i="19"/>
  <c r="O65" i="19"/>
  <c r="O66" i="19"/>
  <c r="N67" i="19"/>
  <c r="O67" i="19"/>
  <c r="N68" i="19"/>
  <c r="O68" i="19"/>
  <c r="N69" i="19"/>
  <c r="O69" i="19"/>
  <c r="N70" i="19"/>
  <c r="O70" i="19"/>
  <c r="N71" i="19"/>
  <c r="O71" i="19"/>
  <c r="N72" i="19"/>
  <c r="O72" i="19"/>
  <c r="N73" i="19"/>
  <c r="O73" i="19"/>
  <c r="N74" i="19"/>
  <c r="O74" i="19"/>
  <c r="N75" i="19"/>
  <c r="O75" i="19"/>
  <c r="N76" i="19"/>
  <c r="N77" i="19"/>
  <c r="N78" i="19"/>
  <c r="N79" i="19"/>
  <c r="N80" i="19"/>
  <c r="O81" i="19"/>
  <c r="N8" i="19"/>
  <c r="P9" i="19"/>
  <c r="Q9" i="19"/>
  <c r="R9" i="19"/>
  <c r="P10" i="19"/>
  <c r="Q10" i="19"/>
  <c r="R10" i="19"/>
  <c r="P11" i="19"/>
  <c r="Q11" i="19"/>
  <c r="R11" i="19"/>
  <c r="P12" i="19"/>
  <c r="Q12" i="19"/>
  <c r="R12" i="19"/>
  <c r="P13" i="19"/>
  <c r="Q13" i="19"/>
  <c r="R13" i="19"/>
  <c r="Q14" i="19"/>
  <c r="R14" i="19"/>
  <c r="P15" i="19"/>
  <c r="Q15" i="19"/>
  <c r="R15" i="19"/>
  <c r="P16" i="19"/>
  <c r="Q16" i="19"/>
  <c r="R16" i="19"/>
  <c r="P17" i="19"/>
  <c r="Q17" i="19"/>
  <c r="R17" i="19"/>
  <c r="P18" i="19"/>
  <c r="Q18" i="19"/>
  <c r="R18" i="19"/>
  <c r="P19" i="19"/>
  <c r="Q19" i="19"/>
  <c r="R19" i="19"/>
  <c r="P20" i="19"/>
  <c r="Q20" i="19"/>
  <c r="R20" i="19"/>
  <c r="P21" i="19"/>
  <c r="Q21" i="19"/>
  <c r="R21" i="19"/>
  <c r="P22" i="19"/>
  <c r="Q22" i="19"/>
  <c r="R22" i="19"/>
  <c r="P23" i="19"/>
  <c r="Q23" i="19"/>
  <c r="R23" i="19"/>
  <c r="P24" i="19"/>
  <c r="Q24" i="19"/>
  <c r="R24" i="19"/>
  <c r="P25" i="19"/>
  <c r="Q25" i="19"/>
  <c r="R25" i="19"/>
  <c r="P26" i="19"/>
  <c r="Q26" i="19"/>
  <c r="R26" i="19"/>
  <c r="P27" i="19"/>
  <c r="Q27" i="19"/>
  <c r="R27" i="19"/>
  <c r="P28" i="19"/>
  <c r="Q28" i="19"/>
  <c r="R28" i="19"/>
  <c r="P29" i="19"/>
  <c r="Q29" i="19"/>
  <c r="R29" i="19"/>
  <c r="P30" i="19"/>
  <c r="Q30" i="19"/>
  <c r="R30" i="19"/>
  <c r="P31" i="19"/>
  <c r="Q31" i="19"/>
  <c r="R31" i="19"/>
  <c r="P32" i="19"/>
  <c r="Q32" i="19"/>
  <c r="R32" i="19"/>
  <c r="P33" i="19"/>
  <c r="Q33" i="19"/>
  <c r="R33" i="19"/>
  <c r="P34" i="19"/>
  <c r="Q34" i="19"/>
  <c r="R34" i="19"/>
  <c r="P35" i="19"/>
  <c r="Q35" i="19"/>
  <c r="R35" i="19"/>
  <c r="P36" i="19"/>
  <c r="Q36" i="19"/>
  <c r="R36" i="19"/>
  <c r="P37" i="19"/>
  <c r="Q37" i="19"/>
  <c r="R37" i="19"/>
  <c r="P38" i="19"/>
  <c r="Q38" i="19"/>
  <c r="R38" i="19"/>
  <c r="P39" i="19"/>
  <c r="Q39" i="19"/>
  <c r="R39" i="19"/>
  <c r="P40" i="19"/>
  <c r="Q40" i="19"/>
  <c r="R40" i="19"/>
  <c r="P41" i="19"/>
  <c r="Q41" i="19"/>
  <c r="R41" i="19"/>
  <c r="P42" i="19"/>
  <c r="Q42" i="19"/>
  <c r="R42" i="19"/>
  <c r="P43" i="19"/>
  <c r="Q43" i="19"/>
  <c r="R43" i="19"/>
  <c r="P44" i="19"/>
  <c r="Q44" i="19"/>
  <c r="R44" i="19"/>
  <c r="P45" i="19"/>
  <c r="Q45" i="19"/>
  <c r="R45" i="19"/>
  <c r="P46" i="19"/>
  <c r="Q46" i="19"/>
  <c r="R46" i="19"/>
  <c r="P47" i="19"/>
  <c r="Q47" i="19"/>
  <c r="R47" i="19"/>
  <c r="P48" i="19"/>
  <c r="Q48" i="19"/>
  <c r="P49" i="19"/>
  <c r="Q49" i="19"/>
  <c r="P50" i="19"/>
  <c r="Q50" i="19"/>
  <c r="P51" i="19"/>
  <c r="Q51" i="19"/>
  <c r="P52" i="19"/>
  <c r="P53" i="19"/>
  <c r="R53" i="19"/>
  <c r="P54" i="19"/>
  <c r="R54" i="19"/>
  <c r="R55" i="19"/>
  <c r="R56" i="19"/>
  <c r="Q57" i="19"/>
  <c r="R57" i="19"/>
  <c r="Q58" i="19"/>
  <c r="R58" i="19"/>
  <c r="P59" i="19"/>
  <c r="Q59" i="19"/>
  <c r="R59" i="19"/>
  <c r="Q60" i="19"/>
  <c r="R60" i="19"/>
  <c r="Q61" i="19"/>
  <c r="R61" i="19"/>
  <c r="Q62" i="19"/>
  <c r="R62" i="19"/>
  <c r="P63" i="19"/>
  <c r="Q63" i="19"/>
  <c r="R63" i="19"/>
  <c r="P64" i="19"/>
  <c r="Q64" i="19"/>
  <c r="R64" i="19"/>
  <c r="Q65" i="19"/>
  <c r="R65" i="19"/>
  <c r="P66" i="19"/>
  <c r="R66" i="19"/>
  <c r="P67" i="19"/>
  <c r="Q67" i="19"/>
  <c r="R67" i="19"/>
  <c r="P68" i="19"/>
  <c r="R68" i="19"/>
  <c r="P69" i="19"/>
  <c r="R69" i="19"/>
  <c r="P70" i="19"/>
  <c r="R70" i="19"/>
  <c r="P71" i="19"/>
  <c r="P72" i="19"/>
  <c r="Q72" i="19"/>
  <c r="P73" i="19"/>
  <c r="Q73" i="19"/>
  <c r="P74" i="19"/>
  <c r="Q74" i="19"/>
  <c r="Q75" i="19"/>
  <c r="R75" i="19"/>
  <c r="P76" i="19"/>
  <c r="Q76" i="19"/>
  <c r="R76" i="19"/>
  <c r="P77" i="19"/>
  <c r="Q77" i="19"/>
  <c r="R77" i="19"/>
  <c r="P78" i="19"/>
  <c r="Q78" i="19"/>
  <c r="R78" i="19"/>
  <c r="P79" i="19"/>
  <c r="Q79" i="19"/>
  <c r="R79" i="19"/>
  <c r="P80" i="19"/>
  <c r="Q80" i="19"/>
  <c r="R80" i="19"/>
  <c r="R81" i="19"/>
  <c r="R8" i="19"/>
  <c r="Q8" i="19"/>
  <c r="P8" i="19"/>
  <c r="O8" i="19"/>
  <c r="C14" i="18"/>
  <c r="H1" i="19"/>
  <c r="J4" i="18"/>
  <c r="I7" i="18"/>
  <c r="L7" i="18" s="1"/>
  <c r="G8" i="18"/>
  <c r="I8" i="18" s="1"/>
  <c r="H12" i="18"/>
  <c r="H13" i="18" s="1"/>
  <c r="J7" i="18"/>
  <c r="J8" i="18" s="1"/>
  <c r="J9" i="18" s="1"/>
  <c r="J10" i="18" s="1"/>
  <c r="C33" i="8"/>
  <c r="C36" i="8"/>
  <c r="E35" i="8" s="1"/>
  <c r="C22" i="8" s="1"/>
  <c r="F2" i="19"/>
  <c r="E44" i="8"/>
  <c r="F45" i="8" s="1"/>
  <c r="F44" i="8"/>
  <c r="C12" i="8"/>
  <c r="C32" i="8"/>
  <c r="D18" i="1"/>
  <c r="C18" i="1"/>
  <c r="M36" i="33" l="1"/>
  <c r="G36" i="33" s="1"/>
  <c r="F36" i="33" s="1"/>
  <c r="H37" i="33"/>
  <c r="I37" i="33" s="1"/>
  <c r="E35" i="33"/>
  <c r="O35" i="33"/>
  <c r="F35" i="33"/>
  <c r="L35" i="33"/>
  <c r="K35" i="33"/>
  <c r="N35" i="33" s="1"/>
  <c r="B36" i="33"/>
  <c r="D10" i="34"/>
  <c r="E10" i="34" s="1"/>
  <c r="A11" i="34" s="1"/>
  <c r="B11" i="34"/>
  <c r="L36" i="33"/>
  <c r="K36" i="33"/>
  <c r="N36" i="33" s="1"/>
  <c r="M37" i="33"/>
  <c r="G37" i="33" s="1"/>
  <c r="J37" i="33"/>
  <c r="C49" i="31"/>
  <c r="A49" i="31"/>
  <c r="M49" i="31"/>
  <c r="L49" i="31"/>
  <c r="K24" i="31"/>
  <c r="I24" i="31"/>
  <c r="I28" i="31"/>
  <c r="K28" i="31"/>
  <c r="B9" i="31" s="1"/>
  <c r="J28" i="31"/>
  <c r="L28" i="31"/>
  <c r="I30" i="31"/>
  <c r="K30" i="31"/>
  <c r="J30" i="31"/>
  <c r="L30" i="31"/>
  <c r="L27" i="31"/>
  <c r="K27" i="31"/>
  <c r="L31" i="31"/>
  <c r="K31" i="31"/>
  <c r="L35" i="31"/>
  <c r="K35" i="31"/>
  <c r="L43" i="31"/>
  <c r="K43" i="31"/>
  <c r="L33" i="31"/>
  <c r="K33" i="31"/>
  <c r="L29" i="31"/>
  <c r="K29" i="31"/>
  <c r="L26" i="31"/>
  <c r="K26" i="31"/>
  <c r="L41" i="31"/>
  <c r="K41" i="31"/>
  <c r="L40" i="31"/>
  <c r="K40" i="31"/>
  <c r="L39" i="31"/>
  <c r="K39" i="31"/>
  <c r="I25" i="31"/>
  <c r="J25" i="31"/>
  <c r="L25" i="31"/>
  <c r="J24" i="31"/>
  <c r="L24" i="31"/>
  <c r="J32" i="31"/>
  <c r="I32" i="31"/>
  <c r="L32" i="31"/>
  <c r="M34" i="31"/>
  <c r="J36" i="31"/>
  <c r="L36" i="31"/>
  <c r="I36" i="31"/>
  <c r="J29" i="31"/>
  <c r="J41" i="31"/>
  <c r="J31" i="31"/>
  <c r="J43" i="31"/>
  <c r="J40" i="31"/>
  <c r="J26" i="31"/>
  <c r="J39" i="31"/>
  <c r="J27" i="31"/>
  <c r="J44" i="31"/>
  <c r="I33" i="31"/>
  <c r="J33" i="31"/>
  <c r="B42" i="31"/>
  <c r="G42" i="31"/>
  <c r="I35" i="31"/>
  <c r="G34" i="31"/>
  <c r="I41" i="31"/>
  <c r="I26" i="31"/>
  <c r="I39" i="31"/>
  <c r="I29" i="31"/>
  <c r="I31" i="31"/>
  <c r="I40" i="31"/>
  <c r="I27" i="31"/>
  <c r="I43" i="31"/>
  <c r="I44" i="31"/>
  <c r="S66" i="19"/>
  <c r="H2" i="19"/>
  <c r="I2" i="19" s="1"/>
  <c r="S58" i="19"/>
  <c r="S42" i="19"/>
  <c r="S34" i="19"/>
  <c r="S50" i="19"/>
  <c r="S26" i="19"/>
  <c r="S18" i="19"/>
  <c r="S74" i="19"/>
  <c r="E32" i="8"/>
  <c r="G18" i="8" s="1"/>
  <c r="M14" i="18"/>
  <c r="S73" i="19"/>
  <c r="S65" i="19"/>
  <c r="S57" i="19"/>
  <c r="S41" i="19"/>
  <c r="S33" i="19"/>
  <c r="S25" i="19"/>
  <c r="S17" i="19"/>
  <c r="S80" i="19"/>
  <c r="S72" i="19"/>
  <c r="S64" i="19"/>
  <c r="S56" i="19"/>
  <c r="S40" i="19"/>
  <c r="S32" i="19"/>
  <c r="S24" i="19"/>
  <c r="S16" i="19"/>
  <c r="S79" i="19"/>
  <c r="S71" i="19"/>
  <c r="S63" i="19"/>
  <c r="S55" i="19"/>
  <c r="S47" i="19"/>
  <c r="S39" i="19"/>
  <c r="S31" i="19"/>
  <c r="S23" i="19"/>
  <c r="S15" i="19"/>
  <c r="S78" i="19"/>
  <c r="S70" i="19"/>
  <c r="S62" i="19"/>
  <c r="S54" i="19"/>
  <c r="S46" i="19"/>
  <c r="S38" i="19"/>
  <c r="S30" i="19"/>
  <c r="S22" i="19"/>
  <c r="S14" i="19"/>
  <c r="S77" i="19"/>
  <c r="S69" i="19"/>
  <c r="S61" i="19"/>
  <c r="S53" i="19"/>
  <c r="S45" i="19"/>
  <c r="S37" i="19"/>
  <c r="S29" i="19"/>
  <c r="S21" i="19"/>
  <c r="S13" i="19"/>
  <c r="S76" i="19"/>
  <c r="S68" i="19"/>
  <c r="S60" i="19"/>
  <c r="S52" i="19"/>
  <c r="S44" i="19"/>
  <c r="S36" i="19"/>
  <c r="S28" i="19"/>
  <c r="S20" i="19"/>
  <c r="S12" i="19"/>
  <c r="S75" i="19"/>
  <c r="S67" i="19"/>
  <c r="S59" i="19"/>
  <c r="S51" i="19"/>
  <c r="S43" i="19"/>
  <c r="S35" i="19"/>
  <c r="S27" i="19"/>
  <c r="S19" i="19"/>
  <c r="L8" i="18"/>
  <c r="G9" i="18"/>
  <c r="I9" i="18" s="1"/>
  <c r="J11" i="18"/>
  <c r="K10" i="18"/>
  <c r="K9" i="18"/>
  <c r="K8" i="18"/>
  <c r="K7" i="18"/>
  <c r="M7" i="18" s="1"/>
  <c r="J4" i="6"/>
  <c r="C13" i="1"/>
  <c r="U3" i="6"/>
  <c r="V3" i="6" s="1"/>
  <c r="W3" i="6" s="1"/>
  <c r="X3" i="6" s="1"/>
  <c r="Q6" i="6"/>
  <c r="O36" i="33" l="1"/>
  <c r="E36" i="33"/>
  <c r="C37" i="33"/>
  <c r="D38" i="33" s="1"/>
  <c r="D11" i="34"/>
  <c r="E11" i="34" s="1"/>
  <c r="A12" i="34" s="1"/>
  <c r="B12" i="34"/>
  <c r="L37" i="33"/>
  <c r="K37" i="33"/>
  <c r="N37" i="33" s="1"/>
  <c r="O37" i="33"/>
  <c r="F37" i="33"/>
  <c r="E37" i="33"/>
  <c r="M42" i="31"/>
  <c r="L42" i="31"/>
  <c r="A34" i="31"/>
  <c r="A42" i="31"/>
  <c r="I3" i="19"/>
  <c r="J2" i="19"/>
  <c r="C21" i="8"/>
  <c r="J18" i="8" s="1"/>
  <c r="M8" i="18"/>
  <c r="L9" i="18"/>
  <c r="M9" i="18" s="1"/>
  <c r="G10" i="18"/>
  <c r="I10" i="18" s="1"/>
  <c r="K11" i="18"/>
  <c r="J12" i="18"/>
  <c r="Y3" i="6"/>
  <c r="J5" i="6"/>
  <c r="B37" i="33" l="1"/>
  <c r="B13" i="34"/>
  <c r="D12" i="34"/>
  <c r="E12" i="34" s="1"/>
  <c r="A13" i="34" s="1"/>
  <c r="H18" i="8"/>
  <c r="C43" i="8" s="1"/>
  <c r="G11" i="18"/>
  <c r="I11" i="18" s="1"/>
  <c r="L10" i="18"/>
  <c r="M10" i="18" s="1"/>
  <c r="J13" i="18"/>
  <c r="K13" i="18" s="1"/>
  <c r="K12" i="18"/>
  <c r="B15" i="6"/>
  <c r="J6" i="6"/>
  <c r="K32" i="6"/>
  <c r="K45" i="6"/>
  <c r="K46" i="6"/>
  <c r="K29" i="6"/>
  <c r="K31" i="6"/>
  <c r="K30" i="6"/>
  <c r="J7" i="6"/>
  <c r="J8" i="6" s="1"/>
  <c r="B16" i="6" s="1"/>
  <c r="B6" i="24"/>
  <c r="O13" i="26"/>
  <c r="N13" i="26"/>
  <c r="M13" i="26"/>
  <c r="K13" i="26"/>
  <c r="T13" i="26" s="1"/>
  <c r="I13" i="26"/>
  <c r="M47" i="6"/>
  <c r="O47" i="6" s="1"/>
  <c r="M32" i="6"/>
  <c r="M30" i="6"/>
  <c r="O30" i="6" s="1"/>
  <c r="M31" i="6"/>
  <c r="N31" i="6" s="1"/>
  <c r="M33" i="6"/>
  <c r="O33" i="6" s="1"/>
  <c r="M34" i="6"/>
  <c r="M35" i="6"/>
  <c r="O35" i="6" s="1"/>
  <c r="M36" i="6"/>
  <c r="M37" i="6"/>
  <c r="O37" i="6" s="1"/>
  <c r="M38" i="6"/>
  <c r="O38" i="6" s="1"/>
  <c r="M39" i="6"/>
  <c r="N39" i="6" s="1"/>
  <c r="M40" i="6"/>
  <c r="M41" i="6"/>
  <c r="O41" i="6" s="1"/>
  <c r="M42" i="6"/>
  <c r="M43" i="6"/>
  <c r="O43" i="6" s="1"/>
  <c r="M44" i="6"/>
  <c r="O44" i="6" s="1"/>
  <c r="M45" i="6"/>
  <c r="O45" i="6" s="1"/>
  <c r="M46" i="6"/>
  <c r="O46" i="6" s="1"/>
  <c r="M29" i="6"/>
  <c r="O29" i="6" s="1"/>
  <c r="N49" i="6"/>
  <c r="N48" i="6"/>
  <c r="N50" i="6"/>
  <c r="O31" i="6"/>
  <c r="B12" i="6"/>
  <c r="B11" i="6" s="1"/>
  <c r="F44" i="27"/>
  <c r="B14" i="6"/>
  <c r="AC9" i="21"/>
  <c r="AC126" i="21"/>
  <c r="Y126" i="21"/>
  <c r="X126" i="21"/>
  <c r="W126" i="21"/>
  <c r="D5" i="9"/>
  <c r="W10" i="21"/>
  <c r="Y10" i="21"/>
  <c r="AC10" i="21"/>
  <c r="D4" i="27"/>
  <c r="D3" i="27"/>
  <c r="C38" i="27"/>
  <c r="B38" i="27"/>
  <c r="B37" i="27"/>
  <c r="C25" i="13"/>
  <c r="I35" i="6"/>
  <c r="I36" i="6"/>
  <c r="I37" i="6"/>
  <c r="I38" i="6"/>
  <c r="I39" i="6"/>
  <c r="I40" i="6"/>
  <c r="I41" i="6"/>
  <c r="I42" i="6"/>
  <c r="I43" i="6"/>
  <c r="I44" i="6"/>
  <c r="I45" i="6"/>
  <c r="I46" i="6"/>
  <c r="I34" i="6"/>
  <c r="I33" i="6"/>
  <c r="D46" i="6"/>
  <c r="A30" i="6"/>
  <c r="A31" i="6" s="1"/>
  <c r="A33" i="6" s="1"/>
  <c r="A35" i="6" s="1"/>
  <c r="A37" i="6" s="1"/>
  <c r="A39" i="6" s="1"/>
  <c r="A41" i="6" s="1"/>
  <c r="A43" i="6" s="1"/>
  <c r="A44" i="6" s="1"/>
  <c r="A45" i="6" s="1"/>
  <c r="A4" i="28"/>
  <c r="A5" i="28" s="1"/>
  <c r="A6" i="28" s="1"/>
  <c r="A7" i="28" s="1"/>
  <c r="A8" i="28" s="1"/>
  <c r="A9" i="28" s="1"/>
  <c r="A10" i="28" s="1"/>
  <c r="A11" i="28" s="1"/>
  <c r="A12" i="28" s="1"/>
  <c r="A13" i="28" s="1"/>
  <c r="A14" i="28" s="1"/>
  <c r="A15" i="28" s="1"/>
  <c r="A16" i="28" s="1"/>
  <c r="A17" i="28" s="1"/>
  <c r="AB1" i="28"/>
  <c r="AC1" i="28" s="1"/>
  <c r="AE1" i="28" s="1"/>
  <c r="AG1" i="28" s="1"/>
  <c r="AI1" i="28" s="1"/>
  <c r="AK1" i="28" s="1"/>
  <c r="AM1" i="28" s="1"/>
  <c r="AO1" i="28" s="1"/>
  <c r="AP1" i="28" s="1"/>
  <c r="AQ1" i="28" s="1"/>
  <c r="D15" i="18"/>
  <c r="D16" i="18"/>
  <c r="B3" i="27"/>
  <c r="H38" i="33" l="1"/>
  <c r="C38" i="33"/>
  <c r="D13" i="34"/>
  <c r="E13" i="34" s="1"/>
  <c r="A14" i="34" s="1"/>
  <c r="B14" i="34"/>
  <c r="G12" i="18"/>
  <c r="I12" i="18" s="1"/>
  <c r="L11" i="18"/>
  <c r="M11" i="18" s="1"/>
  <c r="N47" i="6"/>
  <c r="K34" i="6"/>
  <c r="J34" i="6" s="1"/>
  <c r="K39" i="6"/>
  <c r="K33" i="6"/>
  <c r="J33" i="6" s="1"/>
  <c r="A18" i="28"/>
  <c r="A19" i="28" s="1"/>
  <c r="A20" i="28" s="1"/>
  <c r="A21" i="28" s="1"/>
  <c r="A22" i="28" s="1"/>
  <c r="A23" i="28" s="1"/>
  <c r="A24" i="28" s="1"/>
  <c r="A25" i="28" s="1"/>
  <c r="A26" i="28" s="1"/>
  <c r="A27" i="28" s="1"/>
  <c r="A28" i="28" s="1"/>
  <c r="A29" i="28" s="1"/>
  <c r="A30" i="28" s="1"/>
  <c r="A31" i="28" s="1"/>
  <c r="A32" i="28" s="1"/>
  <c r="A33" i="28" s="1"/>
  <c r="A34" i="28" s="1"/>
  <c r="A35" i="28" s="1"/>
  <c r="A36" i="28" s="1"/>
  <c r="A37" i="28" s="1"/>
  <c r="A38" i="28" s="1"/>
  <c r="A39" i="28" s="1"/>
  <c r="A40" i="28" s="1"/>
  <c r="A41" i="28" s="1"/>
  <c r="A42" i="28" s="1"/>
  <c r="A43" i="28" s="1"/>
  <c r="A44" i="28" s="1"/>
  <c r="A45" i="28" s="1"/>
  <c r="A46" i="28" s="1"/>
  <c r="A47" i="28" s="1"/>
  <c r="A48" i="28" s="1"/>
  <c r="A49" i="28" s="1"/>
  <c r="A50" i="28" s="1"/>
  <c r="A51" i="28" s="1"/>
  <c r="A52" i="28" s="1"/>
  <c r="A53" i="28" s="1"/>
  <c r="A54" i="28" s="1"/>
  <c r="A55" i="28" s="1"/>
  <c r="A56" i="28" s="1"/>
  <c r="A57" i="28" s="1"/>
  <c r="A58" i="28" s="1"/>
  <c r="A59" i="28" s="1"/>
  <c r="A60" i="28" s="1"/>
  <c r="A61" i="28" s="1"/>
  <c r="A62" i="28" s="1"/>
  <c r="A63" i="28" s="1"/>
  <c r="A64" i="28" s="1"/>
  <c r="A65" i="28" s="1"/>
  <c r="A66" i="28" s="1"/>
  <c r="A67" i="28" s="1"/>
  <c r="A68" i="28" s="1"/>
  <c r="A69" i="28" s="1"/>
  <c r="A70" i="28" s="1"/>
  <c r="A71" i="28" s="1"/>
  <c r="A72" i="28" s="1"/>
  <c r="A73" i="28" s="1"/>
  <c r="A74" i="28" s="1"/>
  <c r="A75" i="28" s="1"/>
  <c r="A76" i="28" s="1"/>
  <c r="A77" i="28" s="1"/>
  <c r="A78" i="28" s="1"/>
  <c r="A79" i="28" s="1"/>
  <c r="A80" i="28" s="1"/>
  <c r="A81" i="28" s="1"/>
  <c r="A82" i="28" s="1"/>
  <c r="A83" i="28" s="1"/>
  <c r="A84" i="28" s="1"/>
  <c r="A85" i="28" s="1"/>
  <c r="A86" i="28" s="1"/>
  <c r="A87" i="28" s="1"/>
  <c r="A88" i="28" s="1"/>
  <c r="A89" i="28" s="1"/>
  <c r="A90" i="28" s="1"/>
  <c r="A91" i="28" s="1"/>
  <c r="A92" i="28" s="1"/>
  <c r="A93" i="28" s="1"/>
  <c r="A94" i="28" s="1"/>
  <c r="A95" i="28" s="1"/>
  <c r="A96" i="28" s="1"/>
  <c r="A97" i="28" s="1"/>
  <c r="A98" i="28" s="1"/>
  <c r="A99" i="28" s="1"/>
  <c r="A100" i="28" s="1"/>
  <c r="A101" i="28" s="1"/>
  <c r="A102" i="28" s="1"/>
  <c r="A103" i="28" s="1"/>
  <c r="A104" i="28" s="1"/>
  <c r="A105" i="28" s="1"/>
  <c r="A106" i="28" s="1"/>
  <c r="A107" i="28" s="1"/>
  <c r="A108" i="28" s="1"/>
  <c r="A109" i="28" s="1"/>
  <c r="A110" i="28" s="1"/>
  <c r="A111" i="28" s="1"/>
  <c r="A112" i="28" s="1"/>
  <c r="A113" i="28" s="1"/>
  <c r="A114" i="28" s="1"/>
  <c r="A115" i="28" s="1"/>
  <c r="K37" i="6"/>
  <c r="K35" i="6"/>
  <c r="K42" i="6"/>
  <c r="K43" i="6"/>
  <c r="K36" i="6"/>
  <c r="K38" i="6"/>
  <c r="K41" i="6"/>
  <c r="K44" i="6"/>
  <c r="N43" i="6"/>
  <c r="N35" i="6"/>
  <c r="K40" i="6"/>
  <c r="O39" i="6"/>
  <c r="N29" i="6"/>
  <c r="N37" i="6"/>
  <c r="N46" i="6"/>
  <c r="N33" i="6"/>
  <c r="N45" i="6"/>
  <c r="N44" i="6"/>
  <c r="N30" i="6"/>
  <c r="N41" i="6"/>
  <c r="L13" i="26"/>
  <c r="G13" i="26" s="1"/>
  <c r="O34" i="6"/>
  <c r="O42" i="6"/>
  <c r="O40" i="6"/>
  <c r="O32" i="6"/>
  <c r="O36" i="6"/>
  <c r="AB126" i="21"/>
  <c r="AD126" i="21" s="1"/>
  <c r="Z126" i="21"/>
  <c r="C1" i="13"/>
  <c r="C8" i="13"/>
  <c r="C9" i="13" s="1"/>
  <c r="C37" i="27"/>
  <c r="B4" i="27"/>
  <c r="C3" i="27"/>
  <c r="C4" i="27" s="1"/>
  <c r="B40" i="27"/>
  <c r="B34" i="27"/>
  <c r="B5" i="24"/>
  <c r="B22" i="24"/>
  <c r="B24" i="24"/>
  <c r="B33" i="1"/>
  <c r="O11" i="26"/>
  <c r="N11" i="26"/>
  <c r="M11" i="26"/>
  <c r="K11" i="26"/>
  <c r="T11" i="26" s="1"/>
  <c r="O12" i="26"/>
  <c r="N12" i="26"/>
  <c r="M12" i="26"/>
  <c r="K12" i="26"/>
  <c r="I12" i="26"/>
  <c r="AB15" i="21"/>
  <c r="AD15" i="21" s="1"/>
  <c r="AB16" i="21"/>
  <c r="AD16" i="21" s="1"/>
  <c r="AB19" i="21"/>
  <c r="AD19" i="21" s="1"/>
  <c r="AB20" i="21"/>
  <c r="AD20" i="21" s="1"/>
  <c r="AB44" i="21"/>
  <c r="AB45" i="21"/>
  <c r="AB82" i="21"/>
  <c r="AD82" i="21" s="1"/>
  <c r="AB83" i="21"/>
  <c r="AD83" i="21" s="1"/>
  <c r="AB87" i="21"/>
  <c r="AB88" i="21"/>
  <c r="AB99" i="21"/>
  <c r="AB100" i="21"/>
  <c r="AB113" i="21"/>
  <c r="AB114" i="21"/>
  <c r="B24" i="27"/>
  <c r="B23" i="27"/>
  <c r="B8" i="27"/>
  <c r="C8" i="27"/>
  <c r="D18" i="27"/>
  <c r="C17" i="27"/>
  <c r="E16" i="27"/>
  <c r="D15" i="27"/>
  <c r="AC95" i="21"/>
  <c r="AC94" i="21"/>
  <c r="AC93" i="21"/>
  <c r="AC92" i="21"/>
  <c r="AC91" i="21"/>
  <c r="AC90" i="21"/>
  <c r="AC89" i="21"/>
  <c r="AC98" i="21"/>
  <c r="AC97" i="21"/>
  <c r="AC96" i="21"/>
  <c r="AC101" i="21"/>
  <c r="AC102" i="21"/>
  <c r="AC104" i="21"/>
  <c r="AC105" i="21"/>
  <c r="AC106" i="21"/>
  <c r="AC107" i="21"/>
  <c r="AC108" i="21"/>
  <c r="AC109" i="21"/>
  <c r="AC110" i="21"/>
  <c r="AC112" i="21"/>
  <c r="AC111" i="21"/>
  <c r="AC118" i="21"/>
  <c r="AC103" i="21"/>
  <c r="AC4" i="21"/>
  <c r="AC22" i="21"/>
  <c r="AC23" i="21"/>
  <c r="AC24" i="21"/>
  <c r="AC25" i="21"/>
  <c r="AC26" i="21"/>
  <c r="AC27" i="21"/>
  <c r="AC28" i="21"/>
  <c r="AC29" i="21"/>
  <c r="AC30" i="21"/>
  <c r="AC31" i="21"/>
  <c r="AC32" i="21"/>
  <c r="AC33" i="21"/>
  <c r="AC34" i="21"/>
  <c r="AC35" i="21"/>
  <c r="AC36" i="21"/>
  <c r="AC37" i="21"/>
  <c r="AC38" i="21"/>
  <c r="AC39" i="21"/>
  <c r="AC40" i="21"/>
  <c r="AC41" i="21"/>
  <c r="AC42" i="21"/>
  <c r="AC43" i="21"/>
  <c r="AC44" i="21"/>
  <c r="AC45" i="21"/>
  <c r="AC46" i="21"/>
  <c r="AC47" i="21"/>
  <c r="AC48" i="21"/>
  <c r="AC49" i="21"/>
  <c r="AC50" i="21"/>
  <c r="AC51" i="21"/>
  <c r="AC52" i="21"/>
  <c r="AC53" i="21"/>
  <c r="AC54" i="21"/>
  <c r="AC55" i="21"/>
  <c r="AC56" i="21"/>
  <c r="AC57" i="21"/>
  <c r="AC58" i="21"/>
  <c r="AC59" i="21"/>
  <c r="AC60" i="21"/>
  <c r="AC61" i="21"/>
  <c r="AC62" i="21"/>
  <c r="AC63" i="21"/>
  <c r="AC64" i="21"/>
  <c r="AC65" i="21"/>
  <c r="AC66" i="21"/>
  <c r="AC67" i="21"/>
  <c r="AC68" i="21"/>
  <c r="AC69" i="21"/>
  <c r="AC70" i="21"/>
  <c r="AC71" i="21"/>
  <c r="AC72" i="21"/>
  <c r="AC73" i="21"/>
  <c r="AC74" i="21"/>
  <c r="AC75" i="21"/>
  <c r="AC76" i="21"/>
  <c r="AC77" i="21"/>
  <c r="AC78" i="21"/>
  <c r="AC79" i="21"/>
  <c r="AC80" i="21"/>
  <c r="AC81" i="21"/>
  <c r="AC82" i="21"/>
  <c r="AC83" i="21"/>
  <c r="AC84" i="21"/>
  <c r="AC85" i="21"/>
  <c r="AC86" i="21"/>
  <c r="AC87" i="21"/>
  <c r="AC88" i="21"/>
  <c r="AC99" i="21"/>
  <c r="AC100" i="21"/>
  <c r="AC113" i="21"/>
  <c r="AC114" i="21"/>
  <c r="AC115" i="21"/>
  <c r="AC116" i="21"/>
  <c r="AC117" i="21"/>
  <c r="AC119" i="21"/>
  <c r="AC21" i="21"/>
  <c r="AC18" i="21"/>
  <c r="AC17" i="21"/>
  <c r="AC14" i="21"/>
  <c r="AC5" i="21"/>
  <c r="AC6" i="21"/>
  <c r="AC7" i="21"/>
  <c r="AC8" i="21"/>
  <c r="AC11" i="21"/>
  <c r="AC12" i="21"/>
  <c r="M10" i="26"/>
  <c r="L10" i="26" s="1"/>
  <c r="G10" i="26" s="1"/>
  <c r="K8" i="26"/>
  <c r="T8" i="26" s="1"/>
  <c r="L8" i="26" s="1"/>
  <c r="G8" i="26" s="1"/>
  <c r="K10" i="26"/>
  <c r="I10" i="26"/>
  <c r="I8" i="26" s="1"/>
  <c r="I11" i="26" s="1"/>
  <c r="N7" i="26"/>
  <c r="O8" i="26"/>
  <c r="O10" i="26"/>
  <c r="N8" i="26"/>
  <c r="N10" i="26"/>
  <c r="M8" i="26"/>
  <c r="B42" i="24"/>
  <c r="B36" i="24" s="1"/>
  <c r="C36" i="24"/>
  <c r="B7" i="24"/>
  <c r="B38" i="33" l="1"/>
  <c r="D39" i="33"/>
  <c r="J38" i="33"/>
  <c r="M38" i="33"/>
  <c r="G38" i="33" s="1"/>
  <c r="I38" i="33"/>
  <c r="B15" i="34"/>
  <c r="D14" i="34"/>
  <c r="E14" i="34" s="1"/>
  <c r="A15" i="34" s="1"/>
  <c r="D19" i="18"/>
  <c r="L12" i="18"/>
  <c r="M12" i="18" s="1"/>
  <c r="G13" i="18"/>
  <c r="K24" i="6"/>
  <c r="B10" i="6"/>
  <c r="AD114" i="21"/>
  <c r="AD113" i="21"/>
  <c r="AD44" i="21"/>
  <c r="AD100" i="21"/>
  <c r="AD99" i="21"/>
  <c r="AD88" i="21"/>
  <c r="AD87" i="21"/>
  <c r="AD45" i="21"/>
  <c r="L12" i="26"/>
  <c r="G12" i="26" s="1"/>
  <c r="L11" i="26"/>
  <c r="G11" i="26" s="1"/>
  <c r="B17" i="24"/>
  <c r="C114" i="21"/>
  <c r="C100" i="21"/>
  <c r="C88" i="21"/>
  <c r="C83" i="21"/>
  <c r="C45" i="21"/>
  <c r="C20" i="21"/>
  <c r="C16" i="21"/>
  <c r="H39" i="33" l="1"/>
  <c r="C39" i="33"/>
  <c r="B39" i="33" s="1"/>
  <c r="F38" i="33"/>
  <c r="O38" i="33"/>
  <c r="E38" i="33"/>
  <c r="K38" i="33"/>
  <c r="N38" i="33" s="1"/>
  <c r="L38" i="33"/>
  <c r="B16" i="34"/>
  <c r="D15" i="34"/>
  <c r="E15" i="34" s="1"/>
  <c r="A16" i="34" s="1"/>
  <c r="I13" i="18"/>
  <c r="L13" i="18" s="1"/>
  <c r="M13" i="18" s="1"/>
  <c r="D40" i="33" l="1"/>
  <c r="M39" i="33"/>
  <c r="G39" i="33" s="1"/>
  <c r="J39" i="33"/>
  <c r="I39" i="33"/>
  <c r="B17" i="34"/>
  <c r="D17" i="34" s="1"/>
  <c r="E17" i="34" s="1"/>
  <c r="D16" i="34"/>
  <c r="E16" i="34" s="1"/>
  <c r="A17" i="34" s="1"/>
  <c r="C57" i="13"/>
  <c r="C55" i="13"/>
  <c r="C53" i="13"/>
  <c r="C11" i="13"/>
  <c r="C12" i="13" s="1"/>
  <c r="E2" i="18"/>
  <c r="E1" i="18"/>
  <c r="E4" i="18" s="1"/>
  <c r="X9" i="21"/>
  <c r="F9" i="21"/>
  <c r="B114" i="21"/>
  <c r="A114" i="21"/>
  <c r="B100" i="21"/>
  <c r="A100" i="21"/>
  <c r="B88" i="21"/>
  <c r="A88" i="21"/>
  <c r="B83" i="21"/>
  <c r="A83" i="21"/>
  <c r="B45" i="21"/>
  <c r="A45" i="21"/>
  <c r="A20" i="21"/>
  <c r="A16" i="21"/>
  <c r="F34" i="9"/>
  <c r="I126" i="21"/>
  <c r="Y98" i="21"/>
  <c r="W98" i="21"/>
  <c r="T98" i="21"/>
  <c r="K98" i="21"/>
  <c r="Y97" i="21"/>
  <c r="W97" i="21"/>
  <c r="T97" i="21"/>
  <c r="K97" i="21"/>
  <c r="Y96" i="21"/>
  <c r="W96" i="21"/>
  <c r="T96" i="21"/>
  <c r="K96" i="21"/>
  <c r="Y119" i="21"/>
  <c r="W119" i="21"/>
  <c r="T119" i="21"/>
  <c r="K119" i="21"/>
  <c r="Y116" i="21"/>
  <c r="W116" i="21"/>
  <c r="T116" i="21"/>
  <c r="K116" i="21"/>
  <c r="Y92" i="21"/>
  <c r="W92" i="21"/>
  <c r="T92" i="21"/>
  <c r="K92" i="21"/>
  <c r="Y91" i="21"/>
  <c r="W91" i="21"/>
  <c r="T91" i="21"/>
  <c r="K91" i="21"/>
  <c r="Y90" i="21"/>
  <c r="W90" i="21"/>
  <c r="T90" i="21"/>
  <c r="K90" i="21"/>
  <c r="Y89" i="21"/>
  <c r="W89" i="21"/>
  <c r="T89" i="21"/>
  <c r="K89" i="21"/>
  <c r="Y35" i="21"/>
  <c r="W35" i="21"/>
  <c r="T35" i="21"/>
  <c r="K35" i="21"/>
  <c r="Y34" i="21"/>
  <c r="W34" i="21"/>
  <c r="T34" i="21"/>
  <c r="K34" i="21"/>
  <c r="Y33" i="21"/>
  <c r="W33" i="21"/>
  <c r="T33" i="21"/>
  <c r="K33" i="21"/>
  <c r="Y32" i="21"/>
  <c r="W32" i="21"/>
  <c r="T32" i="21"/>
  <c r="K32" i="21"/>
  <c r="Y26" i="21"/>
  <c r="W26" i="21"/>
  <c r="T26" i="21"/>
  <c r="K26" i="21"/>
  <c r="Y22" i="21"/>
  <c r="W22" i="21"/>
  <c r="T22" i="21"/>
  <c r="K22" i="21"/>
  <c r="Y112" i="21"/>
  <c r="W112" i="21"/>
  <c r="T112" i="21"/>
  <c r="K112" i="21"/>
  <c r="Y111" i="21"/>
  <c r="W111" i="21"/>
  <c r="T111" i="21"/>
  <c r="K111" i="21"/>
  <c r="Y110" i="21"/>
  <c r="W110" i="21"/>
  <c r="T110" i="21"/>
  <c r="K110" i="21"/>
  <c r="Y118" i="21"/>
  <c r="W118" i="21"/>
  <c r="T118" i="21"/>
  <c r="K118" i="21"/>
  <c r="Y107" i="21"/>
  <c r="W107" i="21"/>
  <c r="T107" i="21"/>
  <c r="K107" i="21"/>
  <c r="Y106" i="21"/>
  <c r="W106" i="21"/>
  <c r="T106" i="21"/>
  <c r="K106" i="21"/>
  <c r="Y84" i="21"/>
  <c r="W84" i="21"/>
  <c r="T84" i="21"/>
  <c r="K84" i="21"/>
  <c r="W104" i="21"/>
  <c r="T104" i="21"/>
  <c r="L104" i="21"/>
  <c r="K104" i="21"/>
  <c r="W31" i="21"/>
  <c r="T31" i="21"/>
  <c r="L31" i="21"/>
  <c r="K31" i="21"/>
  <c r="W102" i="21"/>
  <c r="T102" i="21"/>
  <c r="L102" i="21"/>
  <c r="K102" i="21"/>
  <c r="W101" i="21"/>
  <c r="T101" i="21"/>
  <c r="L101" i="21"/>
  <c r="K101" i="21"/>
  <c r="Y78" i="21"/>
  <c r="W78" i="21"/>
  <c r="T78" i="21"/>
  <c r="K78" i="21"/>
  <c r="Y77" i="21"/>
  <c r="W77" i="21"/>
  <c r="T77" i="21"/>
  <c r="K77" i="21"/>
  <c r="Y73" i="21"/>
  <c r="W73" i="21"/>
  <c r="T73" i="21"/>
  <c r="K73" i="21"/>
  <c r="Y95" i="21"/>
  <c r="W95" i="21"/>
  <c r="T95" i="21"/>
  <c r="K95" i="21"/>
  <c r="Y94" i="21"/>
  <c r="W94" i="21"/>
  <c r="T94" i="21"/>
  <c r="K94" i="21"/>
  <c r="Y70" i="21"/>
  <c r="W70" i="21"/>
  <c r="T70" i="21"/>
  <c r="K70" i="21"/>
  <c r="Y67" i="21"/>
  <c r="W67" i="21"/>
  <c r="T67" i="21"/>
  <c r="K67" i="21"/>
  <c r="Y103" i="21"/>
  <c r="W103" i="21"/>
  <c r="T103" i="21"/>
  <c r="K103" i="21"/>
  <c r="Y64" i="21"/>
  <c r="W64" i="21"/>
  <c r="T64" i="21"/>
  <c r="K64" i="21"/>
  <c r="Y93" i="21"/>
  <c r="W93" i="21"/>
  <c r="T93" i="21"/>
  <c r="K93" i="21"/>
  <c r="Y27" i="21"/>
  <c r="W27" i="21"/>
  <c r="T27" i="21"/>
  <c r="K27" i="21"/>
  <c r="Y57" i="21"/>
  <c r="W57" i="21"/>
  <c r="T57" i="21"/>
  <c r="K57" i="21"/>
  <c r="Y55" i="21"/>
  <c r="W55" i="21"/>
  <c r="T55" i="21"/>
  <c r="K55" i="21"/>
  <c r="Y54" i="21"/>
  <c r="W54" i="21"/>
  <c r="T54" i="21"/>
  <c r="K54" i="21"/>
  <c r="Y53" i="21"/>
  <c r="W53" i="21"/>
  <c r="T53" i="21"/>
  <c r="K53" i="21"/>
  <c r="Y23" i="21"/>
  <c r="W23" i="21"/>
  <c r="T23" i="21"/>
  <c r="K23" i="21"/>
  <c r="Y51" i="21"/>
  <c r="W51" i="21"/>
  <c r="T51" i="21"/>
  <c r="K51" i="21"/>
  <c r="Y50" i="21"/>
  <c r="W50" i="21"/>
  <c r="T50" i="21"/>
  <c r="K50" i="21"/>
  <c r="Y49" i="21"/>
  <c r="W49" i="21"/>
  <c r="T49" i="21"/>
  <c r="K49" i="21"/>
  <c r="Y48" i="21"/>
  <c r="W48" i="21"/>
  <c r="T48" i="21"/>
  <c r="K48" i="21"/>
  <c r="W115" i="21"/>
  <c r="T115" i="21"/>
  <c r="L115" i="21"/>
  <c r="K115" i="21"/>
  <c r="Y86" i="21"/>
  <c r="W86" i="21"/>
  <c r="T86" i="21"/>
  <c r="K86" i="21"/>
  <c r="Y81" i="21"/>
  <c r="W81" i="21"/>
  <c r="T81" i="21"/>
  <c r="K81" i="21"/>
  <c r="Y43" i="21"/>
  <c r="W43" i="21"/>
  <c r="T43" i="21"/>
  <c r="K43" i="21"/>
  <c r="Y80" i="21"/>
  <c r="W80" i="21"/>
  <c r="T80" i="21"/>
  <c r="K80" i="21"/>
  <c r="Y109" i="21"/>
  <c r="W109" i="21"/>
  <c r="T109" i="21"/>
  <c r="K109" i="21"/>
  <c r="Y85" i="21"/>
  <c r="W85" i="21"/>
  <c r="T85" i="21"/>
  <c r="K85" i="21"/>
  <c r="Y42" i="21"/>
  <c r="W42" i="21"/>
  <c r="T42" i="21"/>
  <c r="K42" i="21"/>
  <c r="Y18" i="21"/>
  <c r="W18" i="21"/>
  <c r="T18" i="21"/>
  <c r="K18" i="21"/>
  <c r="Y17" i="21"/>
  <c r="W17" i="21"/>
  <c r="T17" i="21"/>
  <c r="K17" i="21"/>
  <c r="Y79" i="21"/>
  <c r="W79" i="21"/>
  <c r="T79" i="21"/>
  <c r="K79" i="21"/>
  <c r="Y108" i="21"/>
  <c r="W108" i="21"/>
  <c r="T108" i="21"/>
  <c r="K108" i="21"/>
  <c r="Y41" i="21"/>
  <c r="W41" i="21"/>
  <c r="T41" i="21"/>
  <c r="K41" i="21"/>
  <c r="Y40" i="21"/>
  <c r="W40" i="21"/>
  <c r="T40" i="21"/>
  <c r="K40" i="21"/>
  <c r="Y117" i="21"/>
  <c r="W117" i="21"/>
  <c r="T117" i="21"/>
  <c r="K117" i="21"/>
  <c r="W39" i="21"/>
  <c r="T39" i="21"/>
  <c r="L39" i="21"/>
  <c r="K39" i="21"/>
  <c r="Y105" i="21"/>
  <c r="W105" i="21"/>
  <c r="T105" i="21"/>
  <c r="K105" i="21"/>
  <c r="Y38" i="21"/>
  <c r="W38" i="21"/>
  <c r="T38" i="21"/>
  <c r="K38" i="21"/>
  <c r="Y76" i="21"/>
  <c r="W76" i="21"/>
  <c r="T76" i="21"/>
  <c r="K76" i="21"/>
  <c r="Y75" i="21"/>
  <c r="W75" i="21"/>
  <c r="T75" i="21"/>
  <c r="K75" i="21"/>
  <c r="Y74" i="21"/>
  <c r="W74" i="21"/>
  <c r="T74" i="21"/>
  <c r="K74" i="21"/>
  <c r="Y37" i="21"/>
  <c r="W37" i="21"/>
  <c r="T37" i="21"/>
  <c r="K37" i="21"/>
  <c r="Y36" i="21"/>
  <c r="W36" i="21"/>
  <c r="T36" i="21"/>
  <c r="K36" i="21"/>
  <c r="Y72" i="21"/>
  <c r="W72" i="21"/>
  <c r="T72" i="21"/>
  <c r="K72" i="21"/>
  <c r="Y71" i="21"/>
  <c r="W71" i="21"/>
  <c r="T71" i="21"/>
  <c r="K71" i="21"/>
  <c r="Y69" i="21"/>
  <c r="W69" i="21"/>
  <c r="T69" i="21"/>
  <c r="K69" i="21"/>
  <c r="Y68" i="21"/>
  <c r="W68" i="21"/>
  <c r="T68" i="21"/>
  <c r="Y66" i="21"/>
  <c r="W66" i="21"/>
  <c r="T66" i="21"/>
  <c r="K66" i="21"/>
  <c r="Y65" i="21"/>
  <c r="W65" i="21"/>
  <c r="T65" i="21"/>
  <c r="Y63" i="21"/>
  <c r="W63" i="21"/>
  <c r="T63" i="21"/>
  <c r="K63" i="21"/>
  <c r="Y62" i="21"/>
  <c r="W62" i="21"/>
  <c r="T62" i="21"/>
  <c r="K62" i="21"/>
  <c r="Y30" i="21"/>
  <c r="W30" i="21"/>
  <c r="T30" i="21"/>
  <c r="K30" i="21"/>
  <c r="Y61" i="21"/>
  <c r="W61" i="21"/>
  <c r="T61" i="21"/>
  <c r="K61" i="21"/>
  <c r="Y60" i="21"/>
  <c r="W60" i="21"/>
  <c r="T60" i="21"/>
  <c r="K60" i="21"/>
  <c r="Y29" i="21"/>
  <c r="W29" i="21"/>
  <c r="T29" i="21"/>
  <c r="K29" i="21"/>
  <c r="W28" i="21"/>
  <c r="T28" i="21"/>
  <c r="L28" i="21"/>
  <c r="K28" i="21"/>
  <c r="Y59" i="21"/>
  <c r="W59" i="21"/>
  <c r="T59" i="21"/>
  <c r="K59" i="21"/>
  <c r="Y58" i="21"/>
  <c r="W58" i="21"/>
  <c r="T58" i="21"/>
  <c r="K58" i="21"/>
  <c r="Y25" i="21"/>
  <c r="W25" i="21"/>
  <c r="T25" i="21"/>
  <c r="K25" i="21"/>
  <c r="Y24" i="21"/>
  <c r="W24" i="21"/>
  <c r="T24" i="21"/>
  <c r="K24" i="21"/>
  <c r="Y56" i="21"/>
  <c r="W56" i="21"/>
  <c r="T56" i="21"/>
  <c r="K56" i="21"/>
  <c r="Y52" i="21"/>
  <c r="W52" i="21"/>
  <c r="T52" i="21"/>
  <c r="K52" i="21"/>
  <c r="Y47" i="21"/>
  <c r="W47" i="21"/>
  <c r="T47" i="21"/>
  <c r="K47" i="21"/>
  <c r="Y46" i="21"/>
  <c r="W46" i="21"/>
  <c r="T46" i="21"/>
  <c r="K46" i="21"/>
  <c r="Y21" i="21"/>
  <c r="W21" i="21"/>
  <c r="K21" i="21"/>
  <c r="W14" i="21"/>
  <c r="T14" i="21"/>
  <c r="K14" i="21"/>
  <c r="Y12" i="21"/>
  <c r="W12" i="21"/>
  <c r="T12" i="21"/>
  <c r="K12" i="21"/>
  <c r="Y11" i="21"/>
  <c r="W11" i="21"/>
  <c r="T11" i="21"/>
  <c r="K11" i="21"/>
  <c r="W9" i="21"/>
  <c r="T9" i="21"/>
  <c r="Y8" i="21"/>
  <c r="W8" i="21"/>
  <c r="T8" i="21"/>
  <c r="K8" i="21"/>
  <c r="Y7" i="21"/>
  <c r="W7" i="21"/>
  <c r="T7" i="21"/>
  <c r="K7" i="21"/>
  <c r="Y6" i="21"/>
  <c r="W6" i="21"/>
  <c r="T6" i="21"/>
  <c r="K6" i="21"/>
  <c r="Y5" i="21"/>
  <c r="W5" i="21"/>
  <c r="T5" i="21"/>
  <c r="K5" i="21"/>
  <c r="W4" i="21"/>
  <c r="K4" i="21"/>
  <c r="X4" i="21" s="1"/>
  <c r="F4" i="21"/>
  <c r="B57" i="15"/>
  <c r="D12" i="9"/>
  <c r="T5" i="20"/>
  <c r="E33" i="9" s="1"/>
  <c r="G33" i="9" s="1"/>
  <c r="S5" i="20"/>
  <c r="E32" i="9" s="1"/>
  <c r="G32" i="9" s="1"/>
  <c r="D100" i="21" s="1"/>
  <c r="R5" i="20"/>
  <c r="E31" i="9" s="1"/>
  <c r="G31" i="9" s="1"/>
  <c r="D88" i="21" s="1"/>
  <c r="Q5" i="20"/>
  <c r="E30" i="9" s="1"/>
  <c r="G30" i="9" s="1"/>
  <c r="D83" i="21" s="1"/>
  <c r="P5" i="20"/>
  <c r="E29" i="9" s="1"/>
  <c r="G29" i="9" s="1"/>
  <c r="D45" i="21" s="1"/>
  <c r="O5" i="20"/>
  <c r="E28" i="9" s="1"/>
  <c r="G28" i="9" s="1"/>
  <c r="N5" i="20"/>
  <c r="E27" i="9" s="1"/>
  <c r="G27" i="9" s="1"/>
  <c r="D37" i="9" s="1"/>
  <c r="M5" i="20"/>
  <c r="E26" i="9" s="1"/>
  <c r="G26" i="9" s="1"/>
  <c r="D20" i="21" s="1"/>
  <c r="L5" i="20"/>
  <c r="E25" i="9" s="1"/>
  <c r="G25" i="9" s="1"/>
  <c r="D16" i="21" s="1"/>
  <c r="K5" i="20"/>
  <c r="E24" i="9" s="1"/>
  <c r="G24" i="9" s="1"/>
  <c r="G18" i="20"/>
  <c r="J18" i="20"/>
  <c r="G16" i="20"/>
  <c r="J16" i="20"/>
  <c r="G10" i="20"/>
  <c r="J10" i="20"/>
  <c r="J14" i="20"/>
  <c r="J11" i="20"/>
  <c r="J15" i="20"/>
  <c r="J19" i="20"/>
  <c r="J20" i="20"/>
  <c r="J21" i="20"/>
  <c r="J23" i="20"/>
  <c r="J22" i="20"/>
  <c r="J26" i="20"/>
  <c r="J9" i="20"/>
  <c r="G14" i="20"/>
  <c r="G11" i="20"/>
  <c r="G15" i="20"/>
  <c r="G19" i="20"/>
  <c r="G20" i="20"/>
  <c r="G21" i="20"/>
  <c r="G23" i="20"/>
  <c r="G22" i="20"/>
  <c r="G26" i="20"/>
  <c r="G9" i="20"/>
  <c r="D21" i="9"/>
  <c r="B43" i="1"/>
  <c r="A9" i="19"/>
  <c r="B65" i="1"/>
  <c r="E6" i="18" s="1"/>
  <c r="E32" i="18"/>
  <c r="B7" i="17"/>
  <c r="C7" i="17"/>
  <c r="E4" i="17"/>
  <c r="E3" i="17"/>
  <c r="B40" i="15"/>
  <c r="D14" i="9"/>
  <c r="D13" i="9"/>
  <c r="C40" i="33" l="1"/>
  <c r="D41" i="33" s="1"/>
  <c r="H40" i="33"/>
  <c r="K39" i="33"/>
  <c r="N39" i="33" s="1"/>
  <c r="L39" i="33"/>
  <c r="E39" i="33"/>
  <c r="O39" i="33"/>
  <c r="F39" i="33"/>
  <c r="G5" i="20"/>
  <c r="E7" i="17"/>
  <c r="C13" i="13"/>
  <c r="E33" i="18"/>
  <c r="F3" i="19" s="1"/>
  <c r="C13" i="18"/>
  <c r="C12" i="18"/>
  <c r="D12" i="18" s="1"/>
  <c r="C49" i="9"/>
  <c r="A10" i="19"/>
  <c r="D74" i="21"/>
  <c r="D49" i="21"/>
  <c r="D53" i="21"/>
  <c r="D51" i="21"/>
  <c r="D63" i="21"/>
  <c r="D66" i="21"/>
  <c r="D62" i="21"/>
  <c r="D80" i="21"/>
  <c r="D55" i="21"/>
  <c r="D79" i="21"/>
  <c r="D76" i="21"/>
  <c r="D61" i="21"/>
  <c r="D58" i="21"/>
  <c r="D78" i="21"/>
  <c r="D68" i="21"/>
  <c r="D72" i="21"/>
  <c r="D47" i="21"/>
  <c r="D57" i="21"/>
  <c r="D71" i="21"/>
  <c r="D50" i="21"/>
  <c r="D70" i="21"/>
  <c r="D60" i="21"/>
  <c r="D64" i="21"/>
  <c r="D65" i="21"/>
  <c r="D67" i="21"/>
  <c r="D46" i="21"/>
  <c r="D81" i="21"/>
  <c r="D54" i="21"/>
  <c r="D52" i="21"/>
  <c r="D56" i="21"/>
  <c r="D73" i="21"/>
  <c r="D77" i="21"/>
  <c r="D75" i="21"/>
  <c r="D48" i="21"/>
  <c r="D69" i="21"/>
  <c r="D59" i="21"/>
  <c r="D98" i="21"/>
  <c r="D93" i="21"/>
  <c r="D90" i="21"/>
  <c r="D91" i="21"/>
  <c r="D89" i="21"/>
  <c r="D97" i="21"/>
  <c r="D92" i="21"/>
  <c r="D96" i="21"/>
  <c r="D95" i="21"/>
  <c r="D94" i="21"/>
  <c r="D102" i="21"/>
  <c r="D106" i="21"/>
  <c r="D101" i="21"/>
  <c r="D108" i="21"/>
  <c r="D105" i="21"/>
  <c r="D112" i="21"/>
  <c r="D111" i="21"/>
  <c r="D110" i="21"/>
  <c r="D104" i="21"/>
  <c r="D109" i="21"/>
  <c r="D103" i="21"/>
  <c r="D107" i="21"/>
  <c r="D43" i="21"/>
  <c r="D25" i="21"/>
  <c r="D30" i="21"/>
  <c r="D35" i="21"/>
  <c r="D32" i="21"/>
  <c r="D21" i="21"/>
  <c r="D28" i="21"/>
  <c r="D22" i="21"/>
  <c r="D40" i="21"/>
  <c r="D36" i="21"/>
  <c r="D38" i="21"/>
  <c r="D27" i="21"/>
  <c r="D41" i="21"/>
  <c r="D37" i="21"/>
  <c r="D42" i="21"/>
  <c r="D24" i="21"/>
  <c r="D26" i="21"/>
  <c r="D33" i="21"/>
  <c r="D29" i="21"/>
  <c r="D34" i="21"/>
  <c r="D39" i="21"/>
  <c r="D31" i="21"/>
  <c r="D23" i="21"/>
  <c r="D86" i="21"/>
  <c r="D85" i="21"/>
  <c r="D84" i="21"/>
  <c r="D18" i="21"/>
  <c r="D17" i="21"/>
  <c r="F4" i="18"/>
  <c r="E7" i="18"/>
  <c r="E34" i="9"/>
  <c r="G34" i="9" s="1"/>
  <c r="D114" i="21" s="1"/>
  <c r="K65" i="21"/>
  <c r="D11" i="9"/>
  <c r="B23" i="15"/>
  <c r="D24" i="15"/>
  <c r="D23" i="15" s="1"/>
  <c r="C24" i="15"/>
  <c r="C23" i="15" s="1"/>
  <c r="B24" i="15"/>
  <c r="B40" i="33" l="1"/>
  <c r="H41" i="33"/>
  <c r="C41" i="33"/>
  <c r="B41" i="33" s="1"/>
  <c r="I40" i="33"/>
  <c r="M40" i="33"/>
  <c r="G40" i="33" s="1"/>
  <c r="J40" i="33"/>
  <c r="E41" i="18"/>
  <c r="C10" i="18" s="1"/>
  <c r="A11" i="19"/>
  <c r="D116" i="21"/>
  <c r="D118" i="21"/>
  <c r="D117" i="21"/>
  <c r="D119" i="21"/>
  <c r="D115" i="21"/>
  <c r="E81" i="8"/>
  <c r="D42" i="33" l="1"/>
  <c r="K40" i="33"/>
  <c r="N40" i="33" s="1"/>
  <c r="L40" i="33"/>
  <c r="F40" i="33"/>
  <c r="O40" i="33"/>
  <c r="E40" i="33"/>
  <c r="M41" i="33"/>
  <c r="G41" i="33" s="1"/>
  <c r="I41" i="33"/>
  <c r="J41" i="33"/>
  <c r="E8" i="18"/>
  <c r="E58" i="18"/>
  <c r="E57" i="18" s="1"/>
  <c r="E59" i="18" s="1"/>
  <c r="E62" i="18" s="1"/>
  <c r="B80" i="1" s="1"/>
  <c r="E40" i="18"/>
  <c r="D10" i="18" s="1"/>
  <c r="E10" i="18" s="1"/>
  <c r="G41" i="18"/>
  <c r="D7" i="19"/>
  <c r="D8" i="19" s="1"/>
  <c r="D9" i="19" s="1"/>
  <c r="D10" i="19" s="1"/>
  <c r="D11" i="19" s="1"/>
  <c r="D12" i="19" s="1"/>
  <c r="D13" i="19" s="1"/>
  <c r="D14" i="19" s="1"/>
  <c r="D15" i="19" s="1"/>
  <c r="D16" i="19" s="1"/>
  <c r="D17" i="19" s="1"/>
  <c r="D18" i="19" s="1"/>
  <c r="D19" i="19" s="1"/>
  <c r="D20" i="19" s="1"/>
  <c r="D21" i="19" s="1"/>
  <c r="D22" i="19" s="1"/>
  <c r="D23" i="19" s="1"/>
  <c r="D24" i="19" s="1"/>
  <c r="D25" i="19" s="1"/>
  <c r="D26" i="19" s="1"/>
  <c r="D27" i="19" s="1"/>
  <c r="D28" i="19" s="1"/>
  <c r="D29" i="19" s="1"/>
  <c r="D30" i="19" s="1"/>
  <c r="D31" i="19" s="1"/>
  <c r="D32" i="19" s="1"/>
  <c r="D33" i="19" s="1"/>
  <c r="D34" i="19" s="1"/>
  <c r="D35" i="19" s="1"/>
  <c r="D36" i="19" s="1"/>
  <c r="D37" i="19" s="1"/>
  <c r="D38" i="19" s="1"/>
  <c r="D39" i="19" s="1"/>
  <c r="D40" i="19" s="1"/>
  <c r="D41" i="19" s="1"/>
  <c r="D42" i="19" s="1"/>
  <c r="D43" i="19" s="1"/>
  <c r="D44" i="19" s="1"/>
  <c r="D45" i="19" s="1"/>
  <c r="D46" i="19" s="1"/>
  <c r="D47" i="19" s="1"/>
  <c r="D48" i="19" s="1"/>
  <c r="D49" i="19" s="1"/>
  <c r="D50" i="19" s="1"/>
  <c r="D51" i="19" s="1"/>
  <c r="D52" i="19" s="1"/>
  <c r="D53" i="19" s="1"/>
  <c r="D54" i="19" s="1"/>
  <c r="D55" i="19" s="1"/>
  <c r="D56" i="19" s="1"/>
  <c r="D57" i="19" s="1"/>
  <c r="D58" i="19" s="1"/>
  <c r="D59" i="19" s="1"/>
  <c r="D60" i="19" s="1"/>
  <c r="D61" i="19" s="1"/>
  <c r="D62" i="19" s="1"/>
  <c r="D63" i="19" s="1"/>
  <c r="D64" i="19" s="1"/>
  <c r="D65" i="19" s="1"/>
  <c r="D66" i="19" s="1"/>
  <c r="D67" i="19" s="1"/>
  <c r="D68" i="19" s="1"/>
  <c r="D69" i="19" s="1"/>
  <c r="D70" i="19" s="1"/>
  <c r="D71" i="19" s="1"/>
  <c r="D72" i="19" s="1"/>
  <c r="D73" i="19" s="1"/>
  <c r="D74" i="19" s="1"/>
  <c r="D75" i="19" s="1"/>
  <c r="D76" i="19" s="1"/>
  <c r="D77" i="19" s="1"/>
  <c r="D78" i="19" s="1"/>
  <c r="D79" i="19" s="1"/>
  <c r="D80" i="19" s="1"/>
  <c r="D81" i="19" s="1"/>
  <c r="D82" i="19" s="1"/>
  <c r="D83" i="19" s="1"/>
  <c r="D84" i="19" s="1"/>
  <c r="D85" i="19" s="1"/>
  <c r="D86" i="19" s="1"/>
  <c r="D87" i="19" s="1"/>
  <c r="D88" i="19" s="1"/>
  <c r="D89" i="19" s="1"/>
  <c r="D90" i="19" s="1"/>
  <c r="D91" i="19" s="1"/>
  <c r="D92" i="19" s="1"/>
  <c r="D93" i="19" s="1"/>
  <c r="D94" i="19" s="1"/>
  <c r="D95" i="19" s="1"/>
  <c r="D96" i="19" s="1"/>
  <c r="D97" i="19" s="1"/>
  <c r="D98" i="19" s="1"/>
  <c r="D99" i="19" s="1"/>
  <c r="D100" i="19" s="1"/>
  <c r="D101" i="19" s="1"/>
  <c r="D102" i="19" s="1"/>
  <c r="D103" i="19" s="1"/>
  <c r="D104" i="19" s="1"/>
  <c r="D105" i="19" s="1"/>
  <c r="D106" i="19" s="1"/>
  <c r="D107" i="19" s="1"/>
  <c r="D108" i="19" s="1"/>
  <c r="D109" i="19" s="1"/>
  <c r="D110" i="19" s="1"/>
  <c r="D111" i="19" s="1"/>
  <c r="D38" i="9"/>
  <c r="D11" i="18"/>
  <c r="A12" i="19"/>
  <c r="E5" i="18"/>
  <c r="G9" i="14"/>
  <c r="B6" i="14"/>
  <c r="C29" i="8"/>
  <c r="B114" i="1"/>
  <c r="B113" i="1"/>
  <c r="B109" i="1"/>
  <c r="O41" i="33" l="1"/>
  <c r="F41" i="33"/>
  <c r="E41" i="33"/>
  <c r="L41" i="33"/>
  <c r="K41" i="33"/>
  <c r="N41" i="33" s="1"/>
  <c r="C42" i="33"/>
  <c r="B42" i="33" s="1"/>
  <c r="H42" i="33"/>
  <c r="C28" i="18"/>
  <c r="E46" i="18"/>
  <c r="E42" i="18"/>
  <c r="F40" i="18"/>
  <c r="F5" i="19"/>
  <c r="C54" i="13"/>
  <c r="C56" i="13"/>
  <c r="C58" i="13"/>
  <c r="C45" i="13" s="1"/>
  <c r="F7" i="19"/>
  <c r="A13" i="19"/>
  <c r="E63" i="18"/>
  <c r="D43" i="33" l="1"/>
  <c r="M42" i="33"/>
  <c r="G42" i="33" s="1"/>
  <c r="J42" i="33"/>
  <c r="I42" i="33"/>
  <c r="F82" i="19"/>
  <c r="E7" i="19"/>
  <c r="E8" i="19" s="1"/>
  <c r="B7" i="19"/>
  <c r="F83" i="19"/>
  <c r="H7" i="19"/>
  <c r="G7" i="19" s="1"/>
  <c r="C6" i="7"/>
  <c r="C59" i="13"/>
  <c r="A14" i="19"/>
  <c r="C43" i="33" l="1"/>
  <c r="B43" i="33" s="1"/>
  <c r="H43" i="33"/>
  <c r="L42" i="33"/>
  <c r="K42" i="33"/>
  <c r="N42" i="33" s="1"/>
  <c r="F42" i="33"/>
  <c r="E42" i="33"/>
  <c r="O42" i="33"/>
  <c r="B8" i="19"/>
  <c r="B9" i="19" s="1"/>
  <c r="B10" i="19" s="1"/>
  <c r="B11" i="19" s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B23" i="19" s="1"/>
  <c r="B24" i="19" s="1"/>
  <c r="B25" i="19" s="1"/>
  <c r="B26" i="19" s="1"/>
  <c r="B27" i="19" s="1"/>
  <c r="B28" i="19" s="1"/>
  <c r="B29" i="19" s="1"/>
  <c r="B30" i="19" s="1"/>
  <c r="B31" i="19" s="1"/>
  <c r="B32" i="19" s="1"/>
  <c r="B33" i="19" s="1"/>
  <c r="B34" i="19" s="1"/>
  <c r="B35" i="19" s="1"/>
  <c r="B36" i="19" s="1"/>
  <c r="B37" i="19" s="1"/>
  <c r="B38" i="19" s="1"/>
  <c r="B39" i="19" s="1"/>
  <c r="B40" i="19" s="1"/>
  <c r="B41" i="19" s="1"/>
  <c r="B42" i="19" s="1"/>
  <c r="B43" i="19" s="1"/>
  <c r="B44" i="19" s="1"/>
  <c r="B45" i="19" s="1"/>
  <c r="B46" i="19" s="1"/>
  <c r="B47" i="19" s="1"/>
  <c r="B48" i="19" s="1"/>
  <c r="B49" i="19" s="1"/>
  <c r="B50" i="19" s="1"/>
  <c r="B51" i="19" s="1"/>
  <c r="B52" i="19" s="1"/>
  <c r="B53" i="19" s="1"/>
  <c r="B54" i="19" s="1"/>
  <c r="B55" i="19" s="1"/>
  <c r="B56" i="19" s="1"/>
  <c r="B57" i="19" s="1"/>
  <c r="B58" i="19" s="1"/>
  <c r="B59" i="19" s="1"/>
  <c r="B60" i="19" s="1"/>
  <c r="B61" i="19" s="1"/>
  <c r="B62" i="19" s="1"/>
  <c r="B63" i="19" s="1"/>
  <c r="B64" i="19" s="1"/>
  <c r="B65" i="19" s="1"/>
  <c r="B66" i="19" s="1"/>
  <c r="B67" i="19" s="1"/>
  <c r="B68" i="19" s="1"/>
  <c r="B69" i="19" s="1"/>
  <c r="B70" i="19" s="1"/>
  <c r="B71" i="19" s="1"/>
  <c r="B72" i="19" s="1"/>
  <c r="B73" i="19" s="1"/>
  <c r="B74" i="19" s="1"/>
  <c r="B75" i="19" s="1"/>
  <c r="B76" i="19" s="1"/>
  <c r="B77" i="19" s="1"/>
  <c r="B78" i="19" s="1"/>
  <c r="B79" i="19" s="1"/>
  <c r="B80" i="19" s="1"/>
  <c r="B81" i="19" s="1"/>
  <c r="B82" i="19" s="1"/>
  <c r="B83" i="19" s="1"/>
  <c r="B84" i="19" s="1"/>
  <c r="B85" i="19" s="1"/>
  <c r="B86" i="19" s="1"/>
  <c r="B87" i="19" s="1"/>
  <c r="B88" i="19" s="1"/>
  <c r="B89" i="19" s="1"/>
  <c r="B90" i="19" s="1"/>
  <c r="B91" i="19" s="1"/>
  <c r="B92" i="19" s="1"/>
  <c r="B93" i="19" s="1"/>
  <c r="B94" i="19" s="1"/>
  <c r="B95" i="19" s="1"/>
  <c r="B96" i="19" s="1"/>
  <c r="B97" i="19" s="1"/>
  <c r="B98" i="19" s="1"/>
  <c r="B99" i="19" s="1"/>
  <c r="B100" i="19" s="1"/>
  <c r="B101" i="19" s="1"/>
  <c r="B102" i="19" s="1"/>
  <c r="B103" i="19" s="1"/>
  <c r="B104" i="19" s="1"/>
  <c r="B105" i="19" s="1"/>
  <c r="B106" i="19" s="1"/>
  <c r="B107" i="19" s="1"/>
  <c r="B108" i="19" s="1"/>
  <c r="B109" i="19" s="1"/>
  <c r="B110" i="19" s="1"/>
  <c r="B111" i="19" s="1"/>
  <c r="F84" i="19"/>
  <c r="I7" i="19"/>
  <c r="A15" i="19"/>
  <c r="H40" i="1"/>
  <c r="H41" i="1" s="1"/>
  <c r="D44" i="33" l="1"/>
  <c r="J43" i="33"/>
  <c r="M43" i="33"/>
  <c r="G43" i="33" s="1"/>
  <c r="I43" i="33"/>
  <c r="F85" i="19"/>
  <c r="A16" i="19"/>
  <c r="O43" i="33" l="1"/>
  <c r="E43" i="33"/>
  <c r="F43" i="33"/>
  <c r="H44" i="33"/>
  <c r="C44" i="33"/>
  <c r="D45" i="33" s="1"/>
  <c r="B44" i="33"/>
  <c r="L43" i="33"/>
  <c r="K43" i="33"/>
  <c r="N43" i="33" s="1"/>
  <c r="F86" i="19"/>
  <c r="A17" i="19"/>
  <c r="AC45" i="8"/>
  <c r="F27" i="8"/>
  <c r="E16" i="8"/>
  <c r="D16" i="8"/>
  <c r="M39" i="8"/>
  <c r="A46" i="8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D25" i="8"/>
  <c r="H45" i="33" l="1"/>
  <c r="C45" i="33"/>
  <c r="B45" i="33" s="1"/>
  <c r="I44" i="33"/>
  <c r="M44" i="33"/>
  <c r="G44" i="33" s="1"/>
  <c r="J44" i="33"/>
  <c r="F87" i="19"/>
  <c r="A18" i="19"/>
  <c r="AE45" i="8"/>
  <c r="Z45" i="8"/>
  <c r="AB45" i="8"/>
  <c r="AD45" i="8"/>
  <c r="AA45" i="8"/>
  <c r="C2" i="6"/>
  <c r="C5" i="7"/>
  <c r="E38" i="1"/>
  <c r="D46" i="33" l="1"/>
  <c r="F44" i="33"/>
  <c r="E44" i="33"/>
  <c r="O44" i="33"/>
  <c r="L44" i="33"/>
  <c r="K44" i="33"/>
  <c r="N44" i="33" s="1"/>
  <c r="I45" i="33"/>
  <c r="M45" i="33"/>
  <c r="G45" i="33" s="1"/>
  <c r="J45" i="33"/>
  <c r="F11" i="7"/>
  <c r="G11" i="7" s="1"/>
  <c r="H9" i="7"/>
  <c r="H8" i="7" s="1"/>
  <c r="F88" i="19"/>
  <c r="D10" i="6"/>
  <c r="A19" i="19"/>
  <c r="E45" i="33" l="1"/>
  <c r="F45" i="33"/>
  <c r="O45" i="33"/>
  <c r="L45" i="33"/>
  <c r="K45" i="33"/>
  <c r="N45" i="33" s="1"/>
  <c r="H46" i="33"/>
  <c r="C46" i="33"/>
  <c r="D47" i="33" s="1"/>
  <c r="I9" i="7"/>
  <c r="I8" i="7"/>
  <c r="F89" i="19"/>
  <c r="A20" i="19"/>
  <c r="B46" i="33" l="1"/>
  <c r="M46" i="33"/>
  <c r="G46" i="33" s="1"/>
  <c r="J46" i="33"/>
  <c r="I46" i="33"/>
  <c r="F90" i="19"/>
  <c r="B8" i="6"/>
  <c r="A21" i="19"/>
  <c r="K46" i="33" l="1"/>
  <c r="N46" i="33" s="1"/>
  <c r="L46" i="33"/>
  <c r="C47" i="33"/>
  <c r="B47" i="33" s="1"/>
  <c r="H47" i="33"/>
  <c r="O46" i="33"/>
  <c r="E46" i="33"/>
  <c r="F46" i="33"/>
  <c r="F91" i="19"/>
  <c r="J39" i="6"/>
  <c r="AK2" i="28" s="1"/>
  <c r="J40" i="6"/>
  <c r="AL2" i="28" s="1"/>
  <c r="J41" i="6"/>
  <c r="AM2" i="28" s="1"/>
  <c r="J42" i="6"/>
  <c r="AN2" i="28" s="1"/>
  <c r="J45" i="6"/>
  <c r="AQ2" i="28" s="1"/>
  <c r="J46" i="6"/>
  <c r="AR2" i="28" s="1"/>
  <c r="R3" i="28" s="1"/>
  <c r="J29" i="6"/>
  <c r="J35" i="6"/>
  <c r="J37" i="6"/>
  <c r="AI2" i="28" s="1"/>
  <c r="J31" i="6"/>
  <c r="AC2" i="28" s="1"/>
  <c r="J32" i="6"/>
  <c r="AD2" i="28" s="1"/>
  <c r="J30" i="6"/>
  <c r="AB2" i="28" s="1"/>
  <c r="J36" i="6"/>
  <c r="J44" i="6"/>
  <c r="AP2" i="28" s="1"/>
  <c r="J43" i="6"/>
  <c r="AO2" i="28" s="1"/>
  <c r="J38" i="6"/>
  <c r="AJ2" i="28" s="1"/>
  <c r="A22" i="19"/>
  <c r="I47" i="33" l="1"/>
  <c r="J47" i="33"/>
  <c r="M47" i="33"/>
  <c r="G47" i="33" s="1"/>
  <c r="F92" i="19"/>
  <c r="AH2" i="28"/>
  <c r="J9" i="6"/>
  <c r="AG2" i="28"/>
  <c r="J10" i="6"/>
  <c r="AQ3" i="28"/>
  <c r="AF2" i="28"/>
  <c r="AE2" i="28"/>
  <c r="AR3" i="28"/>
  <c r="R4" i="28" s="1"/>
  <c r="AA2" i="28"/>
  <c r="J11" i="6"/>
  <c r="A23" i="19"/>
  <c r="K47" i="33" l="1"/>
  <c r="N47" i="33" s="1"/>
  <c r="L47" i="33"/>
  <c r="F47" i="33"/>
  <c r="E47" i="33"/>
  <c r="O47" i="33"/>
  <c r="D3" i="28"/>
  <c r="F93" i="19"/>
  <c r="B2" i="28"/>
  <c r="J12" i="6"/>
  <c r="AR4" i="28"/>
  <c r="R5" i="28" s="1"/>
  <c r="A24" i="19"/>
  <c r="F94" i="19" l="1"/>
  <c r="E3" i="28"/>
  <c r="F3" i="28" s="1"/>
  <c r="A25" i="19"/>
  <c r="F95" i="19" l="1"/>
  <c r="A26" i="19"/>
  <c r="F96" i="19" l="1"/>
  <c r="A27" i="19"/>
  <c r="F97" i="19" l="1"/>
  <c r="A28" i="19"/>
  <c r="F98" i="19" l="1"/>
  <c r="A29" i="19"/>
  <c r="F99" i="19" l="1"/>
  <c r="A30" i="19"/>
  <c r="F100" i="19" l="1"/>
  <c r="A31" i="19"/>
  <c r="F101" i="19" l="1"/>
  <c r="A32" i="19"/>
  <c r="F102" i="19" l="1"/>
  <c r="A33" i="19"/>
  <c r="F103" i="19" l="1"/>
  <c r="A34" i="19"/>
  <c r="F104" i="19" l="1"/>
  <c r="A35" i="19"/>
  <c r="F105" i="19" l="1"/>
  <c r="A36" i="19"/>
  <c r="F106" i="19" l="1"/>
  <c r="C10" i="6"/>
  <c r="A37" i="19"/>
  <c r="F107" i="19" l="1"/>
  <c r="A38" i="19"/>
  <c r="F108" i="19" l="1"/>
  <c r="A39" i="19"/>
  <c r="F109" i="19" l="1"/>
  <c r="A40" i="19"/>
  <c r="F110" i="19" l="1"/>
  <c r="A41" i="19"/>
  <c r="F111" i="19" l="1"/>
  <c r="D112" i="19"/>
  <c r="A42" i="19"/>
  <c r="F112" i="19" l="1"/>
  <c r="D113" i="19"/>
  <c r="A43" i="19"/>
  <c r="F113" i="19" l="1"/>
  <c r="D114" i="19"/>
  <c r="A44" i="19"/>
  <c r="F114" i="19" l="1"/>
  <c r="D115" i="19"/>
  <c r="A45" i="19"/>
  <c r="F115" i="19" l="1"/>
  <c r="D116" i="19"/>
  <c r="A46" i="19"/>
  <c r="F116" i="19" l="1"/>
  <c r="D117" i="19"/>
  <c r="A47" i="19"/>
  <c r="F117" i="19" l="1"/>
  <c r="A48" i="19"/>
  <c r="A49" i="19" l="1"/>
  <c r="A50" i="19" l="1"/>
  <c r="A51" i="19" l="1"/>
  <c r="A52" i="19" l="1"/>
  <c r="A53" i="19" l="1"/>
  <c r="A54" i="19" l="1"/>
  <c r="A55" i="19" l="1"/>
  <c r="A56" i="19" l="1"/>
  <c r="A57" i="19" l="1"/>
  <c r="A58" i="19" l="1"/>
  <c r="A59" i="19" l="1"/>
  <c r="A60" i="19" l="1"/>
  <c r="A61" i="19" l="1"/>
  <c r="A62" i="19" l="1"/>
  <c r="A63" i="19" l="1"/>
  <c r="A64" i="19" l="1"/>
  <c r="A65" i="19" l="1"/>
  <c r="A66" i="19" l="1"/>
  <c r="A67" i="19" l="1"/>
  <c r="A68" i="19" l="1"/>
  <c r="A69" i="19" l="1"/>
  <c r="A70" i="19" l="1"/>
  <c r="A71" i="19" l="1"/>
  <c r="A72" i="19" l="1"/>
  <c r="A73" i="19" l="1"/>
  <c r="A74" i="19" l="1"/>
  <c r="A75" i="19" l="1"/>
  <c r="A76" i="19" l="1"/>
  <c r="A77" i="19" l="1"/>
  <c r="A78" i="19" l="1"/>
  <c r="A79" i="19" l="1"/>
  <c r="A80" i="19" l="1"/>
  <c r="A81" i="19" l="1"/>
  <c r="A82" i="19" l="1"/>
  <c r="A83" i="19" l="1"/>
  <c r="A84" i="19" l="1"/>
  <c r="A85" i="19" l="1"/>
  <c r="A86" i="19" l="1"/>
  <c r="A87" i="19" l="1"/>
  <c r="A88" i="19" l="1"/>
  <c r="A89" i="19" l="1"/>
  <c r="A90" i="19" l="1"/>
  <c r="A91" i="19" l="1"/>
  <c r="A92" i="19" l="1"/>
  <c r="A93" i="19" l="1"/>
  <c r="A94" i="19" l="1"/>
  <c r="A95" i="19" l="1"/>
  <c r="A96" i="19" l="1"/>
  <c r="A97" i="19" l="1"/>
  <c r="A98" i="19" l="1"/>
  <c r="A99" i="19" l="1"/>
  <c r="A100" i="19" l="1"/>
  <c r="A101" i="19" l="1"/>
  <c r="A102" i="19" l="1"/>
  <c r="A103" i="19" l="1"/>
  <c r="A104" i="19" l="1"/>
  <c r="A105" i="19" l="1"/>
  <c r="A106" i="19" l="1"/>
  <c r="A107" i="19" l="1"/>
  <c r="A108" i="19" l="1"/>
  <c r="A109" i="19" l="1"/>
  <c r="A110" i="19" l="1"/>
  <c r="A111" i="19" l="1"/>
  <c r="A112" i="19" l="1"/>
  <c r="A113" i="19" l="1"/>
  <c r="A114" i="19" l="1"/>
  <c r="A115" i="19" l="1"/>
  <c r="A116" i="19" l="1"/>
  <c r="A117" i="19" l="1"/>
  <c r="F18" i="8" l="1"/>
  <c r="B5" i="15"/>
  <c r="F20" i="8" l="1"/>
  <c r="B45" i="1"/>
  <c r="E45" i="18"/>
  <c r="D45" i="27" l="1"/>
  <c r="F45" i="27" s="1"/>
  <c r="C45" i="1"/>
  <c r="D45" i="1"/>
  <c r="E49" i="18"/>
  <c r="B49" i="1"/>
  <c r="B51" i="1" s="1"/>
  <c r="C51" i="13"/>
  <c r="B48" i="1"/>
  <c r="E47" i="18"/>
  <c r="E48" i="18"/>
  <c r="B50" i="1" s="1"/>
  <c r="B77" i="1" s="1"/>
  <c r="B76" i="1" l="1"/>
  <c r="B78" i="1"/>
  <c r="E52" i="13"/>
  <c r="E57" i="13" s="1"/>
  <c r="C26" i="18" l="1"/>
  <c r="I3" i="28" l="1"/>
  <c r="P3" i="28" s="1"/>
  <c r="AB3" i="28"/>
  <c r="AC3" i="28"/>
  <c r="AD3" i="28"/>
  <c r="X2" i="28"/>
  <c r="Y2" i="28" s="1"/>
  <c r="F5" i="24" l="1"/>
  <c r="AP3" i="28"/>
  <c r="AQ4" i="28" s="1"/>
  <c r="AR5" i="28" s="1"/>
  <c r="R6" i="28" s="1"/>
  <c r="AJ3" i="28"/>
  <c r="AD4" i="28"/>
  <c r="AC4" i="28"/>
  <c r="AN3" i="28"/>
  <c r="AL3" i="28"/>
  <c r="AH3" i="28"/>
  <c r="AF3" i="28"/>
  <c r="AF4" i="28" s="1"/>
  <c r="AK3" i="28"/>
  <c r="Z2" i="28"/>
  <c r="H2" i="28"/>
  <c r="G3" i="28" s="1"/>
  <c r="H3" i="28"/>
  <c r="V3" i="28"/>
  <c r="D4" i="28" l="1"/>
  <c r="T2" i="28"/>
  <c r="W3" i="28" s="1"/>
  <c r="J24" i="6"/>
  <c r="AO3" i="28"/>
  <c r="AP4" i="28" s="1"/>
  <c r="AQ5" i="28" s="1"/>
  <c r="AJ4" i="28"/>
  <c r="AL4" i="28"/>
  <c r="AG3" i="28"/>
  <c r="AE3" i="28"/>
  <c r="AE4" i="28" s="1"/>
  <c r="AE5" i="28" s="1"/>
  <c r="U3" i="28"/>
  <c r="AM3" i="28"/>
  <c r="AM4" i="28" s="1"/>
  <c r="AN4" i="28"/>
  <c r="M2" i="28"/>
  <c r="AI3" i="28"/>
  <c r="AK4" i="28" s="1"/>
  <c r="AH4" i="28"/>
  <c r="AH5" i="28" s="1"/>
  <c r="J3" i="28"/>
  <c r="AF5" i="28"/>
  <c r="L2" i="28"/>
  <c r="Q3" i="28" l="1"/>
  <c r="D5" i="28"/>
  <c r="AJ5" i="28"/>
  <c r="AJ6" i="28" s="1"/>
  <c r="N2" i="28"/>
  <c r="S2" i="28"/>
  <c r="AO4" i="28"/>
  <c r="AP5" i="28" s="1"/>
  <c r="AQ6" i="28" s="1"/>
  <c r="AN5" i="28"/>
  <c r="AG4" i="28"/>
  <c r="AG5" i="28" s="1"/>
  <c r="AG6" i="28" s="1"/>
  <c r="AI4" i="28"/>
  <c r="AK5" i="28" s="1"/>
  <c r="H4" i="28"/>
  <c r="AR6" i="28"/>
  <c r="AH6" i="28"/>
  <c r="AL5" i="28"/>
  <c r="AM5" i="28"/>
  <c r="T3" i="28" l="1"/>
  <c r="W4" i="28" s="1"/>
  <c r="Y3" i="28"/>
  <c r="V4" i="28"/>
  <c r="Z3" i="28"/>
  <c r="AL6" i="28"/>
  <c r="AL7" i="28" s="1"/>
  <c r="F6" i="24"/>
  <c r="AA3" i="28"/>
  <c r="B3" i="28" s="1"/>
  <c r="O3" i="28" s="1"/>
  <c r="L3" i="28"/>
  <c r="AI5" i="28"/>
  <c r="M5" i="28" s="1"/>
  <c r="M4" i="28"/>
  <c r="AO5" i="28"/>
  <c r="AP6" i="28" s="1"/>
  <c r="AQ7" i="28" s="1"/>
  <c r="H5" i="28"/>
  <c r="AR7" i="28"/>
  <c r="R8" i="28" s="1"/>
  <c r="AM6" i="28"/>
  <c r="AJ7" i="28"/>
  <c r="AN6" i="28"/>
  <c r="R7" i="28"/>
  <c r="E4" i="28" l="1"/>
  <c r="U4" i="28"/>
  <c r="X4" i="28" s="1"/>
  <c r="H16" i="6"/>
  <c r="B21" i="1"/>
  <c r="F1" i="24" s="1"/>
  <c r="C3" i="28"/>
  <c r="AB4" i="28"/>
  <c r="AC5" i="28" s="1"/>
  <c r="AE6" i="28" s="1"/>
  <c r="AG7" i="28" s="1"/>
  <c r="K3" i="28"/>
  <c r="S3" i="28"/>
  <c r="N3" i="28"/>
  <c r="AO6" i="28"/>
  <c r="AO7" i="28" s="1"/>
  <c r="AK6" i="28"/>
  <c r="AM7" i="28" s="1"/>
  <c r="AI6" i="28"/>
  <c r="AR8" i="28"/>
  <c r="AN7" i="28"/>
  <c r="AL8" i="28"/>
  <c r="F4" i="28" l="1"/>
  <c r="G4" i="28"/>
  <c r="L4" i="28" s="1"/>
  <c r="V5" i="28"/>
  <c r="Z4" i="28"/>
  <c r="T4" i="28"/>
  <c r="W5" i="28" s="1"/>
  <c r="Y4" i="28"/>
  <c r="B22" i="1"/>
  <c r="H17" i="6"/>
  <c r="H18" i="6" s="1"/>
  <c r="F15" i="24"/>
  <c r="G15" i="24" s="1"/>
  <c r="F16" i="24"/>
  <c r="G16" i="24" s="1"/>
  <c r="F23" i="24"/>
  <c r="G23" i="24" s="1"/>
  <c r="F17" i="24"/>
  <c r="G17" i="24" s="1"/>
  <c r="F7" i="24"/>
  <c r="F21" i="24"/>
  <c r="G21" i="24" s="1"/>
  <c r="F14" i="24"/>
  <c r="G14" i="24" s="1"/>
  <c r="F22" i="24"/>
  <c r="G22" i="24" s="1"/>
  <c r="F24" i="24"/>
  <c r="G24" i="24" s="1"/>
  <c r="F18" i="24"/>
  <c r="G18" i="24" s="1"/>
  <c r="F19" i="24"/>
  <c r="G19" i="24" s="1"/>
  <c r="F20" i="24"/>
  <c r="G20" i="24" s="1"/>
  <c r="AD5" i="28"/>
  <c r="D6" i="28" s="1"/>
  <c r="AP7" i="28"/>
  <c r="AP8" i="28" s="1"/>
  <c r="AI7" i="28"/>
  <c r="AK7" i="28"/>
  <c r="AM8" i="28" s="1"/>
  <c r="AN8" i="28"/>
  <c r="AN9" i="28" s="1"/>
  <c r="R9" i="28"/>
  <c r="AO8" i="28"/>
  <c r="AA4" i="28" l="1"/>
  <c r="I4" i="28" s="1"/>
  <c r="P4" i="28" s="1"/>
  <c r="U5" i="28"/>
  <c r="X5" i="28" s="1"/>
  <c r="AF6" i="28"/>
  <c r="AH7" i="28" s="1"/>
  <c r="AJ8" i="28" s="1"/>
  <c r="AL9" i="28" s="1"/>
  <c r="AN10" i="28" s="1"/>
  <c r="F9" i="24"/>
  <c r="G13" i="24"/>
  <c r="F4" i="24"/>
  <c r="F8" i="24"/>
  <c r="AQ8" i="28"/>
  <c r="AQ9" i="28" s="1"/>
  <c r="K4" i="28"/>
  <c r="AK8" i="28"/>
  <c r="AM9" i="28" s="1"/>
  <c r="AI8" i="28"/>
  <c r="AO9" i="28"/>
  <c r="AP9" i="28"/>
  <c r="T5" i="28" l="1"/>
  <c r="W6" i="28" s="1"/>
  <c r="V6" i="28"/>
  <c r="Z5" i="28"/>
  <c r="Y5" i="28"/>
  <c r="Q4" i="28"/>
  <c r="M6" i="28"/>
  <c r="H6" i="28"/>
  <c r="AR9" i="28"/>
  <c r="R10" i="28" s="1"/>
  <c r="AK9" i="28"/>
  <c r="AM10" i="28" s="1"/>
  <c r="AP10" i="28"/>
  <c r="AO10" i="28"/>
  <c r="AQ10" i="28"/>
  <c r="U6" i="28" l="1"/>
  <c r="X6" i="28" s="1"/>
  <c r="V7" i="28" s="1"/>
  <c r="AR10" i="28"/>
  <c r="R11" i="28" s="1"/>
  <c r="AQ11" i="28"/>
  <c r="AP11" i="28"/>
  <c r="AO11" i="28"/>
  <c r="Z6" i="28" l="1"/>
  <c r="T6" i="28"/>
  <c r="W7" i="28" s="1"/>
  <c r="Y6" i="28"/>
  <c r="U7" i="28" s="1"/>
  <c r="X7" i="28" s="1"/>
  <c r="AR11" i="28"/>
  <c r="AR12" i="28" s="1"/>
  <c r="R13" i="28" s="1"/>
  <c r="AP12" i="28"/>
  <c r="AQ12" i="28"/>
  <c r="R12" i="28"/>
  <c r="V8" i="28" l="1"/>
  <c r="AR13" i="28"/>
  <c r="AQ13" i="28"/>
  <c r="R14" i="28" l="1"/>
  <c r="AR14" i="28"/>
  <c r="R15" i="28" l="1"/>
  <c r="AB5" i="28" l="1"/>
  <c r="AD6" i="28" s="1"/>
  <c r="D7" i="28" s="1"/>
  <c r="B4" i="28"/>
  <c r="O4" i="28" s="1"/>
  <c r="E5" i="28" l="1"/>
  <c r="G5" i="28" s="1"/>
  <c r="C4" i="28"/>
  <c r="AC6" i="28"/>
  <c r="AE7" i="28" s="1"/>
  <c r="S4" i="28"/>
  <c r="AF7" i="28"/>
  <c r="N4" i="28"/>
  <c r="J4" i="28"/>
  <c r="L5" i="28" l="1"/>
  <c r="I5" i="28"/>
  <c r="F5" i="28"/>
  <c r="M7" i="28"/>
  <c r="AG8" i="28"/>
  <c r="Y7" i="28"/>
  <c r="Z7" i="28"/>
  <c r="H7" i="28"/>
  <c r="T7" i="28" s="1"/>
  <c r="W8" i="28" s="1"/>
  <c r="AH8" i="28"/>
  <c r="K5" i="28" l="1"/>
  <c r="P5" i="28"/>
  <c r="B5" i="28"/>
  <c r="E6" i="28" s="1"/>
  <c r="AB6" i="28"/>
  <c r="AI9" i="28"/>
  <c r="AJ9" i="28"/>
  <c r="U8" i="28"/>
  <c r="X8" i="28" s="1"/>
  <c r="Q5" i="28" l="1"/>
  <c r="O5" i="28" s="1"/>
  <c r="G6" i="28"/>
  <c r="AA6" i="28" s="1"/>
  <c r="C5" i="28"/>
  <c r="S5" i="28"/>
  <c r="AK10" i="28"/>
  <c r="AD7" i="28"/>
  <c r="D8" i="28" s="1"/>
  <c r="AC7" i="28"/>
  <c r="V9" i="28"/>
  <c r="AL10" i="28"/>
  <c r="J5" i="28"/>
  <c r="N5" i="28"/>
  <c r="F6" i="28" l="1"/>
  <c r="K6" i="28"/>
  <c r="L6" i="28"/>
  <c r="AE8" i="28"/>
  <c r="AF8" i="28"/>
  <c r="AN11" i="28"/>
  <c r="AM11" i="28"/>
  <c r="M8" i="28" l="1"/>
  <c r="Y8" i="28"/>
  <c r="AG9" i="28"/>
  <c r="AO12" i="28"/>
  <c r="H8" i="28"/>
  <c r="T8" i="28" s="1"/>
  <c r="W9" i="28" s="1"/>
  <c r="Z8" i="28"/>
  <c r="AH9" i="28"/>
  <c r="I6" i="28"/>
  <c r="P6" i="28" s="1"/>
  <c r="AB7" i="28"/>
  <c r="B6" i="28"/>
  <c r="Q6" i="28" l="1"/>
  <c r="O6" i="28" s="1"/>
  <c r="E7" i="28"/>
  <c r="G7" i="28" s="1"/>
  <c r="C6" i="28"/>
  <c r="S6" i="28"/>
  <c r="AI10" i="28"/>
  <c r="AJ10" i="28"/>
  <c r="U9" i="28"/>
  <c r="X9" i="28" s="1"/>
  <c r="AD8" i="28"/>
  <c r="D9" i="28" s="1"/>
  <c r="AC8" i="28"/>
  <c r="AP13" i="28"/>
  <c r="N6" i="28"/>
  <c r="J6" i="28"/>
  <c r="F7" i="28" l="1"/>
  <c r="L7" i="28"/>
  <c r="AK11" i="28"/>
  <c r="AF9" i="28"/>
  <c r="AQ14" i="28"/>
  <c r="AL11" i="28"/>
  <c r="V10" i="28"/>
  <c r="AE9" i="28"/>
  <c r="AA7" i="28" l="1"/>
  <c r="K7" i="28" s="1"/>
  <c r="H9" i="28"/>
  <c r="T9" i="28" s="1"/>
  <c r="W10" i="28" s="1"/>
  <c r="Z9" i="28"/>
  <c r="AH10" i="28"/>
  <c r="AM12" i="28"/>
  <c r="AN12" i="28"/>
  <c r="AR15" i="28"/>
  <c r="M9" i="28"/>
  <c r="Y9" i="28"/>
  <c r="AG10" i="28"/>
  <c r="B7" i="28" l="1"/>
  <c r="E8" i="28" s="1"/>
  <c r="G8" i="28" s="1"/>
  <c r="AB8" i="28"/>
  <c r="AD9" i="28" s="1"/>
  <c r="D10" i="28" s="1"/>
  <c r="I7" i="28"/>
  <c r="P7" i="28" s="1"/>
  <c r="Q7" i="28" s="1"/>
  <c r="U10" i="28"/>
  <c r="X10" i="28" s="1"/>
  <c r="S7" i="28"/>
  <c r="AI11" i="28"/>
  <c r="AJ11" i="28"/>
  <c r="AO13" i="28"/>
  <c r="R16" i="28"/>
  <c r="AC9" i="28" l="1"/>
  <c r="J7" i="28"/>
  <c r="O7" i="28"/>
  <c r="N7" i="28"/>
  <c r="C7" i="28"/>
  <c r="V11" i="28"/>
  <c r="F8" i="28"/>
  <c r="L8" i="28"/>
  <c r="AP14" i="28"/>
  <c r="AF10" i="28"/>
  <c r="AL12" i="28"/>
  <c r="AE10" i="28"/>
  <c r="AK12" i="28"/>
  <c r="AA8" i="28" l="1"/>
  <c r="K8" i="28" s="1"/>
  <c r="Z10" i="28"/>
  <c r="H10" i="28"/>
  <c r="T10" i="28" s="1"/>
  <c r="W11" i="28" s="1"/>
  <c r="AH11" i="28"/>
  <c r="AN13" i="28"/>
  <c r="I8" i="28"/>
  <c r="P8" i="28" s="1"/>
  <c r="Q8" i="28" s="1"/>
  <c r="B8" i="28"/>
  <c r="AQ15" i="28"/>
  <c r="AM13" i="28"/>
  <c r="M10" i="28"/>
  <c r="Y10" i="28"/>
  <c r="AG11" i="28"/>
  <c r="AB9" i="28" l="1"/>
  <c r="AC10" i="28" s="1"/>
  <c r="O8" i="28"/>
  <c r="E9" i="28"/>
  <c r="G9" i="28" s="1"/>
  <c r="C8" i="28"/>
  <c r="U11" i="28"/>
  <c r="X11" i="28" s="1"/>
  <c r="S8" i="28"/>
  <c r="AO14" i="28"/>
  <c r="J8" i="28"/>
  <c r="N8" i="28"/>
  <c r="AJ12" i="28"/>
  <c r="AR16" i="28"/>
  <c r="AI12" i="28"/>
  <c r="AD10" i="28" l="1"/>
  <c r="D11" i="28" s="1"/>
  <c r="V12" i="28"/>
  <c r="F9" i="28"/>
  <c r="L9" i="28"/>
  <c r="AE11" i="28"/>
  <c r="AF11" i="28"/>
  <c r="AP15" i="28"/>
  <c r="AK13" i="28"/>
  <c r="AL13" i="28"/>
  <c r="R17" i="28"/>
  <c r="AA9" i="28" l="1"/>
  <c r="K9" i="28" s="1"/>
  <c r="M11" i="28"/>
  <c r="Y11" i="28"/>
  <c r="AG12" i="28"/>
  <c r="AN14" i="28"/>
  <c r="AH12" i="28"/>
  <c r="H11" i="28"/>
  <c r="T11" i="28" s="1"/>
  <c r="W12" i="28" s="1"/>
  <c r="Z11" i="28"/>
  <c r="AQ16" i="28"/>
  <c r="AM14" i="28"/>
  <c r="B9" i="28" l="1"/>
  <c r="S9" i="28" s="1"/>
  <c r="AB10" i="28"/>
  <c r="AC11" i="28" s="1"/>
  <c r="AE12" i="28" s="1"/>
  <c r="I9" i="28"/>
  <c r="P9" i="28" s="1"/>
  <c r="Q9" i="28" s="1"/>
  <c r="AI13" i="28"/>
  <c r="U12" i="28"/>
  <c r="X12" i="28" s="1"/>
  <c r="AO15" i="28"/>
  <c r="AJ13" i="28"/>
  <c r="AR17" i="28"/>
  <c r="O9" i="28" l="1"/>
  <c r="E10" i="28"/>
  <c r="G10" i="28" s="1"/>
  <c r="L10" i="28" s="1"/>
  <c r="AD11" i="28"/>
  <c r="D12" i="28" s="1"/>
  <c r="C9" i="28"/>
  <c r="N9" i="28"/>
  <c r="J9" i="28"/>
  <c r="AL14" i="28"/>
  <c r="AK14" i="28"/>
  <c r="R18" i="28"/>
  <c r="V13" i="28"/>
  <c r="Y12" i="28"/>
  <c r="AG13" i="28"/>
  <c r="AI14" i="28" s="1"/>
  <c r="AP16" i="28"/>
  <c r="AF12" i="28" l="1"/>
  <c r="F10" i="28"/>
  <c r="AA10" i="28"/>
  <c r="K10" i="28" s="1"/>
  <c r="AK15" i="28"/>
  <c r="H12" i="28"/>
  <c r="T12" i="28" s="1"/>
  <c r="W13" i="28" s="1"/>
  <c r="Z12" i="28"/>
  <c r="U13" i="28" s="1"/>
  <c r="AH13" i="28"/>
  <c r="AJ14" i="28" s="1"/>
  <c r="AL15" i="28" s="1"/>
  <c r="AM15" i="28"/>
  <c r="M12" i="28"/>
  <c r="AQ17" i="28"/>
  <c r="AN15" i="28"/>
  <c r="AB11" i="28" l="1"/>
  <c r="AD12" i="28" s="1"/>
  <c r="D13" i="28" s="1"/>
  <c r="B10" i="28"/>
  <c r="S10" i="28" s="1"/>
  <c r="I10" i="28"/>
  <c r="P10" i="28" s="1"/>
  <c r="Q10" i="28" s="1"/>
  <c r="X13" i="28"/>
  <c r="AN16" i="28"/>
  <c r="AO16" i="28"/>
  <c r="AR18" i="28"/>
  <c r="AM16" i="28"/>
  <c r="AC12" i="28" l="1"/>
  <c r="AE13" i="28" s="1"/>
  <c r="E11" i="28"/>
  <c r="G11" i="28" s="1"/>
  <c r="L11" i="28" s="1"/>
  <c r="O10" i="28"/>
  <c r="C10" i="28"/>
  <c r="N10" i="28"/>
  <c r="J10" i="28"/>
  <c r="V14" i="28"/>
  <c r="F11" i="28"/>
  <c r="R19" i="28"/>
  <c r="AP17" i="28"/>
  <c r="AF13" i="28"/>
  <c r="M13" i="28" s="1"/>
  <c r="AO17" i="28"/>
  <c r="Y13" i="28"/>
  <c r="AG14" i="28"/>
  <c r="AI15" i="28" s="1"/>
  <c r="AK16" i="28" s="1"/>
  <c r="AM17" i="28" s="1"/>
  <c r="AA11" i="28"/>
  <c r="K11" i="28" s="1"/>
  <c r="AQ18" i="28" l="1"/>
  <c r="Z13" i="28"/>
  <c r="U14" i="28" s="1"/>
  <c r="H13" i="28"/>
  <c r="T13" i="28" s="1"/>
  <c r="W14" i="28" s="1"/>
  <c r="AH14" i="28"/>
  <c r="AJ15" i="28" s="1"/>
  <c r="AL16" i="28" s="1"/>
  <c r="AN17" i="28" s="1"/>
  <c r="AP18" i="28"/>
  <c r="AQ19" i="28" s="1"/>
  <c r="I11" i="28"/>
  <c r="P11" i="28" s="1"/>
  <c r="AB12" i="28"/>
  <c r="B11" i="28"/>
  <c r="E12" i="28" s="1"/>
  <c r="Q11" i="28" l="1"/>
  <c r="O11" i="28" s="1"/>
  <c r="G12" i="28"/>
  <c r="F12" i="28"/>
  <c r="C11" i="28"/>
  <c r="X14" i="28"/>
  <c r="V15" i="28" s="1"/>
  <c r="S11" i="28"/>
  <c r="AC13" i="28"/>
  <c r="AE14" i="28" s="1"/>
  <c r="AD13" i="28"/>
  <c r="D14" i="28" s="1"/>
  <c r="AO18" i="28"/>
  <c r="AP19" i="28" s="1"/>
  <c r="AQ20" i="28" s="1"/>
  <c r="N11" i="28"/>
  <c r="J11" i="28"/>
  <c r="AR19" i="28"/>
  <c r="AR20" i="28" s="1"/>
  <c r="L12" i="28" l="1"/>
  <c r="AR21" i="28"/>
  <c r="Y14" i="28"/>
  <c r="AG15" i="28"/>
  <c r="AI16" i="28" s="1"/>
  <c r="AK17" i="28" s="1"/>
  <c r="AM18" i="28" s="1"/>
  <c r="R21" i="28"/>
  <c r="AA12" i="28"/>
  <c r="K12" i="28" s="1"/>
  <c r="AF14" i="28"/>
  <c r="R20" i="28"/>
  <c r="Z14" i="28" l="1"/>
  <c r="U15" i="28" s="1"/>
  <c r="H14" i="28"/>
  <c r="T14" i="28" s="1"/>
  <c r="W15" i="28" s="1"/>
  <c r="AH15" i="28"/>
  <c r="AJ16" i="28" s="1"/>
  <c r="AL17" i="28" s="1"/>
  <c r="AN18" i="28" s="1"/>
  <c r="M14" i="28"/>
  <c r="I12" i="28"/>
  <c r="P12" i="28" s="1"/>
  <c r="Q12" i="28" s="1"/>
  <c r="B12" i="28"/>
  <c r="E13" i="28" s="1"/>
  <c r="AB13" i="28"/>
  <c r="R22" i="28"/>
  <c r="O12" i="28" l="1"/>
  <c r="G13" i="28"/>
  <c r="F13" i="28"/>
  <c r="C12" i="28"/>
  <c r="S12" i="28"/>
  <c r="AC14" i="28"/>
  <c r="AE15" i="28" s="1"/>
  <c r="AD14" i="28"/>
  <c r="D15" i="28" s="1"/>
  <c r="J12" i="28"/>
  <c r="N12" i="28"/>
  <c r="AO19" i="28"/>
  <c r="AP20" i="28" s="1"/>
  <c r="AQ21" i="28" s="1"/>
  <c r="AR22" i="28" s="1"/>
  <c r="X15" i="28"/>
  <c r="L13" i="28" l="1"/>
  <c r="Y15" i="28"/>
  <c r="AG16" i="28"/>
  <c r="AI17" i="28" s="1"/>
  <c r="AK18" i="28" s="1"/>
  <c r="AM19" i="28" s="1"/>
  <c r="AF15" i="28"/>
  <c r="V16" i="28"/>
  <c r="R23" i="28"/>
  <c r="AA13" i="28" l="1"/>
  <c r="K13" i="28" s="1"/>
  <c r="Z15" i="28"/>
  <c r="U16" i="28" s="1"/>
  <c r="H15" i="28"/>
  <c r="T15" i="28" s="1"/>
  <c r="W16" i="28" s="1"/>
  <c r="AH16" i="28"/>
  <c r="AJ17" i="28" s="1"/>
  <c r="AL18" i="28" s="1"/>
  <c r="AN19" i="28" s="1"/>
  <c r="M15" i="28"/>
  <c r="AB14" i="28" l="1"/>
  <c r="B13" i="28"/>
  <c r="E14" i="28" s="1"/>
  <c r="G14" i="28" s="1"/>
  <c r="I13" i="28"/>
  <c r="P13" i="28" s="1"/>
  <c r="Q13" i="28" s="1"/>
  <c r="X16" i="28"/>
  <c r="AD15" i="28"/>
  <c r="D16" i="28" s="1"/>
  <c r="AC15" i="28"/>
  <c r="AE16" i="28" s="1"/>
  <c r="AO20" i="28"/>
  <c r="AP21" i="28" s="1"/>
  <c r="AQ22" i="28" s="1"/>
  <c r="AR23" i="28" s="1"/>
  <c r="O13" i="28" l="1"/>
  <c r="C13" i="28"/>
  <c r="F14" i="28"/>
  <c r="V17" i="28"/>
  <c r="J13" i="28"/>
  <c r="S13" i="28"/>
  <c r="N13" i="28"/>
  <c r="L14" i="28"/>
  <c r="Y16" i="28"/>
  <c r="AG17" i="28"/>
  <c r="AI18" i="28" s="1"/>
  <c r="AK19" i="28" s="1"/>
  <c r="AM20" i="28" s="1"/>
  <c r="R24" i="28"/>
  <c r="AA14" i="28"/>
  <c r="K14" i="28" s="1"/>
  <c r="AF16" i="28"/>
  <c r="Z16" i="28" l="1"/>
  <c r="U17" i="28" s="1"/>
  <c r="H16" i="28"/>
  <c r="T16" i="28" s="1"/>
  <c r="W17" i="28" s="1"/>
  <c r="AH17" i="28"/>
  <c r="AJ18" i="28" s="1"/>
  <c r="AL19" i="28" s="1"/>
  <c r="AN20" i="28" s="1"/>
  <c r="M16" i="28"/>
  <c r="I14" i="28"/>
  <c r="P14" i="28" s="1"/>
  <c r="Q14" i="28" s="1"/>
  <c r="B14" i="28"/>
  <c r="AB15" i="28"/>
  <c r="O14" i="28" l="1"/>
  <c r="E15" i="28"/>
  <c r="G15" i="28" s="1"/>
  <c r="C14" i="28"/>
  <c r="X17" i="28"/>
  <c r="S14" i="28"/>
  <c r="N14" i="28"/>
  <c r="J14" i="28"/>
  <c r="AC16" i="28"/>
  <c r="AE17" i="28" s="1"/>
  <c r="AD16" i="28"/>
  <c r="D17" i="28" s="1"/>
  <c r="AO21" i="28"/>
  <c r="AP22" i="28" s="1"/>
  <c r="AQ23" i="28" s="1"/>
  <c r="AR24" i="28" s="1"/>
  <c r="F15" i="28" l="1"/>
  <c r="V18" i="28"/>
  <c r="L15" i="28"/>
  <c r="R25" i="28"/>
  <c r="AF17" i="28"/>
  <c r="Y17" i="28"/>
  <c r="AG18" i="28"/>
  <c r="AI19" i="28" s="1"/>
  <c r="AK20" i="28" s="1"/>
  <c r="AM21" i="28" s="1"/>
  <c r="AA15" i="28"/>
  <c r="K15" i="28" s="1"/>
  <c r="Z17" i="28" l="1"/>
  <c r="H17" i="28"/>
  <c r="T17" i="28" s="1"/>
  <c r="W18" i="28" s="1"/>
  <c r="AH18" i="28"/>
  <c r="AJ19" i="28" s="1"/>
  <c r="AL20" i="28" s="1"/>
  <c r="AN21" i="28" s="1"/>
  <c r="AO22" i="28" s="1"/>
  <c r="AP23" i="28" s="1"/>
  <c r="AQ24" i="28" s="1"/>
  <c r="AR25" i="28" s="1"/>
  <c r="U18" i="28"/>
  <c r="M17" i="28"/>
  <c r="I15" i="28"/>
  <c r="P15" i="28" s="1"/>
  <c r="Q15" i="28" s="1"/>
  <c r="B15" i="28"/>
  <c r="AB16" i="28"/>
  <c r="O15" i="28" l="1"/>
  <c r="E16" i="28"/>
  <c r="G16" i="28" s="1"/>
  <c r="C15" i="28"/>
  <c r="X18" i="28"/>
  <c r="R26" i="28"/>
  <c r="J15" i="28"/>
  <c r="N15" i="28"/>
  <c r="AC17" i="28"/>
  <c r="AE18" i="28" s="1"/>
  <c r="AD17" i="28"/>
  <c r="D18" i="28" s="1"/>
  <c r="S15" i="28"/>
  <c r="F16" i="28" l="1"/>
  <c r="V19" i="28"/>
  <c r="L16" i="28"/>
  <c r="AF18" i="28"/>
  <c r="AA16" i="28"/>
  <c r="K16" i="28" s="1"/>
  <c r="AG19" i="28"/>
  <c r="AI20" i="28" s="1"/>
  <c r="AK21" i="28" s="1"/>
  <c r="AM22" i="28" s="1"/>
  <c r="Y18" i="28"/>
  <c r="I16" i="28" l="1"/>
  <c r="P16" i="28" s="1"/>
  <c r="Q16" i="28" s="1"/>
  <c r="AB17" i="28"/>
  <c r="B16" i="28"/>
  <c r="Z18" i="28"/>
  <c r="U19" i="28" s="1"/>
  <c r="H18" i="28"/>
  <c r="T18" i="28" s="1"/>
  <c r="W19" i="28" s="1"/>
  <c r="AH19" i="28"/>
  <c r="AJ20" i="28" s="1"/>
  <c r="AL21" i="28" s="1"/>
  <c r="AN22" i="28" s="1"/>
  <c r="M18" i="28"/>
  <c r="O16" i="28" l="1"/>
  <c r="E17" i="28"/>
  <c r="G17" i="28" s="1"/>
  <c r="C16" i="28"/>
  <c r="X19" i="28"/>
  <c r="S16" i="28"/>
  <c r="AD18" i="28"/>
  <c r="D19" i="28" s="1"/>
  <c r="AC18" i="28"/>
  <c r="AE19" i="28" s="1"/>
  <c r="N16" i="28"/>
  <c r="J16" i="28"/>
  <c r="AO23" i="28"/>
  <c r="AP24" i="28" s="1"/>
  <c r="AQ25" i="28" s="1"/>
  <c r="AR26" i="28" s="1"/>
  <c r="V20" i="28" l="1"/>
  <c r="F17" i="28"/>
  <c r="L17" i="28"/>
  <c r="R27" i="28"/>
  <c r="AG20" i="28"/>
  <c r="AI21" i="28" s="1"/>
  <c r="AK22" i="28" s="1"/>
  <c r="AM23" i="28" s="1"/>
  <c r="Y19" i="28"/>
  <c r="AF19" i="28"/>
  <c r="AA17" i="28" l="1"/>
  <c r="K17" i="28" s="1"/>
  <c r="H19" i="28"/>
  <c r="T19" i="28" s="1"/>
  <c r="W20" i="28" s="1"/>
  <c r="Z19" i="28"/>
  <c r="U20" i="28" s="1"/>
  <c r="AH20" i="28"/>
  <c r="AJ21" i="28" s="1"/>
  <c r="AL22" i="28" s="1"/>
  <c r="AN23" i="28" s="1"/>
  <c r="AO24" i="28" s="1"/>
  <c r="AP25" i="28" s="1"/>
  <c r="AQ26" i="28" s="1"/>
  <c r="AR27" i="28" s="1"/>
  <c r="M19" i="28"/>
  <c r="AB18" i="28" l="1"/>
  <c r="AC19" i="28" s="1"/>
  <c r="AE20" i="28" s="1"/>
  <c r="B17" i="28"/>
  <c r="E18" i="28" s="1"/>
  <c r="G18" i="28" s="1"/>
  <c r="I17" i="28"/>
  <c r="P17" i="28" s="1"/>
  <c r="Q17" i="28" s="1"/>
  <c r="X20" i="28"/>
  <c r="R28" i="28"/>
  <c r="AD19" i="28" l="1"/>
  <c r="D20" i="28" s="1"/>
  <c r="F18" i="28"/>
  <c r="C17" i="28"/>
  <c r="J17" i="28"/>
  <c r="O17" i="28"/>
  <c r="N17" i="28"/>
  <c r="S17" i="28"/>
  <c r="V21" i="28"/>
  <c r="L18" i="28"/>
  <c r="Y20" i="28"/>
  <c r="AG21" i="28"/>
  <c r="AI22" i="28" s="1"/>
  <c r="AK23" i="28" s="1"/>
  <c r="AM24" i="28" s="1"/>
  <c r="AF20" i="28" l="1"/>
  <c r="M20" i="28" s="1"/>
  <c r="AA18" i="28"/>
  <c r="K18" i="28" s="1"/>
  <c r="B18" i="28" l="1"/>
  <c r="E19" i="28" s="1"/>
  <c r="Z20" i="28"/>
  <c r="U21" i="28" s="1"/>
  <c r="AH21" i="28"/>
  <c r="AJ22" i="28" s="1"/>
  <c r="AL23" i="28" s="1"/>
  <c r="AN24" i="28" s="1"/>
  <c r="AO25" i="28" s="1"/>
  <c r="AP26" i="28" s="1"/>
  <c r="AQ27" i="28" s="1"/>
  <c r="AR28" i="28" s="1"/>
  <c r="H20" i="28"/>
  <c r="T20" i="28" s="1"/>
  <c r="W21" i="28" s="1"/>
  <c r="AB19" i="28"/>
  <c r="AD20" i="28" s="1"/>
  <c r="D21" i="28" s="1"/>
  <c r="I18" i="28"/>
  <c r="P18" i="28" s="1"/>
  <c r="G19" i="28"/>
  <c r="F19" i="28"/>
  <c r="S18" i="28"/>
  <c r="X21" i="28" l="1"/>
  <c r="AC20" i="28"/>
  <c r="AE21" i="28" s="1"/>
  <c r="C18" i="28"/>
  <c r="N18" i="28"/>
  <c r="J18" i="28"/>
  <c r="Q18" i="28"/>
  <c r="V22" i="28"/>
  <c r="L19" i="28"/>
  <c r="AF21" i="28"/>
  <c r="AA19" i="28"/>
  <c r="K19" i="28" s="1"/>
  <c r="R29" i="28"/>
  <c r="Y21" i="28" l="1"/>
  <c r="AG22" i="28"/>
  <c r="AI23" i="28" s="1"/>
  <c r="AK24" i="28" s="1"/>
  <c r="AM25" i="28" s="1"/>
  <c r="M21" i="28"/>
  <c r="O18" i="28"/>
  <c r="I19" i="28"/>
  <c r="P19" i="28" s="1"/>
  <c r="B19" i="28"/>
  <c r="E20" i="28" s="1"/>
  <c r="AB20" i="28"/>
  <c r="H21" i="28"/>
  <c r="T21" i="28" s="1"/>
  <c r="W22" i="28" s="1"/>
  <c r="AH22" i="28"/>
  <c r="AJ23" i="28" s="1"/>
  <c r="AL24" i="28" s="1"/>
  <c r="AN25" i="28" s="1"/>
  <c r="Z21" i="28"/>
  <c r="U22" i="28" s="1"/>
  <c r="Q19" i="28" l="1"/>
  <c r="G20" i="28"/>
  <c r="F20" i="28"/>
  <c r="C19" i="28"/>
  <c r="AC21" i="28"/>
  <c r="AE22" i="28" s="1"/>
  <c r="AD21" i="28"/>
  <c r="D22" i="28" s="1"/>
  <c r="N19" i="28"/>
  <c r="J19" i="28"/>
  <c r="S19" i="28"/>
  <c r="X22" i="28"/>
  <c r="AO26" i="28"/>
  <c r="AP27" i="28" s="1"/>
  <c r="AQ28" i="28" s="1"/>
  <c r="AR29" i="28" s="1"/>
  <c r="O19" i="28" l="1"/>
  <c r="L20" i="28"/>
  <c r="AA20" i="28"/>
  <c r="K20" i="28" s="1"/>
  <c r="AF22" i="28"/>
  <c r="M22" i="28" s="1"/>
  <c r="R30" i="28"/>
  <c r="V23" i="28"/>
  <c r="Y22" i="28"/>
  <c r="AG23" i="28"/>
  <c r="AI24" i="28" s="1"/>
  <c r="AK25" i="28" s="1"/>
  <c r="AM26" i="28" s="1"/>
  <c r="I20" i="28" l="1"/>
  <c r="P20" i="28" s="1"/>
  <c r="Q20" i="28" s="1"/>
  <c r="B20" i="28"/>
  <c r="E21" i="28" s="1"/>
  <c r="AB21" i="28"/>
  <c r="H22" i="28"/>
  <c r="T22" i="28" s="1"/>
  <c r="W23" i="28" s="1"/>
  <c r="Z22" i="28"/>
  <c r="U23" i="28" s="1"/>
  <c r="AH23" i="28"/>
  <c r="AJ24" i="28" s="1"/>
  <c r="AL25" i="28" s="1"/>
  <c r="AN26" i="28" s="1"/>
  <c r="O20" i="28" l="1"/>
  <c r="G21" i="28"/>
  <c r="F21" i="28"/>
  <c r="C20" i="28"/>
  <c r="X23" i="28"/>
  <c r="AD22" i="28"/>
  <c r="D23" i="28" s="1"/>
  <c r="AC22" i="28"/>
  <c r="AE23" i="28" s="1"/>
  <c r="S20" i="28"/>
  <c r="N20" i="28"/>
  <c r="J20" i="28"/>
  <c r="AO27" i="28"/>
  <c r="AP28" i="28" s="1"/>
  <c r="AQ29" i="28" s="1"/>
  <c r="AR30" i="28" s="1"/>
  <c r="V24" i="28" l="1"/>
  <c r="L21" i="28"/>
  <c r="Y23" i="28"/>
  <c r="AG24" i="28"/>
  <c r="AI25" i="28" s="1"/>
  <c r="AK26" i="28" s="1"/>
  <c r="AM27" i="28" s="1"/>
  <c r="R31" i="28"/>
  <c r="AA21" i="28"/>
  <c r="K21" i="28" s="1"/>
  <c r="AF23" i="28"/>
  <c r="Z23" i="28" l="1"/>
  <c r="U24" i="28" s="1"/>
  <c r="AH24" i="28"/>
  <c r="AJ25" i="28" s="1"/>
  <c r="AL26" i="28" s="1"/>
  <c r="AN27" i="28" s="1"/>
  <c r="AO28" i="28" s="1"/>
  <c r="AP29" i="28" s="1"/>
  <c r="AQ30" i="28" s="1"/>
  <c r="AR31" i="28" s="1"/>
  <c r="H23" i="28"/>
  <c r="T23" i="28" s="1"/>
  <c r="W24" i="28" s="1"/>
  <c r="I21" i="28"/>
  <c r="P21" i="28" s="1"/>
  <c r="Q21" i="28" s="1"/>
  <c r="B21" i="28"/>
  <c r="E22" i="28" s="1"/>
  <c r="AB22" i="28"/>
  <c r="M23" i="28"/>
  <c r="O21" i="28" l="1"/>
  <c r="G22" i="28"/>
  <c r="C21" i="28"/>
  <c r="J21" i="28"/>
  <c r="N21" i="28"/>
  <c r="R32" i="28"/>
  <c r="AD23" i="28"/>
  <c r="D24" i="28" s="1"/>
  <c r="AC23" i="28"/>
  <c r="AE24" i="28" s="1"/>
  <c r="S21" i="28"/>
  <c r="X24" i="28"/>
  <c r="F22" i="28" l="1"/>
  <c r="L22" i="28"/>
  <c r="AF24" i="28"/>
  <c r="M24" i="28" s="1"/>
  <c r="V25" i="28"/>
  <c r="AG25" i="28"/>
  <c r="AI26" i="28" s="1"/>
  <c r="AK27" i="28" s="1"/>
  <c r="AM28" i="28" s="1"/>
  <c r="Y24" i="28"/>
  <c r="AA22" i="28"/>
  <c r="K22" i="28" s="1"/>
  <c r="Z24" i="28" l="1"/>
  <c r="U25" i="28" s="1"/>
  <c r="AH25" i="28"/>
  <c r="AJ26" i="28" s="1"/>
  <c r="AL27" i="28" s="1"/>
  <c r="AN28" i="28" s="1"/>
  <c r="H24" i="28"/>
  <c r="T24" i="28" s="1"/>
  <c r="W25" i="28" s="1"/>
  <c r="I22" i="28"/>
  <c r="P22" i="28" s="1"/>
  <c r="Q22" i="28" s="1"/>
  <c r="B22" i="28"/>
  <c r="AB23" i="28"/>
  <c r="O22" i="28" l="1"/>
  <c r="E23" i="28"/>
  <c r="F23" i="28" s="1"/>
  <c r="C22" i="28"/>
  <c r="AD24" i="28"/>
  <c r="D25" i="28" s="1"/>
  <c r="AC24" i="28"/>
  <c r="AE25" i="28" s="1"/>
  <c r="S22" i="28"/>
  <c r="N22" i="28"/>
  <c r="J22" i="28"/>
  <c r="AO29" i="28"/>
  <c r="AP30" i="28" s="1"/>
  <c r="AQ31" i="28" s="1"/>
  <c r="AR32" i="28" s="1"/>
  <c r="X25" i="28"/>
  <c r="G23" i="28" l="1"/>
  <c r="L23" i="28" s="1"/>
  <c r="V26" i="28"/>
  <c r="Y25" i="28"/>
  <c r="AG26" i="28"/>
  <c r="AI27" i="28" s="1"/>
  <c r="AK28" i="28" s="1"/>
  <c r="AM29" i="28" s="1"/>
  <c r="R33" i="28"/>
  <c r="AF25" i="28"/>
  <c r="M25" i="28" s="1"/>
  <c r="AA23" i="28" l="1"/>
  <c r="K23" i="28" s="1"/>
  <c r="H25" i="28"/>
  <c r="T25" i="28" s="1"/>
  <c r="W26" i="28" s="1"/>
  <c r="Z25" i="28"/>
  <c r="U26" i="28" s="1"/>
  <c r="AH26" i="28"/>
  <c r="AJ27" i="28" s="1"/>
  <c r="AL28" i="28" s="1"/>
  <c r="AN29" i="28" s="1"/>
  <c r="I23" i="28"/>
  <c r="P23" i="28" s="1"/>
  <c r="Q23" i="28" s="1"/>
  <c r="B23" i="28" l="1"/>
  <c r="AB24" i="28"/>
  <c r="AC25" i="28" s="1"/>
  <c r="AE26" i="28" s="1"/>
  <c r="O23" i="28"/>
  <c r="E24" i="28"/>
  <c r="G24" i="28" s="1"/>
  <c r="C23" i="28"/>
  <c r="X26" i="28"/>
  <c r="S23" i="28"/>
  <c r="J23" i="28"/>
  <c r="N23" i="28"/>
  <c r="AD25" i="28"/>
  <c r="D26" i="28" s="1"/>
  <c r="AO30" i="28"/>
  <c r="AP31" i="28" s="1"/>
  <c r="AQ32" i="28" s="1"/>
  <c r="AR33" i="28" s="1"/>
  <c r="F24" i="28" l="1"/>
  <c r="V27" i="28"/>
  <c r="L24" i="28"/>
  <c r="AG27" i="28"/>
  <c r="AI28" i="28" s="1"/>
  <c r="AK29" i="28" s="1"/>
  <c r="AM30" i="28" s="1"/>
  <c r="Y26" i="28"/>
  <c r="R34" i="28"/>
  <c r="AF26" i="28"/>
  <c r="AA24" i="28"/>
  <c r="K24" i="28" s="1"/>
  <c r="H26" i="28" l="1"/>
  <c r="T26" i="28" s="1"/>
  <c r="W27" i="28" s="1"/>
  <c r="Z26" i="28"/>
  <c r="U27" i="28" s="1"/>
  <c r="AH27" i="28"/>
  <c r="AJ28" i="28" s="1"/>
  <c r="AL29" i="28" s="1"/>
  <c r="AN30" i="28" s="1"/>
  <c r="M26" i="28"/>
  <c r="I24" i="28"/>
  <c r="P24" i="28" s="1"/>
  <c r="Q24" i="28" s="1"/>
  <c r="AB25" i="28"/>
  <c r="B24" i="28"/>
  <c r="O24" i="28" l="1"/>
  <c r="E25" i="28"/>
  <c r="G25" i="28" s="1"/>
  <c r="C24" i="28"/>
  <c r="X27" i="28"/>
  <c r="AD26" i="28"/>
  <c r="D27" i="28" s="1"/>
  <c r="AC26" i="28"/>
  <c r="AE27" i="28" s="1"/>
  <c r="J24" i="28"/>
  <c r="N24" i="28"/>
  <c r="AO31" i="28"/>
  <c r="AP32" i="28" s="1"/>
  <c r="AQ33" i="28" s="1"/>
  <c r="AR34" i="28" s="1"/>
  <c r="S24" i="28"/>
  <c r="V28" i="28" l="1"/>
  <c r="F25" i="28"/>
  <c r="L25" i="28"/>
  <c r="AA25" i="28"/>
  <c r="K25" i="28" s="1"/>
  <c r="Y27" i="28"/>
  <c r="AG28" i="28"/>
  <c r="AI29" i="28" s="1"/>
  <c r="AK30" i="28" s="1"/>
  <c r="AM31" i="28" s="1"/>
  <c r="R35" i="28"/>
  <c r="AF27" i="28"/>
  <c r="Z27" i="28" l="1"/>
  <c r="U28" i="28" s="1"/>
  <c r="H27" i="28"/>
  <c r="T27" i="28" s="1"/>
  <c r="W28" i="28" s="1"/>
  <c r="AH28" i="28"/>
  <c r="AJ29" i="28" s="1"/>
  <c r="AL30" i="28" s="1"/>
  <c r="AN31" i="28" s="1"/>
  <c r="I25" i="28"/>
  <c r="P25" i="28" s="1"/>
  <c r="Q25" i="28" s="1"/>
  <c r="B25" i="28"/>
  <c r="AB26" i="28"/>
  <c r="M27" i="28"/>
  <c r="O25" i="28" l="1"/>
  <c r="E26" i="28"/>
  <c r="G26" i="28" s="1"/>
  <c r="C25" i="28"/>
  <c r="X28" i="28"/>
  <c r="J25" i="28"/>
  <c r="N25" i="28"/>
  <c r="S25" i="28"/>
  <c r="AD27" i="28"/>
  <c r="D28" i="28" s="1"/>
  <c r="AC27" i="28"/>
  <c r="AE28" i="28" s="1"/>
  <c r="AO32" i="28"/>
  <c r="AP33" i="28" s="1"/>
  <c r="AQ34" i="28" s="1"/>
  <c r="AR35" i="28" s="1"/>
  <c r="F26" i="28" l="1"/>
  <c r="V29" i="28"/>
  <c r="L26" i="28"/>
  <c r="R36" i="28"/>
  <c r="AA26" i="28"/>
  <c r="K26" i="28" s="1"/>
  <c r="Y28" i="28"/>
  <c r="AG29" i="28"/>
  <c r="AI30" i="28" s="1"/>
  <c r="AK31" i="28" s="1"/>
  <c r="AM32" i="28" s="1"/>
  <c r="AF28" i="28"/>
  <c r="H28" i="28" l="1"/>
  <c r="T28" i="28" s="1"/>
  <c r="W29" i="28" s="1"/>
  <c r="Z28" i="28"/>
  <c r="U29" i="28" s="1"/>
  <c r="AH29" i="28"/>
  <c r="AJ30" i="28" s="1"/>
  <c r="AL31" i="28" s="1"/>
  <c r="AN32" i="28" s="1"/>
  <c r="AO33" i="28" s="1"/>
  <c r="AP34" i="28" s="1"/>
  <c r="AQ35" i="28" s="1"/>
  <c r="AR36" i="28" s="1"/>
  <c r="I26" i="28"/>
  <c r="P26" i="28" s="1"/>
  <c r="B26" i="28"/>
  <c r="E27" i="28" s="1"/>
  <c r="AB27" i="28"/>
  <c r="M28" i="28"/>
  <c r="Q26" i="28" l="1"/>
  <c r="O26" i="28" s="1"/>
  <c r="G27" i="28"/>
  <c r="C26" i="28"/>
  <c r="X29" i="28"/>
  <c r="R37" i="28"/>
  <c r="J26" i="28"/>
  <c r="N26" i="28"/>
  <c r="AD28" i="28"/>
  <c r="D29" i="28" s="1"/>
  <c r="AC28" i="28"/>
  <c r="AE29" i="28" s="1"/>
  <c r="S26" i="28"/>
  <c r="V30" i="28" l="1"/>
  <c r="F27" i="28"/>
  <c r="L27" i="28"/>
  <c r="Y29" i="28"/>
  <c r="AG30" i="28"/>
  <c r="AI31" i="28" s="1"/>
  <c r="AK32" i="28" s="1"/>
  <c r="AM33" i="28" s="1"/>
  <c r="AF29" i="28"/>
  <c r="M29" i="28" s="1"/>
  <c r="AA27" i="28" l="1"/>
  <c r="K27" i="28" s="1"/>
  <c r="H29" i="28"/>
  <c r="T29" i="28" s="1"/>
  <c r="W30" i="28" s="1"/>
  <c r="Z29" i="28"/>
  <c r="U30" i="28" s="1"/>
  <c r="AH30" i="28"/>
  <c r="AJ31" i="28" s="1"/>
  <c r="AL32" i="28" s="1"/>
  <c r="AN33" i="28" s="1"/>
  <c r="AB28" i="28" l="1"/>
  <c r="AD29" i="28" s="1"/>
  <c r="D30" i="28" s="1"/>
  <c r="I27" i="28"/>
  <c r="P27" i="28" s="1"/>
  <c r="B27" i="28"/>
  <c r="E28" i="28" s="1"/>
  <c r="G28" i="28" s="1"/>
  <c r="X30" i="28"/>
  <c r="V31" i="28" s="1"/>
  <c r="AO34" i="28"/>
  <c r="AP35" i="28" s="1"/>
  <c r="AQ36" i="28" s="1"/>
  <c r="AR37" i="28" s="1"/>
  <c r="AC29" i="28" l="1"/>
  <c r="AE30" i="28" s="1"/>
  <c r="Y30" i="28" s="1"/>
  <c r="Q27" i="28"/>
  <c r="O27" i="28" s="1"/>
  <c r="J27" i="28"/>
  <c r="C27" i="28"/>
  <c r="F28" i="28"/>
  <c r="S27" i="28"/>
  <c r="N27" i="28"/>
  <c r="L28" i="28"/>
  <c r="R38" i="28"/>
  <c r="AF30" i="28"/>
  <c r="AA28" i="28"/>
  <c r="K28" i="28" s="1"/>
  <c r="AG31" i="28" l="1"/>
  <c r="AI32" i="28" s="1"/>
  <c r="AK33" i="28" s="1"/>
  <c r="AM34" i="28" s="1"/>
  <c r="Z30" i="28"/>
  <c r="AH31" i="28"/>
  <c r="AJ32" i="28" s="1"/>
  <c r="AL33" i="28" s="1"/>
  <c r="AN34" i="28" s="1"/>
  <c r="H30" i="28"/>
  <c r="T30" i="28" s="1"/>
  <c r="W31" i="28" s="1"/>
  <c r="M30" i="28"/>
  <c r="U31" i="28"/>
  <c r="I28" i="28"/>
  <c r="P28" i="28" s="1"/>
  <c r="Q28" i="28" s="1"/>
  <c r="B28" i="28"/>
  <c r="E29" i="28" s="1"/>
  <c r="AB29" i="28"/>
  <c r="O28" i="28" l="1"/>
  <c r="G29" i="28"/>
  <c r="F29" i="28"/>
  <c r="C28" i="28"/>
  <c r="X31" i="28"/>
  <c r="S28" i="28"/>
  <c r="N28" i="28"/>
  <c r="J28" i="28"/>
  <c r="AC30" i="28"/>
  <c r="AE31" i="28" s="1"/>
  <c r="AD30" i="28"/>
  <c r="D31" i="28" s="1"/>
  <c r="AO35" i="28"/>
  <c r="AP36" i="28" s="1"/>
  <c r="AQ37" i="28" s="1"/>
  <c r="AR38" i="28" s="1"/>
  <c r="V32" i="28" l="1"/>
  <c r="L29" i="28"/>
  <c r="R39" i="28"/>
  <c r="AG32" i="28"/>
  <c r="AI33" i="28" s="1"/>
  <c r="AK34" i="28" s="1"/>
  <c r="AM35" i="28" s="1"/>
  <c r="Y31" i="28"/>
  <c r="AF31" i="28"/>
  <c r="AA29" i="28"/>
  <c r="K29" i="28" s="1"/>
  <c r="H31" i="28" l="1"/>
  <c r="T31" i="28" s="1"/>
  <c r="W32" i="28" s="1"/>
  <c r="Z31" i="28"/>
  <c r="U32" i="28" s="1"/>
  <c r="AH32" i="28"/>
  <c r="AJ33" i="28" s="1"/>
  <c r="AL34" i="28" s="1"/>
  <c r="AN35" i="28" s="1"/>
  <c r="AO36" i="28" s="1"/>
  <c r="AP37" i="28" s="1"/>
  <c r="AQ38" i="28" s="1"/>
  <c r="AR39" i="28" s="1"/>
  <c r="M31" i="28"/>
  <c r="I29" i="28"/>
  <c r="P29" i="28" s="1"/>
  <c r="Q29" i="28" s="1"/>
  <c r="B29" i="28"/>
  <c r="E30" i="28" s="1"/>
  <c r="AB30" i="28"/>
  <c r="O29" i="28" l="1"/>
  <c r="G30" i="28"/>
  <c r="F30" i="28"/>
  <c r="C29" i="28"/>
  <c r="X32" i="28"/>
  <c r="R40" i="28"/>
  <c r="N29" i="28"/>
  <c r="J29" i="28"/>
  <c r="AD31" i="28"/>
  <c r="D32" i="28" s="1"/>
  <c r="AC31" i="28"/>
  <c r="AE32" i="28" s="1"/>
  <c r="S29" i="28"/>
  <c r="V33" i="28" l="1"/>
  <c r="L30" i="28"/>
  <c r="Y32" i="28"/>
  <c r="AG33" i="28"/>
  <c r="AI34" i="28" s="1"/>
  <c r="AK35" i="28" s="1"/>
  <c r="AM36" i="28" s="1"/>
  <c r="AA30" i="28"/>
  <c r="K30" i="28" s="1"/>
  <c r="AF32" i="28"/>
  <c r="Z32" i="28" l="1"/>
  <c r="H32" i="28"/>
  <c r="T32" i="28" s="1"/>
  <c r="W33" i="28" s="1"/>
  <c r="AH33" i="28"/>
  <c r="AJ34" i="28" s="1"/>
  <c r="AL35" i="28" s="1"/>
  <c r="AN36" i="28" s="1"/>
  <c r="U33" i="28"/>
  <c r="I30" i="28"/>
  <c r="P30" i="28" s="1"/>
  <c r="Q30" i="28" s="1"/>
  <c r="B30" i="28"/>
  <c r="AB31" i="28"/>
  <c r="M32" i="28"/>
  <c r="O30" i="28" l="1"/>
  <c r="E31" i="28"/>
  <c r="G31" i="28" s="1"/>
  <c r="F31" i="28"/>
  <c r="C30" i="28"/>
  <c r="X33" i="28"/>
  <c r="J30" i="28"/>
  <c r="N30" i="28"/>
  <c r="S30" i="28"/>
  <c r="AD32" i="28"/>
  <c r="D33" i="28" s="1"/>
  <c r="AC32" i="28"/>
  <c r="AE33" i="28" s="1"/>
  <c r="AO37" i="28"/>
  <c r="AP38" i="28" s="1"/>
  <c r="AQ39" i="28" s="1"/>
  <c r="AR40" i="28" s="1"/>
  <c r="V34" i="28" l="1"/>
  <c r="L31" i="28"/>
  <c r="R41" i="28"/>
  <c r="Y33" i="28"/>
  <c r="AG34" i="28"/>
  <c r="AI35" i="28" s="1"/>
  <c r="AK36" i="28" s="1"/>
  <c r="AM37" i="28" s="1"/>
  <c r="AA31" i="28"/>
  <c r="K31" i="28" s="1"/>
  <c r="AF33" i="28"/>
  <c r="Z33" i="28" l="1"/>
  <c r="H33" i="28"/>
  <c r="T33" i="28" s="1"/>
  <c r="W34" i="28" s="1"/>
  <c r="AH34" i="28"/>
  <c r="AJ35" i="28" s="1"/>
  <c r="AL36" i="28" s="1"/>
  <c r="AN37" i="28" s="1"/>
  <c r="I31" i="28"/>
  <c r="P31" i="28" s="1"/>
  <c r="Q31" i="28" s="1"/>
  <c r="B31" i="28"/>
  <c r="AB32" i="28"/>
  <c r="M33" i="28"/>
  <c r="U34" i="28"/>
  <c r="O31" i="28" l="1"/>
  <c r="E32" i="28"/>
  <c r="G32" i="28" s="1"/>
  <c r="F32" i="28"/>
  <c r="C31" i="28"/>
  <c r="X34" i="28"/>
  <c r="AC33" i="28"/>
  <c r="AE34" i="28" s="1"/>
  <c r="AD33" i="28"/>
  <c r="D34" i="28" s="1"/>
  <c r="J31" i="28"/>
  <c r="N31" i="28"/>
  <c r="S31" i="28"/>
  <c r="AO38" i="28"/>
  <c r="AP39" i="28" s="1"/>
  <c r="AQ40" i="28" s="1"/>
  <c r="AR41" i="28" s="1"/>
  <c r="V35" i="28" l="1"/>
  <c r="L32" i="28"/>
  <c r="R42" i="28"/>
  <c r="AF34" i="28"/>
  <c r="M34" i="28" s="1"/>
  <c r="AA32" i="28"/>
  <c r="K32" i="28" s="1"/>
  <c r="Y34" i="28"/>
  <c r="AG35" i="28"/>
  <c r="AI36" i="28" s="1"/>
  <c r="AK37" i="28" s="1"/>
  <c r="AM38" i="28" s="1"/>
  <c r="I32" i="28" l="1"/>
  <c r="P32" i="28" s="1"/>
  <c r="Q32" i="28" s="1"/>
  <c r="B32" i="28"/>
  <c r="AB33" i="28"/>
  <c r="Z34" i="28"/>
  <c r="U35" i="28" s="1"/>
  <c r="H34" i="28"/>
  <c r="T34" i="28" s="1"/>
  <c r="W35" i="28" s="1"/>
  <c r="AH35" i="28"/>
  <c r="AJ36" i="28" s="1"/>
  <c r="AL37" i="28" s="1"/>
  <c r="AN38" i="28" s="1"/>
  <c r="O32" i="28" l="1"/>
  <c r="E33" i="28"/>
  <c r="G33" i="28" s="1"/>
  <c r="C32" i="28"/>
  <c r="X35" i="28"/>
  <c r="S32" i="28"/>
  <c r="AC34" i="28"/>
  <c r="AE35" i="28" s="1"/>
  <c r="AD34" i="28"/>
  <c r="D35" i="28" s="1"/>
  <c r="J32" i="28"/>
  <c r="N32" i="28"/>
  <c r="AO39" i="28"/>
  <c r="AP40" i="28" s="1"/>
  <c r="AQ41" i="28" s="1"/>
  <c r="AR42" i="28" s="1"/>
  <c r="V36" i="28" l="1"/>
  <c r="F33" i="28"/>
  <c r="L33" i="28"/>
  <c r="AA33" i="28"/>
  <c r="K33" i="28" s="1"/>
  <c r="Y35" i="28"/>
  <c r="AG36" i="28"/>
  <c r="AI37" i="28" s="1"/>
  <c r="AK38" i="28" s="1"/>
  <c r="AM39" i="28" s="1"/>
  <c r="R43" i="28"/>
  <c r="AF35" i="28"/>
  <c r="M35" i="28" s="1"/>
  <c r="H35" i="28" l="1"/>
  <c r="T35" i="28" s="1"/>
  <c r="W36" i="28" s="1"/>
  <c r="Z35" i="28"/>
  <c r="U36" i="28" s="1"/>
  <c r="AH36" i="28"/>
  <c r="AJ37" i="28" s="1"/>
  <c r="AL38" i="28" s="1"/>
  <c r="AN39" i="28" s="1"/>
  <c r="B33" i="28"/>
  <c r="I33" i="28"/>
  <c r="P33" i="28" s="1"/>
  <c r="Q33" i="28" s="1"/>
  <c r="AB34" i="28"/>
  <c r="O33" i="28" l="1"/>
  <c r="E34" i="28"/>
  <c r="G34" i="28" s="1"/>
  <c r="F34" i="28"/>
  <c r="C33" i="28"/>
  <c r="X36" i="28"/>
  <c r="AD35" i="28"/>
  <c r="D36" i="28" s="1"/>
  <c r="AC35" i="28"/>
  <c r="AE36" i="28" s="1"/>
  <c r="S33" i="28"/>
  <c r="N33" i="28"/>
  <c r="J33" i="28"/>
  <c r="AO40" i="28"/>
  <c r="AP41" i="28" s="1"/>
  <c r="AQ42" i="28" s="1"/>
  <c r="AR43" i="28" s="1"/>
  <c r="V37" i="28" l="1"/>
  <c r="L34" i="28"/>
  <c r="R44" i="28"/>
  <c r="Y36" i="28"/>
  <c r="AG37" i="28"/>
  <c r="AI38" i="28" s="1"/>
  <c r="AK39" i="28" s="1"/>
  <c r="AM40" i="28" s="1"/>
  <c r="AA34" i="28"/>
  <c r="K34" i="28" s="1"/>
  <c r="AF36" i="28"/>
  <c r="Z36" i="28" l="1"/>
  <c r="U37" i="28" s="1"/>
  <c r="H36" i="28"/>
  <c r="T36" i="28" s="1"/>
  <c r="W37" i="28" s="1"/>
  <c r="AH37" i="28"/>
  <c r="AJ38" i="28" s="1"/>
  <c r="AL39" i="28" s="1"/>
  <c r="AN40" i="28" s="1"/>
  <c r="I34" i="28"/>
  <c r="P34" i="28" s="1"/>
  <c r="B34" i="28"/>
  <c r="E35" i="28" s="1"/>
  <c r="AB35" i="28"/>
  <c r="M36" i="28"/>
  <c r="Q34" i="28" l="1"/>
  <c r="O34" i="28" s="1"/>
  <c r="G35" i="28"/>
  <c r="F35" i="28"/>
  <c r="X37" i="28"/>
  <c r="C34" i="28"/>
  <c r="AD36" i="28"/>
  <c r="D37" i="28" s="1"/>
  <c r="AC36" i="28"/>
  <c r="AE37" i="28" s="1"/>
  <c r="J34" i="28"/>
  <c r="N34" i="28"/>
  <c r="S34" i="28"/>
  <c r="AO41" i="28"/>
  <c r="AP42" i="28" s="1"/>
  <c r="AQ43" i="28" s="1"/>
  <c r="AR44" i="28" s="1"/>
  <c r="V38" i="28" l="1"/>
  <c r="L35" i="28"/>
  <c r="R45" i="28"/>
  <c r="AF37" i="28"/>
  <c r="M37" i="28" s="1"/>
  <c r="Y37" i="28"/>
  <c r="AG38" i="28"/>
  <c r="AI39" i="28" s="1"/>
  <c r="AK40" i="28" s="1"/>
  <c r="AM41" i="28" s="1"/>
  <c r="AA35" i="28"/>
  <c r="K35" i="28" s="1"/>
  <c r="Z37" i="28" l="1"/>
  <c r="U38" i="28" s="1"/>
  <c r="AH38" i="28"/>
  <c r="AJ39" i="28" s="1"/>
  <c r="AL40" i="28" s="1"/>
  <c r="AN41" i="28" s="1"/>
  <c r="H37" i="28"/>
  <c r="T37" i="28" s="1"/>
  <c r="W38" i="28" s="1"/>
  <c r="I35" i="28"/>
  <c r="P35" i="28" s="1"/>
  <c r="B35" i="28"/>
  <c r="E36" i="28" s="1"/>
  <c r="AB36" i="28"/>
  <c r="Q35" i="28" l="1"/>
  <c r="O35" i="28" s="1"/>
  <c r="G36" i="28"/>
  <c r="F36" i="28"/>
  <c r="C35" i="28"/>
  <c r="X38" i="28"/>
  <c r="V39" i="28" s="1"/>
  <c r="N35" i="28"/>
  <c r="J35" i="28"/>
  <c r="S35" i="28"/>
  <c r="AC37" i="28"/>
  <c r="AE38" i="28" s="1"/>
  <c r="AD37" i="28"/>
  <c r="D38" i="28" s="1"/>
  <c r="AO42" i="28"/>
  <c r="AP43" i="28" s="1"/>
  <c r="AQ44" i="28" s="1"/>
  <c r="AR45" i="28" s="1"/>
  <c r="L36" i="28" l="1"/>
  <c r="R46" i="28"/>
  <c r="Y38" i="28"/>
  <c r="AG39" i="28"/>
  <c r="AI40" i="28" s="1"/>
  <c r="AK41" i="28" s="1"/>
  <c r="AM42" i="28" s="1"/>
  <c r="AF38" i="28"/>
  <c r="AA36" i="28"/>
  <c r="K36" i="28" s="1"/>
  <c r="Z38" i="28" l="1"/>
  <c r="H38" i="28"/>
  <c r="T38" i="28" s="1"/>
  <c r="W39" i="28" s="1"/>
  <c r="AH39" i="28"/>
  <c r="AJ40" i="28" s="1"/>
  <c r="AL41" i="28" s="1"/>
  <c r="AN42" i="28" s="1"/>
  <c r="AO43" i="28" s="1"/>
  <c r="AP44" i="28" s="1"/>
  <c r="AQ45" i="28" s="1"/>
  <c r="AR46" i="28" s="1"/>
  <c r="M38" i="28"/>
  <c r="U39" i="28"/>
  <c r="I36" i="28"/>
  <c r="P36" i="28" s="1"/>
  <c r="Q36" i="28" s="1"/>
  <c r="AB37" i="28"/>
  <c r="B36" i="28"/>
  <c r="E37" i="28" l="1"/>
  <c r="G37" i="28" s="1"/>
  <c r="O36" i="28"/>
  <c r="F37" i="28"/>
  <c r="C36" i="28"/>
  <c r="X39" i="28"/>
  <c r="R47" i="28"/>
  <c r="S36" i="28"/>
  <c r="N36" i="28"/>
  <c r="J36" i="28"/>
  <c r="AD38" i="28"/>
  <c r="D39" i="28" s="1"/>
  <c r="AC38" i="28"/>
  <c r="AE39" i="28" s="1"/>
  <c r="V40" i="28" l="1"/>
  <c r="L37" i="28"/>
  <c r="AF39" i="28"/>
  <c r="M39" i="28" s="1"/>
  <c r="AG40" i="28"/>
  <c r="AI41" i="28" s="1"/>
  <c r="AK42" i="28" s="1"/>
  <c r="AM43" i="28" s="1"/>
  <c r="Y39" i="28"/>
  <c r="AA37" i="28" l="1"/>
  <c r="K37" i="28" s="1"/>
  <c r="Z39" i="28"/>
  <c r="U40" i="28" s="1"/>
  <c r="H39" i="28"/>
  <c r="T39" i="28" s="1"/>
  <c r="W40" i="28" s="1"/>
  <c r="AH40" i="28"/>
  <c r="AJ41" i="28" s="1"/>
  <c r="AL42" i="28" s="1"/>
  <c r="AN43" i="28" s="1"/>
  <c r="AO44" i="28" s="1"/>
  <c r="AP45" i="28" s="1"/>
  <c r="AQ46" i="28" s="1"/>
  <c r="AR47" i="28" s="1"/>
  <c r="AB38" i="28" l="1"/>
  <c r="AC39" i="28" s="1"/>
  <c r="AE40" i="28" s="1"/>
  <c r="B37" i="28"/>
  <c r="I37" i="28"/>
  <c r="P37" i="28" s="1"/>
  <c r="Q37" i="28" s="1"/>
  <c r="X40" i="28"/>
  <c r="R48" i="28"/>
  <c r="AD39" i="28" l="1"/>
  <c r="D40" i="28" s="1"/>
  <c r="E38" i="28"/>
  <c r="G38" i="28" s="1"/>
  <c r="L38" i="28" s="1"/>
  <c r="O37" i="28"/>
  <c r="V41" i="28"/>
  <c r="S37" i="28"/>
  <c r="C37" i="28"/>
  <c r="E22" i="1" s="1"/>
  <c r="J37" i="28"/>
  <c r="N37" i="28"/>
  <c r="F38" i="28"/>
  <c r="Y40" i="28"/>
  <c r="AG41" i="28"/>
  <c r="AI42" i="28" s="1"/>
  <c r="AK43" i="28" s="1"/>
  <c r="AM44" i="28" s="1"/>
  <c r="AF40" i="28"/>
  <c r="AA38" i="28" l="1"/>
  <c r="K38" i="28" s="1"/>
  <c r="K17" i="6"/>
  <c r="Z40" i="28"/>
  <c r="U41" i="28" s="1"/>
  <c r="H40" i="28"/>
  <c r="T40" i="28" s="1"/>
  <c r="W41" i="28" s="1"/>
  <c r="AH41" i="28"/>
  <c r="AJ42" i="28" s="1"/>
  <c r="AL43" i="28" s="1"/>
  <c r="AN44" i="28" s="1"/>
  <c r="I38" i="28"/>
  <c r="P38" i="28" s="1"/>
  <c r="Q38" i="28" s="1"/>
  <c r="B38" i="28"/>
  <c r="AB39" i="28"/>
  <c r="M40" i="28"/>
  <c r="O38" i="28" l="1"/>
  <c r="E39" i="28"/>
  <c r="G39" i="28" s="1"/>
  <c r="F39" i="28"/>
  <c r="C38" i="28"/>
  <c r="X41" i="28"/>
  <c r="S38" i="28"/>
  <c r="AD40" i="28"/>
  <c r="D41" i="28" s="1"/>
  <c r="AC40" i="28"/>
  <c r="AE41" i="28" s="1"/>
  <c r="J38" i="28"/>
  <c r="N38" i="28"/>
  <c r="AO45" i="28"/>
  <c r="AP46" i="28" s="1"/>
  <c r="AQ47" i="28" s="1"/>
  <c r="AR48" i="28" s="1"/>
  <c r="V42" i="28" l="1"/>
  <c r="L39" i="28"/>
  <c r="Y41" i="28"/>
  <c r="AG42" i="28"/>
  <c r="AI43" i="28" s="1"/>
  <c r="AK44" i="28" s="1"/>
  <c r="AM45" i="28" s="1"/>
  <c r="AF41" i="28"/>
  <c r="R49" i="28"/>
  <c r="AA39" i="28"/>
  <c r="K39" i="28" s="1"/>
  <c r="Z41" i="28" l="1"/>
  <c r="U42" i="28" s="1"/>
  <c r="H41" i="28"/>
  <c r="T41" i="28" s="1"/>
  <c r="W42" i="28" s="1"/>
  <c r="AH42" i="28"/>
  <c r="AJ43" i="28" s="1"/>
  <c r="AL44" i="28" s="1"/>
  <c r="AN45" i="28" s="1"/>
  <c r="AO46" i="28" s="1"/>
  <c r="AP47" i="28" s="1"/>
  <c r="AQ48" i="28" s="1"/>
  <c r="AR49" i="28" s="1"/>
  <c r="B39" i="28"/>
  <c r="I39" i="28"/>
  <c r="P39" i="28" s="1"/>
  <c r="Q39" i="28" s="1"/>
  <c r="AB40" i="28"/>
  <c r="M41" i="28"/>
  <c r="E40" i="28" l="1"/>
  <c r="G40" i="28" s="1"/>
  <c r="O39" i="28"/>
  <c r="F40" i="28"/>
  <c r="C39" i="28"/>
  <c r="X42" i="28"/>
  <c r="J39" i="28"/>
  <c r="N39" i="28"/>
  <c r="S39" i="28"/>
  <c r="R50" i="28"/>
  <c r="AD41" i="28"/>
  <c r="D42" i="28" s="1"/>
  <c r="AC41" i="28"/>
  <c r="AE42" i="28" s="1"/>
  <c r="V43" i="28" l="1"/>
  <c r="L40" i="28"/>
  <c r="AA40" i="28"/>
  <c r="K40" i="28" s="1"/>
  <c r="Y42" i="28"/>
  <c r="AG43" i="28"/>
  <c r="AI44" i="28" s="1"/>
  <c r="AK45" i="28" s="1"/>
  <c r="AM46" i="28" s="1"/>
  <c r="AF42" i="28"/>
  <c r="M42" i="28" s="1"/>
  <c r="I40" i="28" l="1"/>
  <c r="P40" i="28" s="1"/>
  <c r="Q40" i="28" s="1"/>
  <c r="B40" i="28"/>
  <c r="AB41" i="28"/>
  <c r="Z42" i="28"/>
  <c r="U43" i="28" s="1"/>
  <c r="H42" i="28"/>
  <c r="T42" i="28" s="1"/>
  <c r="W43" i="28" s="1"/>
  <c r="AH43" i="28"/>
  <c r="AJ44" i="28" s="1"/>
  <c r="AL45" i="28" s="1"/>
  <c r="AN46" i="28" s="1"/>
  <c r="AO47" i="28" s="1"/>
  <c r="AP48" i="28" s="1"/>
  <c r="AQ49" i="28" s="1"/>
  <c r="AR50" i="28" s="1"/>
  <c r="O40" i="28" l="1"/>
  <c r="E41" i="28"/>
  <c r="G41" i="28" s="1"/>
  <c r="C40" i="28"/>
  <c r="X43" i="28"/>
  <c r="R51" i="28"/>
  <c r="N40" i="28"/>
  <c r="J40" i="28"/>
  <c r="AD42" i="28"/>
  <c r="D43" i="28" s="1"/>
  <c r="AC42" i="28"/>
  <c r="AE43" i="28" s="1"/>
  <c r="S40" i="28"/>
  <c r="V44" i="28" l="1"/>
  <c r="F41" i="28"/>
  <c r="L41" i="28"/>
  <c r="Y43" i="28"/>
  <c r="AG44" i="28"/>
  <c r="AI45" i="28" s="1"/>
  <c r="AK46" i="28" s="1"/>
  <c r="AM47" i="28" s="1"/>
  <c r="AF43" i="28"/>
  <c r="M43" i="28" s="1"/>
  <c r="AA41" i="28" l="1"/>
  <c r="K41" i="28" s="1"/>
  <c r="Z43" i="28"/>
  <c r="U44" i="28" s="1"/>
  <c r="H43" i="28"/>
  <c r="T43" i="28" s="1"/>
  <c r="W44" i="28" s="1"/>
  <c r="AH44" i="28"/>
  <c r="AJ45" i="28" s="1"/>
  <c r="AL46" i="28" s="1"/>
  <c r="AN47" i="28" s="1"/>
  <c r="AB42" i="28" l="1"/>
  <c r="AD43" i="28" s="1"/>
  <c r="D44" i="28" s="1"/>
  <c r="B41" i="28"/>
  <c r="I41" i="28"/>
  <c r="P41" i="28" s="1"/>
  <c r="Q41" i="28" s="1"/>
  <c r="X44" i="28"/>
  <c r="AO48" i="28"/>
  <c r="AP49" i="28" s="1"/>
  <c r="AQ50" i="28" s="1"/>
  <c r="AR51" i="28" s="1"/>
  <c r="O41" i="28" l="1"/>
  <c r="V45" i="28"/>
  <c r="E42" i="28"/>
  <c r="G42" i="28" s="1"/>
  <c r="L42" i="28" s="1"/>
  <c r="N41" i="28"/>
  <c r="F42" i="28"/>
  <c r="J41" i="28"/>
  <c r="S41" i="28"/>
  <c r="C41" i="28"/>
  <c r="AC43" i="28"/>
  <c r="AE44" i="28" s="1"/>
  <c r="AG45" i="28" s="1"/>
  <c r="AI46" i="28" s="1"/>
  <c r="AK47" i="28" s="1"/>
  <c r="AM48" i="28" s="1"/>
  <c r="AF44" i="28"/>
  <c r="R52" i="28"/>
  <c r="AA42" i="28" l="1"/>
  <c r="K42" i="28" s="1"/>
  <c r="Y44" i="28"/>
  <c r="H44" i="28"/>
  <c r="T44" i="28" s="1"/>
  <c r="W45" i="28" s="1"/>
  <c r="Z44" i="28"/>
  <c r="AH45" i="28"/>
  <c r="AJ46" i="28" s="1"/>
  <c r="AL47" i="28" s="1"/>
  <c r="AN48" i="28" s="1"/>
  <c r="M44" i="28"/>
  <c r="U45" i="28" l="1"/>
  <c r="AB43" i="28"/>
  <c r="B42" i="28"/>
  <c r="E43" i="28" s="1"/>
  <c r="G43" i="28" s="1"/>
  <c r="I42" i="28"/>
  <c r="P42" i="28" s="1"/>
  <c r="Q42" i="28" s="1"/>
  <c r="X45" i="28"/>
  <c r="AD44" i="28"/>
  <c r="D45" i="28" s="1"/>
  <c r="AC44" i="28"/>
  <c r="AE45" i="28" s="1"/>
  <c r="AO49" i="28"/>
  <c r="AP50" i="28" s="1"/>
  <c r="AQ51" i="28" s="1"/>
  <c r="AR52" i="28" s="1"/>
  <c r="O42" i="28" l="1"/>
  <c r="F43" i="28"/>
  <c r="S42" i="28"/>
  <c r="N42" i="28"/>
  <c r="J42" i="28"/>
  <c r="C42" i="28"/>
  <c r="V46" i="28"/>
  <c r="L43" i="28"/>
  <c r="R53" i="28"/>
  <c r="Y45" i="28"/>
  <c r="AG46" i="28"/>
  <c r="AI47" i="28" s="1"/>
  <c r="AK48" i="28" s="1"/>
  <c r="AM49" i="28" s="1"/>
  <c r="AF45" i="28"/>
  <c r="AA43" i="28" l="1"/>
  <c r="K43" i="28" s="1"/>
  <c r="Z45" i="28"/>
  <c r="U46" i="28" s="1"/>
  <c r="AH46" i="28"/>
  <c r="AJ47" i="28" s="1"/>
  <c r="AL48" i="28" s="1"/>
  <c r="AN49" i="28" s="1"/>
  <c r="H45" i="28"/>
  <c r="T45" i="28" s="1"/>
  <c r="W46" i="28" s="1"/>
  <c r="M45" i="28"/>
  <c r="AB44" i="28" l="1"/>
  <c r="AD45" i="28" s="1"/>
  <c r="D46" i="28" s="1"/>
  <c r="B43" i="28"/>
  <c r="E44" i="28" s="1"/>
  <c r="I43" i="28"/>
  <c r="P43" i="28" s="1"/>
  <c r="X46" i="28"/>
  <c r="V47" i="28" s="1"/>
  <c r="AO50" i="28"/>
  <c r="AP51" i="28" s="1"/>
  <c r="AQ52" i="28" s="1"/>
  <c r="AR53" i="28" s="1"/>
  <c r="Q43" i="28" l="1"/>
  <c r="O43" i="28" s="1"/>
  <c r="AC45" i="28"/>
  <c r="AE46" i="28" s="1"/>
  <c r="AG47" i="28" s="1"/>
  <c r="AI48" i="28" s="1"/>
  <c r="AK49" i="28" s="1"/>
  <c r="AM50" i="28" s="1"/>
  <c r="S43" i="28"/>
  <c r="N43" i="28"/>
  <c r="G44" i="28"/>
  <c r="L44" i="28" s="1"/>
  <c r="F44" i="28"/>
  <c r="C43" i="28"/>
  <c r="J43" i="28"/>
  <c r="AF46" i="28"/>
  <c r="R54" i="28"/>
  <c r="Y46" i="28" l="1"/>
  <c r="AA44" i="28"/>
  <c r="K44" i="28" s="1"/>
  <c r="Z46" i="28"/>
  <c r="U47" i="28" s="1"/>
  <c r="H46" i="28"/>
  <c r="T46" i="28" s="1"/>
  <c r="W47" i="28" s="1"/>
  <c r="AH47" i="28"/>
  <c r="AJ48" i="28" s="1"/>
  <c r="AL49" i="28" s="1"/>
  <c r="AN50" i="28" s="1"/>
  <c r="M46" i="28"/>
  <c r="AB45" i="28" l="1"/>
  <c r="AC46" i="28" s="1"/>
  <c r="AE47" i="28" s="1"/>
  <c r="B44" i="28"/>
  <c r="S44" i="28" s="1"/>
  <c r="I44" i="28"/>
  <c r="P44" i="28" s="1"/>
  <c r="Q44" i="28" s="1"/>
  <c r="X47" i="28"/>
  <c r="AO51" i="28"/>
  <c r="AP52" i="28" s="1"/>
  <c r="AQ53" i="28" s="1"/>
  <c r="AR54" i="28" s="1"/>
  <c r="AD46" i="28" l="1"/>
  <c r="D47" i="28" s="1"/>
  <c r="E45" i="28"/>
  <c r="G45" i="28" s="1"/>
  <c r="L45" i="28" s="1"/>
  <c r="O44" i="28"/>
  <c r="V48" i="28"/>
  <c r="C44" i="28"/>
  <c r="N44" i="28"/>
  <c r="J44" i="28"/>
  <c r="F45" i="28"/>
  <c r="Y47" i="28"/>
  <c r="AG48" i="28"/>
  <c r="AI49" i="28" s="1"/>
  <c r="AK50" i="28" s="1"/>
  <c r="AM51" i="28" s="1"/>
  <c r="R55" i="28"/>
  <c r="AF47" i="28"/>
  <c r="AA45" i="28" l="1"/>
  <c r="K45" i="28" s="1"/>
  <c r="Z47" i="28"/>
  <c r="U48" i="28" s="1"/>
  <c r="H47" i="28"/>
  <c r="T47" i="28" s="1"/>
  <c r="W48" i="28" s="1"/>
  <c r="AH48" i="28"/>
  <c r="AJ49" i="28" s="1"/>
  <c r="AL50" i="28" s="1"/>
  <c r="AN51" i="28" s="1"/>
  <c r="M47" i="28"/>
  <c r="AB46" i="28" l="1"/>
  <c r="AD47" i="28" s="1"/>
  <c r="D48" i="28" s="1"/>
  <c r="B45" i="28"/>
  <c r="E46" i="28" s="1"/>
  <c r="G46" i="28" s="1"/>
  <c r="I45" i="28"/>
  <c r="P45" i="28" s="1"/>
  <c r="Q45" i="28" s="1"/>
  <c r="X48" i="28"/>
  <c r="AC47" i="28"/>
  <c r="AE48" i="28" s="1"/>
  <c r="AO52" i="28"/>
  <c r="AP53" i="28" s="1"/>
  <c r="AQ54" i="28" s="1"/>
  <c r="AR55" i="28" s="1"/>
  <c r="F46" i="28" l="1"/>
  <c r="S45" i="28"/>
  <c r="C45" i="28"/>
  <c r="O45" i="28"/>
  <c r="N45" i="28"/>
  <c r="J45" i="28"/>
  <c r="V49" i="28"/>
  <c r="L46" i="28"/>
  <c r="R56" i="28"/>
  <c r="AA46" i="28"/>
  <c r="K46" i="28" s="1"/>
  <c r="AF48" i="28"/>
  <c r="M48" i="28" s="1"/>
  <c r="Y48" i="28"/>
  <c r="AG49" i="28"/>
  <c r="AI50" i="28" s="1"/>
  <c r="AK51" i="28" s="1"/>
  <c r="AM52" i="28" s="1"/>
  <c r="I46" i="28" l="1"/>
  <c r="P46" i="28" s="1"/>
  <c r="Q46" i="28" s="1"/>
  <c r="B46" i="28"/>
  <c r="O46" i="28" s="1"/>
  <c r="AB47" i="28"/>
  <c r="Z48" i="28"/>
  <c r="U49" i="28" s="1"/>
  <c r="H48" i="28"/>
  <c r="T48" i="28" s="1"/>
  <c r="W49" i="28" s="1"/>
  <c r="AH49" i="28"/>
  <c r="AJ50" i="28" s="1"/>
  <c r="AL51" i="28" s="1"/>
  <c r="AN52" i="28" s="1"/>
  <c r="AO53" i="28" s="1"/>
  <c r="AP54" i="28" s="1"/>
  <c r="AQ55" i="28" s="1"/>
  <c r="AR56" i="28" s="1"/>
  <c r="E47" i="28" l="1"/>
  <c r="G47" i="28" s="1"/>
  <c r="F47" i="28"/>
  <c r="C46" i="28"/>
  <c r="X49" i="28"/>
  <c r="AD48" i="28"/>
  <c r="D49" i="28" s="1"/>
  <c r="AC48" i="28"/>
  <c r="AE49" i="28" s="1"/>
  <c r="R57" i="28"/>
  <c r="J46" i="28"/>
  <c r="N46" i="28"/>
  <c r="S46" i="28"/>
  <c r="V50" i="28" l="1"/>
  <c r="L47" i="28"/>
  <c r="Y49" i="28"/>
  <c r="AG50" i="28"/>
  <c r="AI51" i="28" s="1"/>
  <c r="AK52" i="28" s="1"/>
  <c r="AM53" i="28" s="1"/>
  <c r="AA47" i="28"/>
  <c r="K47" i="28" s="1"/>
  <c r="AF49" i="28"/>
  <c r="I47" i="28" l="1"/>
  <c r="P47" i="28" s="1"/>
  <c r="Q47" i="28" s="1"/>
  <c r="B47" i="28"/>
  <c r="AB48" i="28"/>
  <c r="Z49" i="28"/>
  <c r="U50" i="28" s="1"/>
  <c r="H49" i="28"/>
  <c r="T49" i="28" s="1"/>
  <c r="W50" i="28" s="1"/>
  <c r="AH50" i="28"/>
  <c r="AJ51" i="28" s="1"/>
  <c r="AL52" i="28" s="1"/>
  <c r="AN53" i="28" s="1"/>
  <c r="AO54" i="28" s="1"/>
  <c r="AP55" i="28" s="1"/>
  <c r="AQ56" i="28" s="1"/>
  <c r="AR57" i="28" s="1"/>
  <c r="M49" i="28"/>
  <c r="E48" i="28" l="1"/>
  <c r="G48" i="28" s="1"/>
  <c r="O47" i="28"/>
  <c r="C47" i="28"/>
  <c r="X50" i="28"/>
  <c r="R58" i="28"/>
  <c r="J47" i="28"/>
  <c r="N47" i="28"/>
  <c r="AC49" i="28"/>
  <c r="AE50" i="28" s="1"/>
  <c r="AD49" i="28"/>
  <c r="D50" i="28" s="1"/>
  <c r="S47" i="28"/>
  <c r="V51" i="28" l="1"/>
  <c r="F48" i="28"/>
  <c r="L48" i="28"/>
  <c r="Y50" i="28"/>
  <c r="AG51" i="28"/>
  <c r="AI52" i="28" s="1"/>
  <c r="AK53" i="28" s="1"/>
  <c r="AM54" i="28" s="1"/>
  <c r="AF50" i="28"/>
  <c r="AA48" i="28" l="1"/>
  <c r="K48" i="28" s="1"/>
  <c r="Z50" i="28"/>
  <c r="U51" i="28" s="1"/>
  <c r="H50" i="28"/>
  <c r="T50" i="28" s="1"/>
  <c r="W51" i="28" s="1"/>
  <c r="AH51" i="28"/>
  <c r="AJ52" i="28" s="1"/>
  <c r="AL53" i="28" s="1"/>
  <c r="AN54" i="28" s="1"/>
  <c r="AO55" i="28" s="1"/>
  <c r="AP56" i="28" s="1"/>
  <c r="AQ57" i="28" s="1"/>
  <c r="AR58" i="28" s="1"/>
  <c r="M50" i="28"/>
  <c r="AB49" i="28" l="1"/>
  <c r="AD50" i="28" s="1"/>
  <c r="D51" i="28" s="1"/>
  <c r="I48" i="28"/>
  <c r="P48" i="28" s="1"/>
  <c r="Q48" i="28" s="1"/>
  <c r="B48" i="28"/>
  <c r="X51" i="28"/>
  <c r="R59" i="28"/>
  <c r="AC50" i="28" l="1"/>
  <c r="AE51" i="28" s="1"/>
  <c r="AG52" i="28" s="1"/>
  <c r="AI53" i="28" s="1"/>
  <c r="AK54" i="28" s="1"/>
  <c r="AM55" i="28" s="1"/>
  <c r="J48" i="28"/>
  <c r="E49" i="28"/>
  <c r="G49" i="28" s="1"/>
  <c r="L49" i="28" s="1"/>
  <c r="O48" i="28"/>
  <c r="V52" i="28"/>
  <c r="C48" i="28"/>
  <c r="N48" i="28"/>
  <c r="S48" i="28"/>
  <c r="Y51" i="28"/>
  <c r="AF51" i="28"/>
  <c r="M51" i="28" l="1"/>
  <c r="F49" i="28"/>
  <c r="AA49" i="28"/>
  <c r="K49" i="28" s="1"/>
  <c r="Z51" i="28"/>
  <c r="U52" i="28" s="1"/>
  <c r="H51" i="28"/>
  <c r="T51" i="28" s="1"/>
  <c r="W52" i="28" s="1"/>
  <c r="AH52" i="28"/>
  <c r="AJ53" i="28" s="1"/>
  <c r="AL54" i="28" s="1"/>
  <c r="AN55" i="28" s="1"/>
  <c r="AB50" i="28" l="1"/>
  <c r="AC51" i="28" s="1"/>
  <c r="AE52" i="28" s="1"/>
  <c r="B49" i="28"/>
  <c r="I49" i="28"/>
  <c r="P49" i="28" s="1"/>
  <c r="Q49" i="28" s="1"/>
  <c r="X52" i="28"/>
  <c r="AO56" i="28"/>
  <c r="AP57" i="28" s="1"/>
  <c r="AQ58" i="28" s="1"/>
  <c r="AR59" i="28" s="1"/>
  <c r="AD51" i="28"/>
  <c r="D52" i="28" s="1"/>
  <c r="O49" i="28" l="1"/>
  <c r="V53" i="28"/>
  <c r="E50" i="28"/>
  <c r="G50" i="28" s="1"/>
  <c r="AA50" i="28" s="1"/>
  <c r="K50" i="28" s="1"/>
  <c r="J49" i="28"/>
  <c r="F50" i="28"/>
  <c r="S49" i="28"/>
  <c r="C49" i="28"/>
  <c r="N49" i="28"/>
  <c r="Y52" i="28"/>
  <c r="AG53" i="28"/>
  <c r="AI54" i="28" s="1"/>
  <c r="AK55" i="28" s="1"/>
  <c r="AM56" i="28" s="1"/>
  <c r="AF52" i="28"/>
  <c r="M52" i="28" s="1"/>
  <c r="R60" i="28"/>
  <c r="L50" i="28" l="1"/>
  <c r="I50" i="28"/>
  <c r="P50" i="28" s="1"/>
  <c r="B50" i="28"/>
  <c r="E51" i="28" s="1"/>
  <c r="AB51" i="28"/>
  <c r="H52" i="28"/>
  <c r="T52" i="28" s="1"/>
  <c r="W53" i="28" s="1"/>
  <c r="Z52" i="28"/>
  <c r="U53" i="28" s="1"/>
  <c r="AH53" i="28"/>
  <c r="AJ54" i="28" s="1"/>
  <c r="AL55" i="28" s="1"/>
  <c r="AN56" i="28" s="1"/>
  <c r="AO57" i="28" s="1"/>
  <c r="AP58" i="28" s="1"/>
  <c r="AQ59" i="28" s="1"/>
  <c r="AR60" i="28" s="1"/>
  <c r="Q50" i="28" l="1"/>
  <c r="O50" i="28" s="1"/>
  <c r="G51" i="28"/>
  <c r="F51" i="28"/>
  <c r="C50" i="28"/>
  <c r="X53" i="28"/>
  <c r="R61" i="28"/>
  <c r="N50" i="28"/>
  <c r="J50" i="28"/>
  <c r="AD52" i="28"/>
  <c r="D53" i="28" s="1"/>
  <c r="AC52" i="28"/>
  <c r="AE53" i="28" s="1"/>
  <c r="S50" i="28"/>
  <c r="V54" i="28" l="1"/>
  <c r="L51" i="28"/>
  <c r="Y53" i="28"/>
  <c r="AG54" i="28"/>
  <c r="AI55" i="28" s="1"/>
  <c r="AK56" i="28" s="1"/>
  <c r="AM57" i="28" s="1"/>
  <c r="AF53" i="28"/>
  <c r="M53" i="28" s="1"/>
  <c r="AA51" i="28" l="1"/>
  <c r="K51" i="28" s="1"/>
  <c r="Z53" i="28"/>
  <c r="H53" i="28"/>
  <c r="T53" i="28" s="1"/>
  <c r="W54" i="28" s="1"/>
  <c r="AH54" i="28"/>
  <c r="AJ55" i="28" s="1"/>
  <c r="AL56" i="28" s="1"/>
  <c r="AN57" i="28" s="1"/>
  <c r="AO58" i="28" s="1"/>
  <c r="AP59" i="28" s="1"/>
  <c r="AQ60" i="28" s="1"/>
  <c r="AR61" i="28" s="1"/>
  <c r="U54" i="28"/>
  <c r="I51" i="28" l="1"/>
  <c r="P51" i="28" s="1"/>
  <c r="B51" i="28"/>
  <c r="E52" i="28" s="1"/>
  <c r="G52" i="28" s="1"/>
  <c r="AB52" i="28"/>
  <c r="AC53" i="28" s="1"/>
  <c r="AE54" i="28" s="1"/>
  <c r="R62" i="28"/>
  <c r="X54" i="28"/>
  <c r="Q51" i="28" l="1"/>
  <c r="O51" i="28" s="1"/>
  <c r="S51" i="28"/>
  <c r="F52" i="28"/>
  <c r="C51" i="28"/>
  <c r="J51" i="28"/>
  <c r="N51" i="28"/>
  <c r="AD53" i="28"/>
  <c r="D54" i="28" s="1"/>
  <c r="L52" i="28"/>
  <c r="Y54" i="28"/>
  <c r="AG55" i="28"/>
  <c r="AI56" i="28" s="1"/>
  <c r="AK57" i="28" s="1"/>
  <c r="AM58" i="28" s="1"/>
  <c r="V55" i="28"/>
  <c r="AA52" i="28"/>
  <c r="K52" i="28" s="1"/>
  <c r="AF54" i="28" l="1"/>
  <c r="M54" i="28" s="1"/>
  <c r="I52" i="28"/>
  <c r="P52" i="28" s="1"/>
  <c r="Q52" i="28" s="1"/>
  <c r="B52" i="28"/>
  <c r="E53" i="28" s="1"/>
  <c r="AB53" i="28"/>
  <c r="AH55" i="28" l="1"/>
  <c r="AJ56" i="28" s="1"/>
  <c r="AL57" i="28" s="1"/>
  <c r="AN58" i="28" s="1"/>
  <c r="AO59" i="28" s="1"/>
  <c r="AP60" i="28" s="1"/>
  <c r="AQ61" i="28" s="1"/>
  <c r="AR62" i="28" s="1"/>
  <c r="R63" i="28" s="1"/>
  <c r="H54" i="28"/>
  <c r="T54" i="28" s="1"/>
  <c r="W55" i="28" s="1"/>
  <c r="Z54" i="28"/>
  <c r="U55" i="28" s="1"/>
  <c r="O52" i="28"/>
  <c r="G53" i="28"/>
  <c r="F53" i="28"/>
  <c r="C52" i="28"/>
  <c r="X55" i="28"/>
  <c r="S52" i="28"/>
  <c r="N52" i="28"/>
  <c r="J52" i="28"/>
  <c r="AD54" i="28"/>
  <c r="D55" i="28" s="1"/>
  <c r="AC54" i="28"/>
  <c r="AE55" i="28" s="1"/>
  <c r="V56" i="28" l="1"/>
  <c r="L53" i="28"/>
  <c r="AA53" i="28"/>
  <c r="K53" i="28" s="1"/>
  <c r="Y55" i="28"/>
  <c r="AG56" i="28"/>
  <c r="AI57" i="28" s="1"/>
  <c r="AK58" i="28" s="1"/>
  <c r="AM59" i="28" s="1"/>
  <c r="AF55" i="28"/>
  <c r="H55" i="28" l="1"/>
  <c r="T55" i="28" s="1"/>
  <c r="W56" i="28" s="1"/>
  <c r="Z55" i="28"/>
  <c r="U56" i="28" s="1"/>
  <c r="AH56" i="28"/>
  <c r="AJ57" i="28" s="1"/>
  <c r="AL58" i="28" s="1"/>
  <c r="AN59" i="28" s="1"/>
  <c r="AO60" i="28" s="1"/>
  <c r="AP61" i="28" s="1"/>
  <c r="AQ62" i="28" s="1"/>
  <c r="AR63" i="28" s="1"/>
  <c r="I53" i="28"/>
  <c r="P53" i="28" s="1"/>
  <c r="Q53" i="28" s="1"/>
  <c r="B53" i="28"/>
  <c r="AB54" i="28"/>
  <c r="M55" i="28"/>
  <c r="E54" i="28" l="1"/>
  <c r="G54" i="28" s="1"/>
  <c r="O53" i="28"/>
  <c r="F54" i="28"/>
  <c r="C53" i="28"/>
  <c r="X56" i="28"/>
  <c r="R64" i="28"/>
  <c r="S53" i="28"/>
  <c r="J53" i="28"/>
  <c r="N53" i="28"/>
  <c r="AD55" i="28"/>
  <c r="D56" i="28" s="1"/>
  <c r="AC55" i="28"/>
  <c r="AE56" i="28" s="1"/>
  <c r="V57" i="28" l="1"/>
  <c r="L54" i="28"/>
  <c r="Y56" i="28"/>
  <c r="AG57" i="28"/>
  <c r="AI58" i="28" s="1"/>
  <c r="AK59" i="28" s="1"/>
  <c r="AM60" i="28" s="1"/>
  <c r="AF56" i="28"/>
  <c r="AA54" i="28"/>
  <c r="K54" i="28" s="1"/>
  <c r="I54" i="28" l="1"/>
  <c r="P54" i="28" s="1"/>
  <c r="Q54" i="28" s="1"/>
  <c r="B54" i="28"/>
  <c r="AB55" i="28"/>
  <c r="H56" i="28"/>
  <c r="T56" i="28" s="1"/>
  <c r="W57" i="28" s="1"/>
  <c r="Z56" i="28"/>
  <c r="U57" i="28" s="1"/>
  <c r="AH57" i="28"/>
  <c r="AJ58" i="28" s="1"/>
  <c r="AL59" i="28" s="1"/>
  <c r="AN60" i="28" s="1"/>
  <c r="M56" i="28"/>
  <c r="O54" i="28" l="1"/>
  <c r="E55" i="28"/>
  <c r="G55" i="28" s="1"/>
  <c r="F55" i="28"/>
  <c r="C54" i="28"/>
  <c r="X57" i="28"/>
  <c r="J54" i="28"/>
  <c r="N54" i="28"/>
  <c r="AO61" i="28"/>
  <c r="AP62" i="28" s="1"/>
  <c r="AQ63" i="28" s="1"/>
  <c r="AR64" i="28" s="1"/>
  <c r="AC56" i="28"/>
  <c r="AE57" i="28" s="1"/>
  <c r="AD56" i="28"/>
  <c r="D57" i="28" s="1"/>
  <c r="S54" i="28"/>
  <c r="V58" i="28" l="1"/>
  <c r="L55" i="28"/>
  <c r="Y57" i="28"/>
  <c r="AG58" i="28"/>
  <c r="AI59" i="28" s="1"/>
  <c r="AK60" i="28" s="1"/>
  <c r="AM61" i="28" s="1"/>
  <c r="AA55" i="28"/>
  <c r="K55" i="28" s="1"/>
  <c r="AF57" i="28"/>
  <c r="R65" i="28"/>
  <c r="Z57" i="28" l="1"/>
  <c r="H57" i="28"/>
  <c r="T57" i="28" s="1"/>
  <c r="W58" i="28" s="1"/>
  <c r="AH58" i="28"/>
  <c r="AJ59" i="28" s="1"/>
  <c r="AL60" i="28" s="1"/>
  <c r="AN61" i="28" s="1"/>
  <c r="U58" i="28"/>
  <c r="I55" i="28"/>
  <c r="P55" i="28" s="1"/>
  <c r="Q55" i="28" s="1"/>
  <c r="B55" i="28"/>
  <c r="AB56" i="28"/>
  <c r="M57" i="28"/>
  <c r="E56" i="28" l="1"/>
  <c r="G56" i="28" s="1"/>
  <c r="O55" i="28"/>
  <c r="F56" i="28"/>
  <c r="C55" i="28"/>
  <c r="X58" i="28"/>
  <c r="N55" i="28"/>
  <c r="J55" i="28"/>
  <c r="S55" i="28"/>
  <c r="AC57" i="28"/>
  <c r="AE58" i="28" s="1"/>
  <c r="AD57" i="28"/>
  <c r="D58" i="28" s="1"/>
  <c r="AO62" i="28"/>
  <c r="AP63" i="28" s="1"/>
  <c r="AQ64" i="28" s="1"/>
  <c r="AR65" i="28" s="1"/>
  <c r="V59" i="28" l="1"/>
  <c r="L56" i="28"/>
  <c r="R66" i="28"/>
  <c r="AF58" i="28"/>
  <c r="M58" i="28" s="1"/>
  <c r="Y58" i="28"/>
  <c r="AG59" i="28"/>
  <c r="AI60" i="28" s="1"/>
  <c r="AK61" i="28" s="1"/>
  <c r="AM62" i="28" s="1"/>
  <c r="AA56" i="28" l="1"/>
  <c r="K56" i="28" s="1"/>
  <c r="H58" i="28"/>
  <c r="T58" i="28" s="1"/>
  <c r="W59" i="28" s="1"/>
  <c r="Z58" i="28"/>
  <c r="U59" i="28" s="1"/>
  <c r="AH59" i="28"/>
  <c r="AJ60" i="28" s="1"/>
  <c r="AL61" i="28" s="1"/>
  <c r="AN62" i="28" s="1"/>
  <c r="B56" i="28"/>
  <c r="AB57" i="28" l="1"/>
  <c r="I56" i="28"/>
  <c r="P56" i="28" s="1"/>
  <c r="Q56" i="28" s="1"/>
  <c r="O56" i="28" s="1"/>
  <c r="E57" i="28"/>
  <c r="G57" i="28" s="1"/>
  <c r="X59" i="28"/>
  <c r="S56" i="28"/>
  <c r="AC58" i="28"/>
  <c r="AE59" i="28" s="1"/>
  <c r="AD58" i="28"/>
  <c r="D59" i="28" s="1"/>
  <c r="AO63" i="28"/>
  <c r="AP64" i="28" s="1"/>
  <c r="AQ65" i="28" s="1"/>
  <c r="AR66" i="28" s="1"/>
  <c r="C56" i="28" l="1"/>
  <c r="J56" i="28"/>
  <c r="N56" i="28"/>
  <c r="V60" i="28"/>
  <c r="F57" i="28"/>
  <c r="L57" i="28"/>
  <c r="AF59" i="28"/>
  <c r="Y59" i="28"/>
  <c r="AG60" i="28"/>
  <c r="AI61" i="28" s="1"/>
  <c r="AK62" i="28" s="1"/>
  <c r="AM63" i="28" s="1"/>
  <c r="R67" i="28"/>
  <c r="AA57" i="28"/>
  <c r="K57" i="28" s="1"/>
  <c r="H59" i="28" l="1"/>
  <c r="T59" i="28" s="1"/>
  <c r="W60" i="28" s="1"/>
  <c r="Z59" i="28"/>
  <c r="U60" i="28" s="1"/>
  <c r="AH60" i="28"/>
  <c r="AJ61" i="28" s="1"/>
  <c r="AL62" i="28" s="1"/>
  <c r="AN63" i="28" s="1"/>
  <c r="AO64" i="28" s="1"/>
  <c r="AP65" i="28" s="1"/>
  <c r="AQ66" i="28" s="1"/>
  <c r="AR67" i="28" s="1"/>
  <c r="M59" i="28"/>
  <c r="I57" i="28"/>
  <c r="P57" i="28" s="1"/>
  <c r="Q57" i="28" s="1"/>
  <c r="B57" i="28"/>
  <c r="AB58" i="28"/>
  <c r="O57" i="28" l="1"/>
  <c r="E58" i="28"/>
  <c r="G58" i="28" s="1"/>
  <c r="F58" i="28"/>
  <c r="C57" i="28"/>
  <c r="X60" i="28"/>
  <c r="J57" i="28"/>
  <c r="N57" i="28"/>
  <c r="R68" i="28"/>
  <c r="AD59" i="28"/>
  <c r="D60" i="28" s="1"/>
  <c r="AC59" i="28"/>
  <c r="AE60" i="28" s="1"/>
  <c r="S57" i="28"/>
  <c r="V61" i="28" l="1"/>
  <c r="L58" i="28"/>
  <c r="AA58" i="28"/>
  <c r="K58" i="28" s="1"/>
  <c r="Y60" i="28"/>
  <c r="AG61" i="28"/>
  <c r="AI62" i="28" s="1"/>
  <c r="AK63" i="28" s="1"/>
  <c r="AM64" i="28" s="1"/>
  <c r="AF60" i="28"/>
  <c r="Z60" i="28" l="1"/>
  <c r="U61" i="28" s="1"/>
  <c r="H60" i="28"/>
  <c r="T60" i="28" s="1"/>
  <c r="W61" i="28" s="1"/>
  <c r="AH61" i="28"/>
  <c r="AJ62" i="28" s="1"/>
  <c r="AL63" i="28" s="1"/>
  <c r="AN64" i="28" s="1"/>
  <c r="I58" i="28"/>
  <c r="P58" i="28" s="1"/>
  <c r="B58" i="28"/>
  <c r="E59" i="28" s="1"/>
  <c r="AB59" i="28"/>
  <c r="M60" i="28"/>
  <c r="Q58" i="28" l="1"/>
  <c r="O58" i="28" s="1"/>
  <c r="G59" i="28"/>
  <c r="C58" i="28"/>
  <c r="X61" i="28"/>
  <c r="J58" i="28"/>
  <c r="N58" i="28"/>
  <c r="S58" i="28"/>
  <c r="AC60" i="28"/>
  <c r="AE61" i="28" s="1"/>
  <c r="AD60" i="28"/>
  <c r="D61" i="28" s="1"/>
  <c r="AO65" i="28"/>
  <c r="AP66" i="28" s="1"/>
  <c r="AQ67" i="28" s="1"/>
  <c r="AR68" i="28" s="1"/>
  <c r="V62" i="28" l="1"/>
  <c r="F59" i="28"/>
  <c r="L59" i="28"/>
  <c r="AF61" i="28"/>
  <c r="M61" i="28" s="1"/>
  <c r="R69" i="28"/>
  <c r="Y61" i="28"/>
  <c r="AG62" i="28"/>
  <c r="AI63" i="28" s="1"/>
  <c r="AK64" i="28" s="1"/>
  <c r="AM65" i="28" s="1"/>
  <c r="AA59" i="28"/>
  <c r="K59" i="28" s="1"/>
  <c r="Z61" i="28" l="1"/>
  <c r="U62" i="28" s="1"/>
  <c r="H61" i="28"/>
  <c r="T61" i="28" s="1"/>
  <c r="W62" i="28" s="1"/>
  <c r="AH62" i="28"/>
  <c r="AJ63" i="28" s="1"/>
  <c r="AL64" i="28" s="1"/>
  <c r="AN65" i="28" s="1"/>
  <c r="AO66" i="28" s="1"/>
  <c r="AP67" i="28" s="1"/>
  <c r="AQ68" i="28" s="1"/>
  <c r="AR69" i="28" s="1"/>
  <c r="B59" i="28"/>
  <c r="E60" i="28" s="1"/>
  <c r="I59" i="28"/>
  <c r="P59" i="28" s="1"/>
  <c r="AB60" i="28"/>
  <c r="Q59" i="28" l="1"/>
  <c r="O59" i="28" s="1"/>
  <c r="G60" i="28"/>
  <c r="F60" i="28"/>
  <c r="C59" i="28"/>
  <c r="X62" i="28"/>
  <c r="V63" i="28" s="1"/>
  <c r="N59" i="28"/>
  <c r="J59" i="28"/>
  <c r="S59" i="28"/>
  <c r="R70" i="28"/>
  <c r="AD61" i="28"/>
  <c r="D62" i="28" s="1"/>
  <c r="AC61" i="28"/>
  <c r="AE62" i="28" s="1"/>
  <c r="L60" i="28" l="1"/>
  <c r="Y62" i="28"/>
  <c r="AG63" i="28"/>
  <c r="AI64" i="28" s="1"/>
  <c r="AK65" i="28" s="1"/>
  <c r="AM66" i="28" s="1"/>
  <c r="AA60" i="28"/>
  <c r="K60" i="28" s="1"/>
  <c r="AF62" i="28"/>
  <c r="I60" i="28" l="1"/>
  <c r="P60" i="28" s="1"/>
  <c r="Q60" i="28" s="1"/>
  <c r="B60" i="28"/>
  <c r="E61" i="28" s="1"/>
  <c r="AB61" i="28"/>
  <c r="Z62" i="28"/>
  <c r="U63" i="28" s="1"/>
  <c r="H62" i="28"/>
  <c r="T62" i="28" s="1"/>
  <c r="W63" i="28" s="1"/>
  <c r="AH63" i="28"/>
  <c r="AJ64" i="28" s="1"/>
  <c r="AL65" i="28" s="1"/>
  <c r="AN66" i="28" s="1"/>
  <c r="M62" i="28"/>
  <c r="O60" i="28" l="1"/>
  <c r="G61" i="28"/>
  <c r="F61" i="28"/>
  <c r="C60" i="28"/>
  <c r="X63" i="28"/>
  <c r="AO67" i="28"/>
  <c r="AP68" i="28" s="1"/>
  <c r="AQ69" i="28" s="1"/>
  <c r="AR70" i="28" s="1"/>
  <c r="N60" i="28"/>
  <c r="J60" i="28"/>
  <c r="AD62" i="28"/>
  <c r="D63" i="28" s="1"/>
  <c r="AC62" i="28"/>
  <c r="AE63" i="28" s="1"/>
  <c r="S60" i="28"/>
  <c r="V64" i="28" l="1"/>
  <c r="L61" i="28"/>
  <c r="R71" i="28"/>
  <c r="Y63" i="28"/>
  <c r="AG64" i="28"/>
  <c r="AI65" i="28" s="1"/>
  <c r="AK66" i="28" s="1"/>
  <c r="AM67" i="28" s="1"/>
  <c r="AF63" i="28"/>
  <c r="AA61" i="28" l="1"/>
  <c r="K61" i="28" s="1"/>
  <c r="Z63" i="28"/>
  <c r="U64" i="28" s="1"/>
  <c r="H63" i="28"/>
  <c r="T63" i="28" s="1"/>
  <c r="W64" i="28" s="1"/>
  <c r="AH64" i="28"/>
  <c r="AJ65" i="28" s="1"/>
  <c r="AL66" i="28" s="1"/>
  <c r="AN67" i="28" s="1"/>
  <c r="AO68" i="28" s="1"/>
  <c r="AP69" i="28" s="1"/>
  <c r="AQ70" i="28" s="1"/>
  <c r="AR71" i="28" s="1"/>
  <c r="M63" i="28"/>
  <c r="B61" i="28" l="1"/>
  <c r="E62" i="28" s="1"/>
  <c r="G62" i="28" s="1"/>
  <c r="I61" i="28"/>
  <c r="P61" i="28" s="1"/>
  <c r="Q61" i="28" s="1"/>
  <c r="AB62" i="28"/>
  <c r="AC63" i="28" s="1"/>
  <c r="AE64" i="28" s="1"/>
  <c r="F62" i="28"/>
  <c r="R72" i="28"/>
  <c r="S61" i="28"/>
  <c r="X64" i="28"/>
  <c r="O61" i="28" l="1"/>
  <c r="C61" i="28"/>
  <c r="J61" i="28"/>
  <c r="N61" i="28"/>
  <c r="AD63" i="28"/>
  <c r="D64" i="28" s="1"/>
  <c r="L62" i="28"/>
  <c r="Y64" i="28"/>
  <c r="AG65" i="28"/>
  <c r="AI66" i="28" s="1"/>
  <c r="AK67" i="28" s="1"/>
  <c r="AM68" i="28" s="1"/>
  <c r="V65" i="28"/>
  <c r="AA62" i="28"/>
  <c r="K62" i="28" s="1"/>
  <c r="AF64" i="28" l="1"/>
  <c r="M64" i="28" s="1"/>
  <c r="I62" i="28"/>
  <c r="P62" i="28" s="1"/>
  <c r="Q62" i="28" s="1"/>
  <c r="B62" i="28"/>
  <c r="AB63" i="28"/>
  <c r="Z64" i="28"/>
  <c r="U65" i="28" s="1"/>
  <c r="H64" i="28"/>
  <c r="T64" i="28" s="1"/>
  <c r="W65" i="28" s="1"/>
  <c r="AH65" i="28"/>
  <c r="AJ66" i="28" s="1"/>
  <c r="AL67" i="28" s="1"/>
  <c r="AN68" i="28" s="1"/>
  <c r="O62" i="28" l="1"/>
  <c r="E63" i="28"/>
  <c r="G63" i="28" s="1"/>
  <c r="F63" i="28"/>
  <c r="C62" i="28"/>
  <c r="X65" i="28"/>
  <c r="AD64" i="28"/>
  <c r="D65" i="28" s="1"/>
  <c r="AC64" i="28"/>
  <c r="AE65" i="28" s="1"/>
  <c r="S62" i="28"/>
  <c r="N62" i="28"/>
  <c r="J62" i="28"/>
  <c r="AO69" i="28"/>
  <c r="AP70" i="28" s="1"/>
  <c r="AQ71" i="28" s="1"/>
  <c r="AR72" i="28" s="1"/>
  <c r="V66" i="28" l="1"/>
  <c r="L63" i="28"/>
  <c r="R73" i="28"/>
  <c r="Y65" i="28"/>
  <c r="AG66" i="28"/>
  <c r="AI67" i="28" s="1"/>
  <c r="AK68" i="28" s="1"/>
  <c r="AM69" i="28" s="1"/>
  <c r="AF65" i="28"/>
  <c r="AA63" i="28"/>
  <c r="K63" i="28" s="1"/>
  <c r="H65" i="28" l="1"/>
  <c r="T65" i="28" s="1"/>
  <c r="W66" i="28" s="1"/>
  <c r="Z65" i="28"/>
  <c r="U66" i="28" s="1"/>
  <c r="AH66" i="28"/>
  <c r="AJ67" i="28" s="1"/>
  <c r="AL68" i="28" s="1"/>
  <c r="AN69" i="28" s="1"/>
  <c r="M65" i="28"/>
  <c r="I63" i="28"/>
  <c r="P63" i="28" s="1"/>
  <c r="Q63" i="28" s="1"/>
  <c r="B63" i="28"/>
  <c r="AB64" i="28"/>
  <c r="E64" i="28" l="1"/>
  <c r="G64" i="28" s="1"/>
  <c r="O63" i="28"/>
  <c r="F64" i="28"/>
  <c r="C63" i="28"/>
  <c r="X66" i="28"/>
  <c r="J63" i="28"/>
  <c r="N63" i="28"/>
  <c r="AC65" i="28"/>
  <c r="AE66" i="28" s="1"/>
  <c r="AD65" i="28"/>
  <c r="D66" i="28" s="1"/>
  <c r="S63" i="28"/>
  <c r="AO70" i="28"/>
  <c r="AP71" i="28" s="1"/>
  <c r="AQ72" i="28" s="1"/>
  <c r="AR73" i="28" s="1"/>
  <c r="V67" i="28" l="1"/>
  <c r="L64" i="28"/>
  <c r="R74" i="28"/>
  <c r="AA64" i="28"/>
  <c r="K64" i="28" s="1"/>
  <c r="AF66" i="28"/>
  <c r="M66" i="28" s="1"/>
  <c r="Y66" i="28"/>
  <c r="AG67" i="28"/>
  <c r="AI68" i="28" s="1"/>
  <c r="AK69" i="28" s="1"/>
  <c r="AM70" i="28" s="1"/>
  <c r="I64" i="28" l="1"/>
  <c r="P64" i="28" s="1"/>
  <c r="Q64" i="28" s="1"/>
  <c r="B64" i="28"/>
  <c r="AB65" i="28"/>
  <c r="Z66" i="28"/>
  <c r="U67" i="28" s="1"/>
  <c r="H66" i="28"/>
  <c r="T66" i="28" s="1"/>
  <c r="W67" i="28" s="1"/>
  <c r="AH67" i="28"/>
  <c r="AJ68" i="28" s="1"/>
  <c r="AL69" i="28" s="1"/>
  <c r="AN70" i="28" s="1"/>
  <c r="O64" i="28" l="1"/>
  <c r="E65" i="28"/>
  <c r="G65" i="28" s="1"/>
  <c r="C64" i="28"/>
  <c r="X67" i="28"/>
  <c r="AD66" i="28"/>
  <c r="D67" i="28" s="1"/>
  <c r="AC66" i="28"/>
  <c r="AE67" i="28" s="1"/>
  <c r="N64" i="28"/>
  <c r="J64" i="28"/>
  <c r="S64" i="28"/>
  <c r="AO71" i="28"/>
  <c r="AP72" i="28" s="1"/>
  <c r="AQ73" i="28" s="1"/>
  <c r="AR74" i="28" s="1"/>
  <c r="V68" i="28" l="1"/>
  <c r="F65" i="28"/>
  <c r="L65" i="28"/>
  <c r="Y67" i="28"/>
  <c r="AG68" i="28"/>
  <c r="AI69" i="28" s="1"/>
  <c r="AK70" i="28" s="1"/>
  <c r="AM71" i="28" s="1"/>
  <c r="AF67" i="28"/>
  <c r="R75" i="28"/>
  <c r="AA65" i="28" l="1"/>
  <c r="K65" i="28" s="1"/>
  <c r="Z67" i="28"/>
  <c r="U68" i="28" s="1"/>
  <c r="H67" i="28"/>
  <c r="T67" i="28" s="1"/>
  <c r="W68" i="28" s="1"/>
  <c r="AH68" i="28"/>
  <c r="AJ69" i="28" s="1"/>
  <c r="AL70" i="28" s="1"/>
  <c r="AN71" i="28" s="1"/>
  <c r="AO72" i="28" s="1"/>
  <c r="AP73" i="28" s="1"/>
  <c r="AQ74" i="28" s="1"/>
  <c r="AR75" i="28" s="1"/>
  <c r="M67" i="28"/>
  <c r="B65" i="28" l="1"/>
  <c r="S65" i="28" s="1"/>
  <c r="AB66" i="28"/>
  <c r="AC67" i="28" s="1"/>
  <c r="AE68" i="28" s="1"/>
  <c r="I65" i="28"/>
  <c r="P65" i="28" s="1"/>
  <c r="Q65" i="28" s="1"/>
  <c r="X68" i="28"/>
  <c r="R76" i="28"/>
  <c r="F66" i="28" l="1"/>
  <c r="O65" i="28"/>
  <c r="V69" i="28"/>
  <c r="E66" i="28"/>
  <c r="G66" i="28" s="1"/>
  <c r="L66" i="28" s="1"/>
  <c r="C65" i="28"/>
  <c r="AD67" i="28"/>
  <c r="D68" i="28" s="1"/>
  <c r="N65" i="28"/>
  <c r="J65" i="28"/>
  <c r="Y68" i="28"/>
  <c r="AG69" i="28"/>
  <c r="AI70" i="28" s="1"/>
  <c r="AK71" i="28" s="1"/>
  <c r="AM72" i="28" s="1"/>
  <c r="AF68" i="28" l="1"/>
  <c r="Z68" i="28" s="1"/>
  <c r="U69" i="28" s="1"/>
  <c r="AA66" i="28"/>
  <c r="K66" i="28" s="1"/>
  <c r="M68" i="28" l="1"/>
  <c r="AB67" i="28"/>
  <c r="AD68" i="28" s="1"/>
  <c r="D69" i="28" s="1"/>
  <c r="I66" i="28"/>
  <c r="P66" i="28" s="1"/>
  <c r="AH69" i="28"/>
  <c r="AJ70" i="28" s="1"/>
  <c r="AL71" i="28" s="1"/>
  <c r="AN72" i="28" s="1"/>
  <c r="AO73" i="28" s="1"/>
  <c r="AP74" i="28" s="1"/>
  <c r="AQ75" i="28" s="1"/>
  <c r="AR76" i="28" s="1"/>
  <c r="H68" i="28"/>
  <c r="T68" i="28" s="1"/>
  <c r="W69" i="28" s="1"/>
  <c r="X69" i="28" s="1"/>
  <c r="B66" i="28"/>
  <c r="E67" i="28" s="1"/>
  <c r="Q66" i="28" l="1"/>
  <c r="O66" i="28" s="1"/>
  <c r="V70" i="28"/>
  <c r="AC68" i="28"/>
  <c r="AE69" i="28" s="1"/>
  <c r="AG70" i="28" s="1"/>
  <c r="AI71" i="28" s="1"/>
  <c r="AK72" i="28" s="1"/>
  <c r="AM73" i="28" s="1"/>
  <c r="J66" i="28"/>
  <c r="C66" i="28"/>
  <c r="N66" i="28"/>
  <c r="S66" i="28"/>
  <c r="G67" i="28"/>
  <c r="L67" i="28" s="1"/>
  <c r="R77" i="28"/>
  <c r="AF69" i="28"/>
  <c r="M69" i="28" l="1"/>
  <c r="Y69" i="28"/>
  <c r="F67" i="28"/>
  <c r="AA67" i="28"/>
  <c r="K67" i="28" s="1"/>
  <c r="Z69" i="28"/>
  <c r="U70" i="28" s="1"/>
  <c r="H69" i="28"/>
  <c r="T69" i="28" s="1"/>
  <c r="W70" i="28" s="1"/>
  <c r="AH70" i="28"/>
  <c r="AJ71" i="28" s="1"/>
  <c r="AL72" i="28" s="1"/>
  <c r="AN73" i="28" s="1"/>
  <c r="B67" i="28" l="1"/>
  <c r="E68" i="28" s="1"/>
  <c r="AB68" i="28"/>
  <c r="AD69" i="28" s="1"/>
  <c r="D70" i="28" s="1"/>
  <c r="I67" i="28"/>
  <c r="P67" i="28" s="1"/>
  <c r="X70" i="28"/>
  <c r="V71" i="28" s="1"/>
  <c r="AO74" i="28"/>
  <c r="AP75" i="28" s="1"/>
  <c r="AQ76" i="28" s="1"/>
  <c r="AR77" i="28" s="1"/>
  <c r="Q67" i="28" l="1"/>
  <c r="O67" i="28" s="1"/>
  <c r="S67" i="28"/>
  <c r="G68" i="28"/>
  <c r="AA68" i="28" s="1"/>
  <c r="K68" i="28" s="1"/>
  <c r="F68" i="28"/>
  <c r="AC69" i="28"/>
  <c r="AE70" i="28" s="1"/>
  <c r="Y70" i="28" s="1"/>
  <c r="J67" i="28"/>
  <c r="N67" i="28"/>
  <c r="C67" i="28"/>
  <c r="AF70" i="28"/>
  <c r="R78" i="28"/>
  <c r="AG71" i="28" l="1"/>
  <c r="AI72" i="28" s="1"/>
  <c r="AK73" i="28" s="1"/>
  <c r="AM74" i="28" s="1"/>
  <c r="M70" i="28"/>
  <c r="L68" i="28"/>
  <c r="Z70" i="28"/>
  <c r="U71" i="28" s="1"/>
  <c r="H70" i="28"/>
  <c r="T70" i="28" s="1"/>
  <c r="W71" i="28" s="1"/>
  <c r="AH71" i="28"/>
  <c r="AJ72" i="28" s="1"/>
  <c r="AL73" i="28" s="1"/>
  <c r="AN74" i="28" s="1"/>
  <c r="I68" i="28"/>
  <c r="P68" i="28" s="1"/>
  <c r="Q68" i="28" s="1"/>
  <c r="B68" i="28"/>
  <c r="E69" i="28" s="1"/>
  <c r="AB69" i="28"/>
  <c r="O68" i="28" l="1"/>
  <c r="G69" i="28"/>
  <c r="F69" i="28"/>
  <c r="C68" i="28"/>
  <c r="X71" i="28"/>
  <c r="J68" i="28"/>
  <c r="N68" i="28"/>
  <c r="S68" i="28"/>
  <c r="AC70" i="28"/>
  <c r="AE71" i="28" s="1"/>
  <c r="AD70" i="28"/>
  <c r="D71" i="28" s="1"/>
  <c r="AO75" i="28"/>
  <c r="AP76" i="28" s="1"/>
  <c r="AQ77" i="28" s="1"/>
  <c r="AR78" i="28" s="1"/>
  <c r="V72" i="28" l="1"/>
  <c r="L69" i="28"/>
  <c r="R79" i="28"/>
  <c r="Y71" i="28"/>
  <c r="AG72" i="28"/>
  <c r="AI73" i="28" s="1"/>
  <c r="AK74" i="28" s="1"/>
  <c r="AM75" i="28" s="1"/>
  <c r="AF71" i="28"/>
  <c r="AA69" i="28" l="1"/>
  <c r="K69" i="28" s="1"/>
  <c r="Z71" i="28"/>
  <c r="U72" i="28" s="1"/>
  <c r="H71" i="28"/>
  <c r="T71" i="28" s="1"/>
  <c r="W72" i="28" s="1"/>
  <c r="AH72" i="28"/>
  <c r="AJ73" i="28" s="1"/>
  <c r="AL74" i="28" s="1"/>
  <c r="AN75" i="28" s="1"/>
  <c r="M71" i="28"/>
  <c r="I69" i="28" l="1"/>
  <c r="P69" i="28" s="1"/>
  <c r="Q69" i="28" s="1"/>
  <c r="AB70" i="28"/>
  <c r="AC71" i="28" s="1"/>
  <c r="AE72" i="28" s="1"/>
  <c r="B69" i="28"/>
  <c r="E70" i="28" s="1"/>
  <c r="G70" i="28" s="1"/>
  <c r="X72" i="28"/>
  <c r="AO76" i="28"/>
  <c r="AP77" i="28" s="1"/>
  <c r="AQ78" i="28" s="1"/>
  <c r="AR79" i="28" s="1"/>
  <c r="J69" i="28" l="1"/>
  <c r="F70" i="28"/>
  <c r="C69" i="28"/>
  <c r="AD71" i="28"/>
  <c r="D72" i="28" s="1"/>
  <c r="O69" i="28"/>
  <c r="S69" i="28"/>
  <c r="V73" i="28"/>
  <c r="N69" i="28"/>
  <c r="L70" i="28"/>
  <c r="R80" i="28"/>
  <c r="Y72" i="28"/>
  <c r="AG73" i="28"/>
  <c r="AI74" i="28" s="1"/>
  <c r="AK75" i="28" s="1"/>
  <c r="AM76" i="28" s="1"/>
  <c r="AA70" i="28"/>
  <c r="K70" i="28" s="1"/>
  <c r="AF72" i="28" l="1"/>
  <c r="M72" i="28" s="1"/>
  <c r="I70" i="28"/>
  <c r="P70" i="28" s="1"/>
  <c r="Q70" i="28" s="1"/>
  <c r="B70" i="28"/>
  <c r="AB71" i="28"/>
  <c r="H72" i="28" l="1"/>
  <c r="T72" i="28" s="1"/>
  <c r="W73" i="28" s="1"/>
  <c r="AH73" i="28"/>
  <c r="AJ74" i="28" s="1"/>
  <c r="AL75" i="28" s="1"/>
  <c r="AN76" i="28" s="1"/>
  <c r="AO77" i="28" s="1"/>
  <c r="AP78" i="28" s="1"/>
  <c r="AQ79" i="28" s="1"/>
  <c r="AR80" i="28" s="1"/>
  <c r="Z72" i="28"/>
  <c r="U73" i="28" s="1"/>
  <c r="O70" i="28"/>
  <c r="E71" i="28"/>
  <c r="G71" i="28" s="1"/>
  <c r="F71" i="28"/>
  <c r="C70" i="28"/>
  <c r="N70" i="28"/>
  <c r="J70" i="28"/>
  <c r="S70" i="28"/>
  <c r="AC72" i="28"/>
  <c r="AE73" i="28" s="1"/>
  <c r="AD72" i="28"/>
  <c r="D73" i="28" s="1"/>
  <c r="X73" i="28" l="1"/>
  <c r="V74" i="28" s="1"/>
  <c r="L71" i="28"/>
  <c r="R81" i="28"/>
  <c r="AF73" i="28"/>
  <c r="M73" i="28" s="1"/>
  <c r="AA71" i="28"/>
  <c r="K71" i="28" s="1"/>
  <c r="AG74" i="28"/>
  <c r="AI75" i="28" s="1"/>
  <c r="AK76" i="28" s="1"/>
  <c r="AM77" i="28" s="1"/>
  <c r="Y73" i="28" l="1"/>
  <c r="I71" i="28"/>
  <c r="P71" i="28" s="1"/>
  <c r="Q71" i="28" s="1"/>
  <c r="B71" i="28"/>
  <c r="AB72" i="28"/>
  <c r="Z73" i="28"/>
  <c r="U74" i="28" s="1"/>
  <c r="H73" i="28"/>
  <c r="T73" i="28" s="1"/>
  <c r="W74" i="28" s="1"/>
  <c r="AH74" i="28"/>
  <c r="AJ75" i="28" s="1"/>
  <c r="AL76" i="28" s="1"/>
  <c r="AN77" i="28" s="1"/>
  <c r="E72" i="28" l="1"/>
  <c r="G72" i="28" s="1"/>
  <c r="O71" i="28"/>
  <c r="F72" i="28"/>
  <c r="C71" i="28"/>
  <c r="X74" i="28"/>
  <c r="S71" i="28"/>
  <c r="N71" i="28"/>
  <c r="J71" i="28"/>
  <c r="AC73" i="28"/>
  <c r="AE74" i="28" s="1"/>
  <c r="AD73" i="28"/>
  <c r="D74" i="28" s="1"/>
  <c r="AO78" i="28"/>
  <c r="AP79" i="28" s="1"/>
  <c r="AQ80" i="28" s="1"/>
  <c r="AR81" i="28" s="1"/>
  <c r="V75" i="28" l="1"/>
  <c r="L72" i="28"/>
  <c r="R82" i="28"/>
  <c r="AF74" i="28"/>
  <c r="M74" i="28" s="1"/>
  <c r="Y74" i="28"/>
  <c r="AG75" i="28"/>
  <c r="AI76" i="28" s="1"/>
  <c r="AK77" i="28" s="1"/>
  <c r="AM78" i="28" s="1"/>
  <c r="AA72" i="28" l="1"/>
  <c r="K72" i="28" s="1"/>
  <c r="H74" i="28"/>
  <c r="T74" i="28" s="1"/>
  <c r="W75" i="28" s="1"/>
  <c r="Z74" i="28"/>
  <c r="U75" i="28" s="1"/>
  <c r="AH75" i="28"/>
  <c r="AJ76" i="28" s="1"/>
  <c r="AL77" i="28" s="1"/>
  <c r="AN78" i="28" s="1"/>
  <c r="B72" i="28" l="1"/>
  <c r="S72" i="28" s="1"/>
  <c r="AB73" i="28"/>
  <c r="AC74" i="28" s="1"/>
  <c r="AE75" i="28" s="1"/>
  <c r="I72" i="28"/>
  <c r="P72" i="28" s="1"/>
  <c r="Q72" i="28" s="1"/>
  <c r="X75" i="28"/>
  <c r="AO79" i="28"/>
  <c r="AP80" i="28" s="1"/>
  <c r="AQ81" i="28" s="1"/>
  <c r="AR82" i="28" s="1"/>
  <c r="O72" i="28" l="1"/>
  <c r="V76" i="28"/>
  <c r="E73" i="28"/>
  <c r="G73" i="28" s="1"/>
  <c r="L73" i="28" s="1"/>
  <c r="AD74" i="28"/>
  <c r="D75" i="28" s="1"/>
  <c r="C72" i="28"/>
  <c r="J72" i="28"/>
  <c r="N72" i="28"/>
  <c r="AG76" i="28"/>
  <c r="AI77" i="28" s="1"/>
  <c r="AK78" i="28" s="1"/>
  <c r="AM79" i="28" s="1"/>
  <c r="Y75" i="28"/>
  <c r="R83" i="28"/>
  <c r="AF75" i="28" l="1"/>
  <c r="M75" i="28" s="1"/>
  <c r="F73" i="28"/>
  <c r="AA73" i="28"/>
  <c r="K73" i="28" s="1"/>
  <c r="H75" i="28" l="1"/>
  <c r="T75" i="28" s="1"/>
  <c r="W76" i="28" s="1"/>
  <c r="Z75" i="28"/>
  <c r="U76" i="28" s="1"/>
  <c r="X76" i="28" s="1"/>
  <c r="AH76" i="28"/>
  <c r="AJ77" i="28" s="1"/>
  <c r="AL78" i="28" s="1"/>
  <c r="AN79" i="28" s="1"/>
  <c r="AO80" i="28" s="1"/>
  <c r="AP81" i="28" s="1"/>
  <c r="AQ82" i="28" s="1"/>
  <c r="AR83" i="28" s="1"/>
  <c r="AB74" i="28"/>
  <c r="AD75" i="28" s="1"/>
  <c r="D76" i="28" s="1"/>
  <c r="I73" i="28"/>
  <c r="P73" i="28" s="1"/>
  <c r="Q73" i="28" s="1"/>
  <c r="B73" i="28"/>
  <c r="O73" i="28" l="1"/>
  <c r="V77" i="28"/>
  <c r="E74" i="28"/>
  <c r="G74" i="28" s="1"/>
  <c r="L74" i="28" s="1"/>
  <c r="J73" i="28"/>
  <c r="AC75" i="28"/>
  <c r="AE76" i="28" s="1"/>
  <c r="AG77" i="28" s="1"/>
  <c r="AI78" i="28" s="1"/>
  <c r="AK79" i="28" s="1"/>
  <c r="AM80" i="28" s="1"/>
  <c r="N73" i="28"/>
  <c r="S73" i="28"/>
  <c r="C73" i="28"/>
  <c r="F74" i="28"/>
  <c r="R84" i="28"/>
  <c r="AF76" i="28"/>
  <c r="Y76" i="28" l="1"/>
  <c r="AA74" i="28"/>
  <c r="K74" i="28" s="1"/>
  <c r="Z76" i="28"/>
  <c r="U77" i="28" s="1"/>
  <c r="H76" i="28"/>
  <c r="T76" i="28" s="1"/>
  <c r="W77" i="28" s="1"/>
  <c r="AH77" i="28"/>
  <c r="AJ78" i="28" s="1"/>
  <c r="AL79" i="28" s="1"/>
  <c r="AN80" i="28" s="1"/>
  <c r="AO81" i="28" s="1"/>
  <c r="AP82" i="28" s="1"/>
  <c r="AQ83" i="28" s="1"/>
  <c r="AR84" i="28" s="1"/>
  <c r="M76" i="28"/>
  <c r="B74" i="28" l="1"/>
  <c r="E75" i="28" s="1"/>
  <c r="G75" i="28" s="1"/>
  <c r="AB75" i="28"/>
  <c r="AC76" i="28" s="1"/>
  <c r="AE77" i="28" s="1"/>
  <c r="I74" i="28"/>
  <c r="P74" i="28" s="1"/>
  <c r="Q74" i="28" s="1"/>
  <c r="O74" i="28" s="1"/>
  <c r="X77" i="28"/>
  <c r="R85" i="28"/>
  <c r="S74" i="28" l="1"/>
  <c r="N74" i="28"/>
  <c r="C74" i="28"/>
  <c r="AD76" i="28"/>
  <c r="D77" i="28" s="1"/>
  <c r="J74" i="28"/>
  <c r="V78" i="28"/>
  <c r="F75" i="28"/>
  <c r="L75" i="28"/>
  <c r="AA75" i="28"/>
  <c r="K75" i="28" s="1"/>
  <c r="AG78" i="28"/>
  <c r="AI79" i="28" s="1"/>
  <c r="AK80" i="28" s="1"/>
  <c r="AM81" i="28" s="1"/>
  <c r="Y77" i="28"/>
  <c r="AF77" i="28" l="1"/>
  <c r="M77" i="28" s="1"/>
  <c r="I75" i="28"/>
  <c r="P75" i="28" s="1"/>
  <c r="B75" i="28"/>
  <c r="E76" i="28" s="1"/>
  <c r="AB76" i="28"/>
  <c r="Z77" i="28"/>
  <c r="U78" i="28" s="1"/>
  <c r="AH78" i="28" l="1"/>
  <c r="AJ79" i="28" s="1"/>
  <c r="AL80" i="28" s="1"/>
  <c r="AN81" i="28" s="1"/>
  <c r="AO82" i="28" s="1"/>
  <c r="AP83" i="28" s="1"/>
  <c r="AQ84" i="28" s="1"/>
  <c r="AR85" i="28" s="1"/>
  <c r="R86" i="28" s="1"/>
  <c r="H77" i="28"/>
  <c r="T77" i="28" s="1"/>
  <c r="W78" i="28" s="1"/>
  <c r="Q75" i="28"/>
  <c r="O75" i="28" s="1"/>
  <c r="G76" i="28"/>
  <c r="F76" i="28"/>
  <c r="C75" i="28"/>
  <c r="X78" i="28"/>
  <c r="V79" i="28" s="1"/>
  <c r="AC77" i="28"/>
  <c r="AE78" i="28" s="1"/>
  <c r="AD77" i="28"/>
  <c r="D78" i="28" s="1"/>
  <c r="J75" i="28"/>
  <c r="N75" i="28"/>
  <c r="S75" i="28"/>
  <c r="L76" i="28" l="1"/>
  <c r="AA76" i="28"/>
  <c r="K76" i="28" s="1"/>
  <c r="AF78" i="28"/>
  <c r="M78" i="28" s="1"/>
  <c r="Y78" i="28"/>
  <c r="AG79" i="28"/>
  <c r="AI80" i="28" s="1"/>
  <c r="AK81" i="28" s="1"/>
  <c r="AM82" i="28" s="1"/>
  <c r="I76" i="28" l="1"/>
  <c r="P76" i="28" s="1"/>
  <c r="Q76" i="28" s="1"/>
  <c r="B76" i="28"/>
  <c r="E77" i="28" s="1"/>
  <c r="AB77" i="28"/>
  <c r="Z78" i="28"/>
  <c r="U79" i="28" s="1"/>
  <c r="H78" i="28"/>
  <c r="T78" i="28" s="1"/>
  <c r="W79" i="28" s="1"/>
  <c r="AH79" i="28"/>
  <c r="AJ80" i="28" s="1"/>
  <c r="AL81" i="28" s="1"/>
  <c r="AN82" i="28" s="1"/>
  <c r="AO83" i="28" s="1"/>
  <c r="AP84" i="28" s="1"/>
  <c r="AQ85" i="28" s="1"/>
  <c r="AR86" i="28" s="1"/>
  <c r="O76" i="28" l="1"/>
  <c r="G77" i="28"/>
  <c r="F77" i="28"/>
  <c r="C76" i="28"/>
  <c r="X79" i="28"/>
  <c r="AD78" i="28"/>
  <c r="D79" i="28" s="1"/>
  <c r="AC78" i="28"/>
  <c r="AE79" i="28" s="1"/>
  <c r="R87" i="28"/>
  <c r="J76" i="28"/>
  <c r="N76" i="28"/>
  <c r="S76" i="28"/>
  <c r="V80" i="28" l="1"/>
  <c r="L77" i="28"/>
  <c r="AA77" i="28"/>
  <c r="K77" i="28" s="1"/>
  <c r="AG80" i="28"/>
  <c r="AI81" i="28" s="1"/>
  <c r="AK82" i="28" s="1"/>
  <c r="AM83" i="28" s="1"/>
  <c r="Y79" i="28"/>
  <c r="AF79" i="28"/>
  <c r="M79" i="28" s="1"/>
  <c r="Z79" i="28" l="1"/>
  <c r="U80" i="28" s="1"/>
  <c r="H79" i="28"/>
  <c r="T79" i="28" s="1"/>
  <c r="W80" i="28" s="1"/>
  <c r="AH80" i="28"/>
  <c r="AJ81" i="28" s="1"/>
  <c r="AL82" i="28" s="1"/>
  <c r="AN83" i="28" s="1"/>
  <c r="I77" i="28"/>
  <c r="P77" i="28" s="1"/>
  <c r="Q77" i="28" s="1"/>
  <c r="B77" i="28"/>
  <c r="E78" i="28" s="1"/>
  <c r="AB78" i="28"/>
  <c r="O77" i="28" l="1"/>
  <c r="G78" i="28"/>
  <c r="F78" i="28"/>
  <c r="C77" i="28"/>
  <c r="X80" i="28"/>
  <c r="S77" i="28"/>
  <c r="AC79" i="28"/>
  <c r="AE80" i="28" s="1"/>
  <c r="AD79" i="28"/>
  <c r="D80" i="28" s="1"/>
  <c r="J77" i="28"/>
  <c r="N77" i="28"/>
  <c r="AO84" i="28"/>
  <c r="AP85" i="28" s="1"/>
  <c r="AQ86" i="28" s="1"/>
  <c r="AR87" i="28" s="1"/>
  <c r="V81" i="28" l="1"/>
  <c r="L78" i="28"/>
  <c r="R88" i="28"/>
  <c r="AF80" i="28"/>
  <c r="M80" i="28" s="1"/>
  <c r="AG81" i="28"/>
  <c r="AI82" i="28" s="1"/>
  <c r="AK83" i="28" s="1"/>
  <c r="AM84" i="28" s="1"/>
  <c r="Y80" i="28"/>
  <c r="AA78" i="28"/>
  <c r="K78" i="28" s="1"/>
  <c r="Z80" i="28" l="1"/>
  <c r="U81" i="28" s="1"/>
  <c r="H80" i="28"/>
  <c r="T80" i="28" s="1"/>
  <c r="W81" i="28" s="1"/>
  <c r="AH81" i="28"/>
  <c r="AJ82" i="28" s="1"/>
  <c r="AL83" i="28" s="1"/>
  <c r="AN84" i="28" s="1"/>
  <c r="I78" i="28"/>
  <c r="P78" i="28" s="1"/>
  <c r="Q78" i="28" s="1"/>
  <c r="B78" i="28"/>
  <c r="AB79" i="28"/>
  <c r="O78" i="28" l="1"/>
  <c r="E79" i="28"/>
  <c r="G79" i="28" s="1"/>
  <c r="F79" i="28"/>
  <c r="C78" i="28"/>
  <c r="X81" i="28"/>
  <c r="S78" i="28"/>
  <c r="J78" i="28"/>
  <c r="N78" i="28"/>
  <c r="AC80" i="28"/>
  <c r="AE81" i="28" s="1"/>
  <c r="AD80" i="28"/>
  <c r="D81" i="28" s="1"/>
  <c r="AO85" i="28"/>
  <c r="AP86" i="28" s="1"/>
  <c r="AQ87" i="28" s="1"/>
  <c r="AR88" i="28" s="1"/>
  <c r="V82" i="28" l="1"/>
  <c r="AA79" i="28"/>
  <c r="K79" i="28" s="1"/>
  <c r="R89" i="28"/>
  <c r="AF81" i="28"/>
  <c r="M81" i="28" s="1"/>
  <c r="Y81" i="28"/>
  <c r="AG82" i="28"/>
  <c r="AI83" i="28" s="1"/>
  <c r="AK84" i="28" s="1"/>
  <c r="AM85" i="28" s="1"/>
  <c r="L79" i="28" l="1"/>
  <c r="I79" i="28"/>
  <c r="P79" i="28" s="1"/>
  <c r="Q79" i="28" s="1"/>
  <c r="B79" i="28"/>
  <c r="AB80" i="28"/>
  <c r="Z81" i="28"/>
  <c r="U82" i="28" s="1"/>
  <c r="H81" i="28"/>
  <c r="T81" i="28" s="1"/>
  <c r="W82" i="28" s="1"/>
  <c r="AH82" i="28"/>
  <c r="AJ83" i="28" s="1"/>
  <c r="AL84" i="28" s="1"/>
  <c r="AN85" i="28" s="1"/>
  <c r="AO86" i="28" s="1"/>
  <c r="AP87" i="28" s="1"/>
  <c r="AQ88" i="28" s="1"/>
  <c r="AR89" i="28" s="1"/>
  <c r="E80" i="28" l="1"/>
  <c r="G80" i="28" s="1"/>
  <c r="O79" i="28"/>
  <c r="F80" i="28"/>
  <c r="C79" i="28"/>
  <c r="X82" i="28"/>
  <c r="AC81" i="28"/>
  <c r="AE82" i="28" s="1"/>
  <c r="AD81" i="28"/>
  <c r="D82" i="28" s="1"/>
  <c r="R90" i="28"/>
  <c r="J79" i="28"/>
  <c r="N79" i="28"/>
  <c r="S79" i="28"/>
  <c r="V83" i="28" l="1"/>
  <c r="L80" i="28"/>
  <c r="AF82" i="28"/>
  <c r="Y82" i="28"/>
  <c r="AG83" i="28"/>
  <c r="AI84" i="28" s="1"/>
  <c r="AK85" i="28" s="1"/>
  <c r="AM86" i="28" s="1"/>
  <c r="AA80" i="28"/>
  <c r="K80" i="28" s="1"/>
  <c r="Z82" i="28" l="1"/>
  <c r="U83" i="28" s="1"/>
  <c r="H82" i="28"/>
  <c r="T82" i="28" s="1"/>
  <c r="W83" i="28" s="1"/>
  <c r="AH83" i="28"/>
  <c r="AJ84" i="28" s="1"/>
  <c r="AL85" i="28" s="1"/>
  <c r="AN86" i="28" s="1"/>
  <c r="I80" i="28"/>
  <c r="P80" i="28" s="1"/>
  <c r="Q80" i="28" s="1"/>
  <c r="B80" i="28"/>
  <c r="AB81" i="28"/>
  <c r="M82" i="28"/>
  <c r="O80" i="28" l="1"/>
  <c r="E81" i="28"/>
  <c r="G81" i="28" s="1"/>
  <c r="C80" i="28"/>
  <c r="X83" i="28"/>
  <c r="J80" i="28"/>
  <c r="N80" i="28"/>
  <c r="S80" i="28"/>
  <c r="AC82" i="28"/>
  <c r="AE83" i="28" s="1"/>
  <c r="AD82" i="28"/>
  <c r="D83" i="28" s="1"/>
  <c r="AO87" i="28"/>
  <c r="AP88" i="28" s="1"/>
  <c r="AQ89" i="28" s="1"/>
  <c r="AR90" i="28" s="1"/>
  <c r="V84" i="28" l="1"/>
  <c r="F81" i="28"/>
  <c r="L81" i="28"/>
  <c r="R91" i="28"/>
  <c r="AA81" i="28"/>
  <c r="K81" i="28" s="1"/>
  <c r="AF83" i="28"/>
  <c r="M83" i="28" s="1"/>
  <c r="AG84" i="28"/>
  <c r="AI85" i="28" s="1"/>
  <c r="AK86" i="28" s="1"/>
  <c r="AM87" i="28" s="1"/>
  <c r="Y83" i="28"/>
  <c r="I81" i="28" l="1"/>
  <c r="P81" i="28" s="1"/>
  <c r="Q81" i="28" s="1"/>
  <c r="B81" i="28"/>
  <c r="AB82" i="28"/>
  <c r="Z83" i="28"/>
  <c r="U84" i="28" s="1"/>
  <c r="H83" i="28"/>
  <c r="T83" i="28" s="1"/>
  <c r="W84" i="28" s="1"/>
  <c r="AH84" i="28"/>
  <c r="AJ85" i="28" s="1"/>
  <c r="AL86" i="28" s="1"/>
  <c r="AN87" i="28" s="1"/>
  <c r="AO88" i="28" s="1"/>
  <c r="AP89" i="28" s="1"/>
  <c r="AQ90" i="28" s="1"/>
  <c r="AR91" i="28" s="1"/>
  <c r="O81" i="28" l="1"/>
  <c r="E82" i="28"/>
  <c r="G82" i="28" s="1"/>
  <c r="F82" i="28"/>
  <c r="C81" i="28"/>
  <c r="X84" i="28"/>
  <c r="R92" i="28"/>
  <c r="S81" i="28"/>
  <c r="AC83" i="28"/>
  <c r="AE84" i="28" s="1"/>
  <c r="AD83" i="28"/>
  <c r="D84" i="28" s="1"/>
  <c r="N81" i="28"/>
  <c r="J81" i="28"/>
  <c r="V85" i="28" l="1"/>
  <c r="L82" i="28"/>
  <c r="Y84" i="28"/>
  <c r="AG85" i="28"/>
  <c r="AI86" i="28" s="1"/>
  <c r="AK87" i="28" s="1"/>
  <c r="AM88" i="28" s="1"/>
  <c r="AA82" i="28"/>
  <c r="K82" i="28" s="1"/>
  <c r="AF84" i="28"/>
  <c r="I82" i="28" l="1"/>
  <c r="P82" i="28" s="1"/>
  <c r="B82" i="28"/>
  <c r="E83" i="28" s="1"/>
  <c r="AB83" i="28"/>
  <c r="Z84" i="28"/>
  <c r="U85" i="28" s="1"/>
  <c r="H84" i="28"/>
  <c r="T84" i="28" s="1"/>
  <c r="W85" i="28" s="1"/>
  <c r="AH85" i="28"/>
  <c r="AJ86" i="28" s="1"/>
  <c r="AL87" i="28" s="1"/>
  <c r="AN88" i="28" s="1"/>
  <c r="AO89" i="28" s="1"/>
  <c r="AP90" i="28" s="1"/>
  <c r="AQ91" i="28" s="1"/>
  <c r="AR92" i="28" s="1"/>
  <c r="M84" i="28"/>
  <c r="Q82" i="28" l="1"/>
  <c r="O82" i="28" s="1"/>
  <c r="G83" i="28"/>
  <c r="F83" i="28"/>
  <c r="C82" i="28"/>
  <c r="X85" i="28"/>
  <c r="R93" i="28"/>
  <c r="AC84" i="28"/>
  <c r="AE85" i="28" s="1"/>
  <c r="AD84" i="28"/>
  <c r="D85" i="28" s="1"/>
  <c r="S82" i="28"/>
  <c r="J82" i="28"/>
  <c r="N82" i="28"/>
  <c r="V86" i="28" l="1"/>
  <c r="L83" i="28"/>
  <c r="Y85" i="28"/>
  <c r="AG86" i="28"/>
  <c r="AI87" i="28" s="1"/>
  <c r="AK88" i="28" s="1"/>
  <c r="AM89" i="28" s="1"/>
  <c r="AA83" i="28"/>
  <c r="K83" i="28" s="1"/>
  <c r="AF85" i="28"/>
  <c r="I83" i="28" l="1"/>
  <c r="P83" i="28" s="1"/>
  <c r="B83" i="28"/>
  <c r="E84" i="28" s="1"/>
  <c r="AB84" i="28"/>
  <c r="Z85" i="28"/>
  <c r="U86" i="28" s="1"/>
  <c r="H85" i="28"/>
  <c r="T85" i="28" s="1"/>
  <c r="W86" i="28" s="1"/>
  <c r="AH86" i="28"/>
  <c r="AJ87" i="28" s="1"/>
  <c r="AL88" i="28" s="1"/>
  <c r="AN89" i="28" s="1"/>
  <c r="M85" i="28"/>
  <c r="Q83" i="28" l="1"/>
  <c r="O83" i="28" s="1"/>
  <c r="G84" i="28"/>
  <c r="F84" i="28"/>
  <c r="C83" i="28"/>
  <c r="X86" i="28"/>
  <c r="V87" i="28" s="1"/>
  <c r="J83" i="28"/>
  <c r="N83" i="28"/>
  <c r="AD85" i="28"/>
  <c r="D86" i="28" s="1"/>
  <c r="AC85" i="28"/>
  <c r="AE86" i="28" s="1"/>
  <c r="S83" i="28"/>
  <c r="AO90" i="28"/>
  <c r="AP91" i="28" s="1"/>
  <c r="AQ92" i="28" s="1"/>
  <c r="AR93" i="28" s="1"/>
  <c r="L84" i="28" l="1"/>
  <c r="R94" i="28"/>
  <c r="AA84" i="28"/>
  <c r="K84" i="28" s="1"/>
  <c r="AG87" i="28"/>
  <c r="AI88" i="28" s="1"/>
  <c r="AK89" i="28" s="1"/>
  <c r="AM90" i="28" s="1"/>
  <c r="Y86" i="28"/>
  <c r="AF86" i="28"/>
  <c r="M86" i="28" s="1"/>
  <c r="I84" i="28" l="1"/>
  <c r="P84" i="28" s="1"/>
  <c r="Q84" i="28" s="1"/>
  <c r="AB85" i="28"/>
  <c r="B84" i="28"/>
  <c r="Z86" i="28"/>
  <c r="U87" i="28" s="1"/>
  <c r="H86" i="28"/>
  <c r="T86" i="28" s="1"/>
  <c r="W87" i="28" s="1"/>
  <c r="AH87" i="28"/>
  <c r="AJ88" i="28" s="1"/>
  <c r="AL89" i="28" s="1"/>
  <c r="AN90" i="28" s="1"/>
  <c r="O84" i="28" l="1"/>
  <c r="E85" i="28"/>
  <c r="G85" i="28" s="1"/>
  <c r="F85" i="28"/>
  <c r="C84" i="28"/>
  <c r="X87" i="28"/>
  <c r="S84" i="28"/>
  <c r="AD86" i="28"/>
  <c r="D87" i="28" s="1"/>
  <c r="AC86" i="28"/>
  <c r="AE87" i="28" s="1"/>
  <c r="J84" i="28"/>
  <c r="N84" i="28"/>
  <c r="AO91" i="28"/>
  <c r="AP92" i="28" s="1"/>
  <c r="AQ93" i="28" s="1"/>
  <c r="AR94" i="28" s="1"/>
  <c r="V88" i="28" l="1"/>
  <c r="L85" i="28"/>
  <c r="AA85" i="28"/>
  <c r="K85" i="28" s="1"/>
  <c r="R95" i="28"/>
  <c r="Y87" i="28"/>
  <c r="AG88" i="28"/>
  <c r="AI89" i="28" s="1"/>
  <c r="AK90" i="28" s="1"/>
  <c r="AM91" i="28" s="1"/>
  <c r="AF87" i="28"/>
  <c r="Z87" i="28" l="1"/>
  <c r="H87" i="28"/>
  <c r="T87" i="28" s="1"/>
  <c r="W88" i="28" s="1"/>
  <c r="AH88" i="28"/>
  <c r="AJ89" i="28" s="1"/>
  <c r="AL90" i="28" s="1"/>
  <c r="AN91" i="28" s="1"/>
  <c r="AO92" i="28" s="1"/>
  <c r="AP93" i="28" s="1"/>
  <c r="AQ94" i="28" s="1"/>
  <c r="AR95" i="28" s="1"/>
  <c r="I85" i="28"/>
  <c r="P85" i="28" s="1"/>
  <c r="Q85" i="28" s="1"/>
  <c r="B85" i="28"/>
  <c r="E86" i="28" s="1"/>
  <c r="AB86" i="28"/>
  <c r="M87" i="28"/>
  <c r="U88" i="28"/>
  <c r="O85" i="28" l="1"/>
  <c r="G86" i="28"/>
  <c r="F86" i="28"/>
  <c r="C85" i="28"/>
  <c r="J85" i="28"/>
  <c r="N85" i="28"/>
  <c r="R96" i="28"/>
  <c r="S85" i="28"/>
  <c r="AC87" i="28"/>
  <c r="AE88" i="28" s="1"/>
  <c r="AD87" i="28"/>
  <c r="D88" i="28" s="1"/>
  <c r="X88" i="28"/>
  <c r="L86" i="28" l="1"/>
  <c r="V89" i="28"/>
  <c r="AA86" i="28"/>
  <c r="K86" i="28" s="1"/>
  <c r="AF88" i="28"/>
  <c r="M88" i="28" s="1"/>
  <c r="AG89" i="28"/>
  <c r="AI90" i="28" s="1"/>
  <c r="AK91" i="28" s="1"/>
  <c r="AM92" i="28" s="1"/>
  <c r="Y88" i="28"/>
  <c r="Z88" i="28" l="1"/>
  <c r="U89" i="28" s="1"/>
  <c r="H88" i="28"/>
  <c r="T88" i="28" s="1"/>
  <c r="W89" i="28" s="1"/>
  <c r="AH89" i="28"/>
  <c r="AJ90" i="28" s="1"/>
  <c r="AL91" i="28" s="1"/>
  <c r="AN92" i="28" s="1"/>
  <c r="AO93" i="28" s="1"/>
  <c r="AP94" i="28" s="1"/>
  <c r="AQ95" i="28" s="1"/>
  <c r="AR96" i="28" s="1"/>
  <c r="I86" i="28"/>
  <c r="P86" i="28" s="1"/>
  <c r="Q86" i="28" s="1"/>
  <c r="B86" i="28"/>
  <c r="AB87" i="28"/>
  <c r="O86" i="28" l="1"/>
  <c r="E87" i="28"/>
  <c r="G87" i="28" s="1"/>
  <c r="F87" i="28"/>
  <c r="C86" i="28"/>
  <c r="X89" i="28"/>
  <c r="R97" i="28"/>
  <c r="S86" i="28"/>
  <c r="N86" i="28"/>
  <c r="J86" i="28"/>
  <c r="AC88" i="28"/>
  <c r="AE89" i="28" s="1"/>
  <c r="AD88" i="28"/>
  <c r="D89" i="28" s="1"/>
  <c r="V90" i="28" l="1"/>
  <c r="L87" i="28"/>
  <c r="AF89" i="28"/>
  <c r="AA87" i="28"/>
  <c r="K87" i="28" s="1"/>
  <c r="AG90" i="28"/>
  <c r="AI91" i="28" s="1"/>
  <c r="AK92" i="28" s="1"/>
  <c r="AM93" i="28" s="1"/>
  <c r="Y89" i="28"/>
  <c r="I87" i="28" l="1"/>
  <c r="P87" i="28" s="1"/>
  <c r="Q87" i="28" s="1"/>
  <c r="B87" i="28"/>
  <c r="AB88" i="28"/>
  <c r="Z89" i="28"/>
  <c r="U90" i="28" s="1"/>
  <c r="H89" i="28"/>
  <c r="T89" i="28" s="1"/>
  <c r="W90" i="28" s="1"/>
  <c r="AH90" i="28"/>
  <c r="AJ91" i="28" s="1"/>
  <c r="AL92" i="28" s="1"/>
  <c r="AN93" i="28" s="1"/>
  <c r="M89" i="28"/>
  <c r="E88" i="28" l="1"/>
  <c r="G88" i="28" s="1"/>
  <c r="O87" i="28"/>
  <c r="F88" i="28"/>
  <c r="C87" i="28"/>
  <c r="X90" i="28"/>
  <c r="AC89" i="28"/>
  <c r="AE90" i="28" s="1"/>
  <c r="AD89" i="28"/>
  <c r="D90" i="28" s="1"/>
  <c r="S87" i="28"/>
  <c r="N87" i="28"/>
  <c r="J87" i="28"/>
  <c r="AO94" i="28"/>
  <c r="AP95" i="28" s="1"/>
  <c r="AQ96" i="28" s="1"/>
  <c r="AR97" i="28" s="1"/>
  <c r="V91" i="28" l="1"/>
  <c r="L88" i="28"/>
  <c r="R98" i="28"/>
  <c r="AF90" i="28"/>
  <c r="M90" i="28" s="1"/>
  <c r="AG91" i="28"/>
  <c r="AI92" i="28" s="1"/>
  <c r="AK93" i="28" s="1"/>
  <c r="AM94" i="28" s="1"/>
  <c r="Y90" i="28"/>
  <c r="AA88" i="28"/>
  <c r="K88" i="28" s="1"/>
  <c r="Z90" i="28" l="1"/>
  <c r="U91" i="28" s="1"/>
  <c r="H90" i="28"/>
  <c r="T90" i="28" s="1"/>
  <c r="W91" i="28" s="1"/>
  <c r="AH91" i="28"/>
  <c r="AJ92" i="28" s="1"/>
  <c r="AL93" i="28" s="1"/>
  <c r="AN94" i="28" s="1"/>
  <c r="I88" i="28"/>
  <c r="P88" i="28" s="1"/>
  <c r="Q88" i="28" s="1"/>
  <c r="B88" i="28"/>
  <c r="AB89" i="28"/>
  <c r="O88" i="28" l="1"/>
  <c r="E89" i="28"/>
  <c r="G89" i="28" s="1"/>
  <c r="C88" i="28"/>
  <c r="X91" i="28"/>
  <c r="N88" i="28"/>
  <c r="J88" i="28"/>
  <c r="S88" i="28"/>
  <c r="AC90" i="28"/>
  <c r="AE91" i="28" s="1"/>
  <c r="AD90" i="28"/>
  <c r="D91" i="28" s="1"/>
  <c r="AO95" i="28"/>
  <c r="AP96" i="28" s="1"/>
  <c r="AQ97" i="28" s="1"/>
  <c r="AR98" i="28" s="1"/>
  <c r="V92" i="28" l="1"/>
  <c r="F89" i="28"/>
  <c r="L89" i="28"/>
  <c r="AA89" i="28"/>
  <c r="K89" i="28" s="1"/>
  <c r="AF91" i="28"/>
  <c r="M91" i="28" s="1"/>
  <c r="R99" i="28"/>
  <c r="AG92" i="28"/>
  <c r="AI93" i="28" s="1"/>
  <c r="AK94" i="28" s="1"/>
  <c r="AM95" i="28" s="1"/>
  <c r="Y91" i="28"/>
  <c r="I89" i="28" l="1"/>
  <c r="P89" i="28" s="1"/>
  <c r="Q89" i="28" s="1"/>
  <c r="B89" i="28"/>
  <c r="AB90" i="28"/>
  <c r="Z91" i="28"/>
  <c r="U92" i="28" s="1"/>
  <c r="H91" i="28"/>
  <c r="T91" i="28" s="1"/>
  <c r="W92" i="28" s="1"/>
  <c r="AH92" i="28"/>
  <c r="AJ93" i="28" s="1"/>
  <c r="AL94" i="28" s="1"/>
  <c r="AN95" i="28" s="1"/>
  <c r="O89" i="28" l="1"/>
  <c r="E90" i="28"/>
  <c r="G90" i="28" s="1"/>
  <c r="F90" i="28"/>
  <c r="C89" i="28"/>
  <c r="X92" i="28"/>
  <c r="J89" i="28"/>
  <c r="N89" i="28"/>
  <c r="S89" i="28"/>
  <c r="AC91" i="28"/>
  <c r="AE92" i="28" s="1"/>
  <c r="AD91" i="28"/>
  <c r="D92" i="28" s="1"/>
  <c r="AO96" i="28"/>
  <c r="AP97" i="28" s="1"/>
  <c r="AQ98" i="28" s="1"/>
  <c r="AR99" i="28" s="1"/>
  <c r="V93" i="28" l="1"/>
  <c r="L90" i="28"/>
  <c r="AA90" i="28"/>
  <c r="K90" i="28" s="1"/>
  <c r="R100" i="28"/>
  <c r="AF92" i="28"/>
  <c r="M92" i="28" s="1"/>
  <c r="Y92" i="28"/>
  <c r="AG93" i="28"/>
  <c r="AI94" i="28" s="1"/>
  <c r="AK95" i="28" s="1"/>
  <c r="AM96" i="28" s="1"/>
  <c r="I90" i="28" l="1"/>
  <c r="P90" i="28" s="1"/>
  <c r="B90" i="28"/>
  <c r="E91" i="28" s="1"/>
  <c r="AB91" i="28"/>
  <c r="Z92" i="28"/>
  <c r="U93" i="28" s="1"/>
  <c r="H92" i="28"/>
  <c r="T92" i="28" s="1"/>
  <c r="W93" i="28" s="1"/>
  <c r="AH93" i="28"/>
  <c r="AJ94" i="28" s="1"/>
  <c r="AL95" i="28" s="1"/>
  <c r="AN96" i="28" s="1"/>
  <c r="Q90" i="28" l="1"/>
  <c r="O90" i="28" s="1"/>
  <c r="G91" i="28"/>
  <c r="F91" i="28"/>
  <c r="C90" i="28"/>
  <c r="X93" i="28"/>
  <c r="AC92" i="28"/>
  <c r="AE93" i="28" s="1"/>
  <c r="AD92" i="28"/>
  <c r="D93" i="28" s="1"/>
  <c r="S90" i="28"/>
  <c r="N90" i="28"/>
  <c r="J90" i="28"/>
  <c r="AO97" i="28"/>
  <c r="AP98" i="28" s="1"/>
  <c r="AQ99" i="28" s="1"/>
  <c r="AR100" i="28" s="1"/>
  <c r="V94" i="28" l="1"/>
  <c r="L91" i="28"/>
  <c r="AF93" i="28"/>
  <c r="M93" i="28" s="1"/>
  <c r="R101" i="28"/>
  <c r="AA91" i="28"/>
  <c r="K91" i="28" s="1"/>
  <c r="AG94" i="28"/>
  <c r="AI95" i="28" s="1"/>
  <c r="AK96" i="28" s="1"/>
  <c r="AM97" i="28" s="1"/>
  <c r="Y93" i="28"/>
  <c r="I91" i="28" l="1"/>
  <c r="P91" i="28" s="1"/>
  <c r="B91" i="28"/>
  <c r="E92" i="28" s="1"/>
  <c r="AB92" i="28"/>
  <c r="Z93" i="28"/>
  <c r="U94" i="28" s="1"/>
  <c r="H93" i="28"/>
  <c r="T93" i="28" s="1"/>
  <c r="W94" i="28" s="1"/>
  <c r="AH94" i="28"/>
  <c r="AJ95" i="28" s="1"/>
  <c r="AL96" i="28" s="1"/>
  <c r="AN97" i="28" s="1"/>
  <c r="Q91" i="28" l="1"/>
  <c r="O91" i="28" s="1"/>
  <c r="G92" i="28"/>
  <c r="F92" i="28"/>
  <c r="C91" i="28"/>
  <c r="X94" i="28"/>
  <c r="V95" i="28" s="1"/>
  <c r="AD93" i="28"/>
  <c r="D94" i="28" s="1"/>
  <c r="AC93" i="28"/>
  <c r="AE94" i="28" s="1"/>
  <c r="S91" i="28"/>
  <c r="J91" i="28"/>
  <c r="N91" i="28"/>
  <c r="AO98" i="28"/>
  <c r="AP99" i="28" s="1"/>
  <c r="AQ100" i="28" s="1"/>
  <c r="AR101" i="28" s="1"/>
  <c r="L92" i="28" l="1"/>
  <c r="AG95" i="28"/>
  <c r="AI96" i="28" s="1"/>
  <c r="AK97" i="28" s="1"/>
  <c r="AM98" i="28" s="1"/>
  <c r="Y94" i="28"/>
  <c r="R102" i="28"/>
  <c r="AA92" i="28"/>
  <c r="K92" i="28" s="1"/>
  <c r="AF94" i="28"/>
  <c r="I92" i="28" l="1"/>
  <c r="P92" i="28" s="1"/>
  <c r="Q92" i="28" s="1"/>
  <c r="B92" i="28"/>
  <c r="AB93" i="28"/>
  <c r="Z94" i="28"/>
  <c r="U95" i="28" s="1"/>
  <c r="H94" i="28"/>
  <c r="T94" i="28" s="1"/>
  <c r="W95" i="28" s="1"/>
  <c r="AH95" i="28"/>
  <c r="AJ96" i="28" s="1"/>
  <c r="AL97" i="28" s="1"/>
  <c r="AN98" i="28" s="1"/>
  <c r="M94" i="28"/>
  <c r="O92" i="28" l="1"/>
  <c r="E93" i="28"/>
  <c r="G93" i="28" s="1"/>
  <c r="F93" i="28"/>
  <c r="C92" i="28"/>
  <c r="X95" i="28"/>
  <c r="AC94" i="28"/>
  <c r="AE95" i="28" s="1"/>
  <c r="AD94" i="28"/>
  <c r="D95" i="28" s="1"/>
  <c r="S92" i="28"/>
  <c r="N92" i="28"/>
  <c r="J92" i="28"/>
  <c r="AO99" i="28"/>
  <c r="AP100" i="28" s="1"/>
  <c r="AQ101" i="28" s="1"/>
  <c r="AR102" i="28" s="1"/>
  <c r="V96" i="28" l="1"/>
  <c r="L93" i="28"/>
  <c r="AF95" i="28"/>
  <c r="M95" i="28" s="1"/>
  <c r="R103" i="28"/>
  <c r="AG96" i="28"/>
  <c r="AI97" i="28" s="1"/>
  <c r="AK98" i="28" s="1"/>
  <c r="AM99" i="28" s="1"/>
  <c r="Y95" i="28"/>
  <c r="AA93" i="28"/>
  <c r="K93" i="28" s="1"/>
  <c r="H95" i="28" l="1"/>
  <c r="T95" i="28" s="1"/>
  <c r="W96" i="28" s="1"/>
  <c r="Z95" i="28"/>
  <c r="U96" i="28" s="1"/>
  <c r="AH96" i="28"/>
  <c r="AJ97" i="28" s="1"/>
  <c r="AL98" i="28" s="1"/>
  <c r="AN99" i="28" s="1"/>
  <c r="AO100" i="28" s="1"/>
  <c r="AP101" i="28" s="1"/>
  <c r="AQ102" i="28" s="1"/>
  <c r="AR103" i="28" s="1"/>
  <c r="I93" i="28"/>
  <c r="P93" i="28" s="1"/>
  <c r="Q93" i="28" s="1"/>
  <c r="B93" i="28"/>
  <c r="E94" i="28" s="1"/>
  <c r="AB94" i="28"/>
  <c r="O93" i="28" l="1"/>
  <c r="G94" i="28"/>
  <c r="F94" i="28"/>
  <c r="C93" i="28"/>
  <c r="X96" i="28"/>
  <c r="J93" i="28"/>
  <c r="N93" i="28"/>
  <c r="S93" i="28"/>
  <c r="R104" i="28"/>
  <c r="D45" i="6"/>
  <c r="C46" i="6"/>
  <c r="E46" i="6"/>
  <c r="AC95" i="28"/>
  <c r="AE96" i="28" s="1"/>
  <c r="AD95" i="28"/>
  <c r="D96" i="28" s="1"/>
  <c r="V97" i="28" l="1"/>
  <c r="L94" i="28"/>
  <c r="F46" i="6"/>
  <c r="G46" i="6"/>
  <c r="AF96" i="28"/>
  <c r="M96" i="28" s="1"/>
  <c r="AG97" i="28"/>
  <c r="AI98" i="28" s="1"/>
  <c r="AK99" i="28" s="1"/>
  <c r="AM100" i="28" s="1"/>
  <c r="Y96" i="28"/>
  <c r="AA94" i="28" l="1"/>
  <c r="K94" i="28" s="1"/>
  <c r="H96" i="28"/>
  <c r="T96" i="28" s="1"/>
  <c r="W97" i="28" s="1"/>
  <c r="Z96" i="28"/>
  <c r="U97" i="28" s="1"/>
  <c r="AH97" i="28"/>
  <c r="AJ98" i="28" s="1"/>
  <c r="AL99" i="28" s="1"/>
  <c r="AN100" i="28" s="1"/>
  <c r="AO101" i="28" s="1"/>
  <c r="AP102" i="28" s="1"/>
  <c r="AQ103" i="28" s="1"/>
  <c r="AB95" i="28" l="1"/>
  <c r="B94" i="28"/>
  <c r="F95" i="28" s="1"/>
  <c r="I94" i="28"/>
  <c r="P94" i="28" s="1"/>
  <c r="Q94" i="28" s="1"/>
  <c r="X97" i="28"/>
  <c r="AD96" i="28"/>
  <c r="D97" i="28" s="1"/>
  <c r="AC96" i="28"/>
  <c r="AE97" i="28" s="1"/>
  <c r="AR104" i="28"/>
  <c r="D44" i="6"/>
  <c r="E45" i="6"/>
  <c r="C45" i="6"/>
  <c r="S94" i="28" l="1"/>
  <c r="N94" i="28"/>
  <c r="J94" i="28"/>
  <c r="V98" i="28"/>
  <c r="O94" i="28"/>
  <c r="E95" i="28"/>
  <c r="G95" i="28" s="1"/>
  <c r="L95" i="28" s="1"/>
  <c r="C94" i="28"/>
  <c r="G45" i="6"/>
  <c r="F45" i="6"/>
  <c r="AG98" i="28"/>
  <c r="AI99" i="28" s="1"/>
  <c r="AK100" i="28" s="1"/>
  <c r="AM101" i="28" s="1"/>
  <c r="Y97" i="28"/>
  <c r="AF97" i="28"/>
  <c r="R105" i="28"/>
  <c r="AA95" i="28" l="1"/>
  <c r="K95" i="28" s="1"/>
  <c r="Z97" i="28"/>
  <c r="U98" i="28" s="1"/>
  <c r="H97" i="28"/>
  <c r="T97" i="28" s="1"/>
  <c r="W98" i="28" s="1"/>
  <c r="AH98" i="28"/>
  <c r="AJ99" i="28" s="1"/>
  <c r="AL100" i="28" s="1"/>
  <c r="AN101" i="28" s="1"/>
  <c r="M97" i="28"/>
  <c r="B95" i="28" l="1"/>
  <c r="S95" i="28" s="1"/>
  <c r="AB96" i="28"/>
  <c r="AC97" i="28" s="1"/>
  <c r="AE98" i="28" s="1"/>
  <c r="I95" i="28"/>
  <c r="P95" i="28" s="1"/>
  <c r="Q95" i="28" s="1"/>
  <c r="X98" i="28"/>
  <c r="AO102" i="28"/>
  <c r="AP103" i="28" s="1"/>
  <c r="E96" i="28" l="1"/>
  <c r="G96" i="28" s="1"/>
  <c r="L96" i="28" s="1"/>
  <c r="O95" i="28"/>
  <c r="V99" i="28"/>
  <c r="J95" i="28"/>
  <c r="N95" i="28"/>
  <c r="C95" i="28"/>
  <c r="AD97" i="28"/>
  <c r="D98" i="28" s="1"/>
  <c r="F96" i="28"/>
  <c r="AQ104" i="28"/>
  <c r="AR105" i="28" s="1"/>
  <c r="C44" i="6"/>
  <c r="E44" i="6"/>
  <c r="Y98" i="28"/>
  <c r="AG99" i="28"/>
  <c r="AI100" i="28" s="1"/>
  <c r="AK101" i="28" s="1"/>
  <c r="AM102" i="28" s="1"/>
  <c r="AA96" i="28" l="1"/>
  <c r="K96" i="28" s="1"/>
  <c r="AF98" i="28"/>
  <c r="M98" i="28" s="1"/>
  <c r="R106" i="28"/>
  <c r="G44" i="6"/>
  <c r="F44" i="6"/>
  <c r="B96" i="28" l="1"/>
  <c r="E97" i="28" s="1"/>
  <c r="G97" i="28" s="1"/>
  <c r="AB97" i="28"/>
  <c r="AC98" i="28" s="1"/>
  <c r="AE99" i="28" s="1"/>
  <c r="I96" i="28"/>
  <c r="P96" i="28" s="1"/>
  <c r="Q96" i="28" s="1"/>
  <c r="Z98" i="28"/>
  <c r="U99" i="28" s="1"/>
  <c r="AH99" i="28"/>
  <c r="AJ100" i="28" s="1"/>
  <c r="AL101" i="28" s="1"/>
  <c r="AN102" i="28" s="1"/>
  <c r="AO103" i="28" s="1"/>
  <c r="H98" i="28"/>
  <c r="T98" i="28" s="1"/>
  <c r="W99" i="28" s="1"/>
  <c r="S96" i="28"/>
  <c r="N96" i="28" l="1"/>
  <c r="J96" i="28"/>
  <c r="AD98" i="28"/>
  <c r="D99" i="28" s="1"/>
  <c r="C96" i="28"/>
  <c r="O96" i="28"/>
  <c r="X99" i="28"/>
  <c r="V100" i="28" s="1"/>
  <c r="F97" i="28"/>
  <c r="L97" i="28"/>
  <c r="AP104" i="28"/>
  <c r="AQ105" i="28" s="1"/>
  <c r="AR106" i="28" s="1"/>
  <c r="C43" i="6"/>
  <c r="E43" i="6"/>
  <c r="D43" i="6"/>
  <c r="AG100" i="28"/>
  <c r="AI101" i="28" s="1"/>
  <c r="AK102" i="28" s="1"/>
  <c r="AM103" i="28" s="1"/>
  <c r="AF99" i="28" l="1"/>
  <c r="M99" i="28" s="1"/>
  <c r="Y99" i="28"/>
  <c r="AA97" i="28"/>
  <c r="K97" i="28" s="1"/>
  <c r="C41" i="6"/>
  <c r="D41" i="6"/>
  <c r="E41" i="6"/>
  <c r="Z99" i="28"/>
  <c r="U100" i="28" s="1"/>
  <c r="H99" i="28"/>
  <c r="T99" i="28" s="1"/>
  <c r="W100" i="28" s="1"/>
  <c r="AH100" i="28"/>
  <c r="AJ101" i="28" s="1"/>
  <c r="AL102" i="28" s="1"/>
  <c r="AN103" i="28" s="1"/>
  <c r="F43" i="6"/>
  <c r="G43" i="6"/>
  <c r="R107" i="28"/>
  <c r="B97" i="28" l="1"/>
  <c r="AB98" i="28"/>
  <c r="AD99" i="28" s="1"/>
  <c r="D100" i="28" s="1"/>
  <c r="I97" i="28"/>
  <c r="P97" i="28" s="1"/>
  <c r="Q97" i="28" s="1"/>
  <c r="X100" i="28"/>
  <c r="C42" i="6"/>
  <c r="D42" i="6"/>
  <c r="E42" i="6"/>
  <c r="F41" i="6"/>
  <c r="G41" i="6"/>
  <c r="AO104" i="28"/>
  <c r="AP105" i="28" s="1"/>
  <c r="AQ106" i="28" s="1"/>
  <c r="AR107" i="28" s="1"/>
  <c r="V101" i="28" l="1"/>
  <c r="O97" i="28"/>
  <c r="E98" i="28"/>
  <c r="G98" i="28" s="1"/>
  <c r="L98" i="28" s="1"/>
  <c r="AC99" i="28"/>
  <c r="AE100" i="28" s="1"/>
  <c r="AG101" i="28" s="1"/>
  <c r="AI102" i="28" s="1"/>
  <c r="AK103" i="28" s="1"/>
  <c r="S97" i="28"/>
  <c r="F98" i="28"/>
  <c r="J97" i="28"/>
  <c r="C97" i="28"/>
  <c r="N97" i="28"/>
  <c r="AF100" i="28"/>
  <c r="F42" i="6"/>
  <c r="G42" i="6"/>
  <c r="R108" i="28"/>
  <c r="AA98" i="28" l="1"/>
  <c r="K98" i="28" s="1"/>
  <c r="M100" i="28"/>
  <c r="Y100" i="28"/>
  <c r="Z100" i="28"/>
  <c r="H100" i="28"/>
  <c r="T100" i="28" s="1"/>
  <c r="W101" i="28" s="1"/>
  <c r="AH101" i="28"/>
  <c r="AJ102" i="28" s="1"/>
  <c r="AL103" i="28" s="1"/>
  <c r="AM104" i="28"/>
  <c r="C39" i="6"/>
  <c r="D39" i="6"/>
  <c r="E39" i="6"/>
  <c r="I98" i="28"/>
  <c r="P98" i="28" s="1"/>
  <c r="B98" i="28"/>
  <c r="E99" i="28" s="1"/>
  <c r="AB99" i="28"/>
  <c r="Q98" i="28" l="1"/>
  <c r="O98" i="28" s="1"/>
  <c r="U101" i="28"/>
  <c r="X101" i="28" s="1"/>
  <c r="G99" i="28"/>
  <c r="F99" i="28"/>
  <c r="C98" i="28"/>
  <c r="S98" i="28"/>
  <c r="G39" i="6"/>
  <c r="F39" i="6"/>
  <c r="AD100" i="28"/>
  <c r="D101" i="28" s="1"/>
  <c r="AC100" i="28"/>
  <c r="AE101" i="28" s="1"/>
  <c r="AN104" i="28"/>
  <c r="E40" i="6"/>
  <c r="D40" i="6"/>
  <c r="C40" i="6"/>
  <c r="N98" i="28"/>
  <c r="J98" i="28"/>
  <c r="V102" i="28" l="1"/>
  <c r="L99" i="28"/>
  <c r="F40" i="6"/>
  <c r="G40" i="6"/>
  <c r="Y101" i="28"/>
  <c r="AG102" i="28"/>
  <c r="AI103" i="28" s="1"/>
  <c r="AA99" i="28"/>
  <c r="K99" i="28" s="1"/>
  <c r="AO105" i="28"/>
  <c r="AP106" i="28" s="1"/>
  <c r="AQ107" i="28" s="1"/>
  <c r="AR108" i="28" s="1"/>
  <c r="AF101" i="28"/>
  <c r="Z101" i="28" l="1"/>
  <c r="U102" i="28" s="1"/>
  <c r="H101" i="28"/>
  <c r="T101" i="28" s="1"/>
  <c r="W102" i="28" s="1"/>
  <c r="AH102" i="28"/>
  <c r="AJ103" i="28" s="1"/>
  <c r="AK104" i="28"/>
  <c r="AM105" i="28" s="1"/>
  <c r="C37" i="6"/>
  <c r="D37" i="6"/>
  <c r="E37" i="6"/>
  <c r="I99" i="28"/>
  <c r="P99" i="28" s="1"/>
  <c r="B99" i="28"/>
  <c r="E100" i="28" s="1"/>
  <c r="AB100" i="28"/>
  <c r="R109" i="28"/>
  <c r="M101" i="28"/>
  <c r="Q99" i="28" l="1"/>
  <c r="O99" i="28" s="1"/>
  <c r="G100" i="28"/>
  <c r="F100" i="28"/>
  <c r="C99" i="28"/>
  <c r="X102" i="28"/>
  <c r="V103" i="28" s="1"/>
  <c r="AC101" i="28"/>
  <c r="AE102" i="28" s="1"/>
  <c r="AD101" i="28"/>
  <c r="D102" i="28" s="1"/>
  <c r="G37" i="6"/>
  <c r="F37" i="6"/>
  <c r="AL104" i="28"/>
  <c r="AN105" i="28" s="1"/>
  <c r="E38" i="6"/>
  <c r="C38" i="6"/>
  <c r="D38" i="6"/>
  <c r="S99" i="28"/>
  <c r="J99" i="28"/>
  <c r="N99" i="28"/>
  <c r="L100" i="28" l="1"/>
  <c r="AA100" i="28"/>
  <c r="K100" i="28" s="1"/>
  <c r="AF102" i="28"/>
  <c r="M102" i="28" s="1"/>
  <c r="G38" i="6"/>
  <c r="F38" i="6"/>
  <c r="AO106" i="28"/>
  <c r="AP107" i="28" s="1"/>
  <c r="AQ108" i="28" s="1"/>
  <c r="AR109" i="28" s="1"/>
  <c r="Y102" i="28"/>
  <c r="AG103" i="28"/>
  <c r="R110" i="28" l="1"/>
  <c r="I100" i="28"/>
  <c r="P100" i="28" s="1"/>
  <c r="Q100" i="28" s="1"/>
  <c r="B100" i="28"/>
  <c r="AB101" i="28"/>
  <c r="AI104" i="28"/>
  <c r="AK105" i="28" s="1"/>
  <c r="AM106" i="28" s="1"/>
  <c r="D35" i="6"/>
  <c r="C35" i="6"/>
  <c r="E35" i="6"/>
  <c r="Z102" i="28"/>
  <c r="U103" i="28" s="1"/>
  <c r="H102" i="28"/>
  <c r="T102" i="28" s="1"/>
  <c r="W103" i="28" s="1"/>
  <c r="AH103" i="28"/>
  <c r="O100" i="28" l="1"/>
  <c r="E101" i="28"/>
  <c r="G101" i="28" s="1"/>
  <c r="L16" i="6"/>
  <c r="F101" i="28"/>
  <c r="F21" i="1"/>
  <c r="C100" i="28"/>
  <c r="X103" i="28"/>
  <c r="AC102" i="28"/>
  <c r="AE103" i="28" s="1"/>
  <c r="AD102" i="28"/>
  <c r="D103" i="28" s="1"/>
  <c r="J100" i="28"/>
  <c r="N100" i="28"/>
  <c r="S100" i="28"/>
  <c r="F35" i="6"/>
  <c r="G35" i="6"/>
  <c r="AJ104" i="28"/>
  <c r="AL105" i="28" s="1"/>
  <c r="AN106" i="28" s="1"/>
  <c r="AO107" i="28" s="1"/>
  <c r="AP108" i="28" s="1"/>
  <c r="AQ109" i="28" s="1"/>
  <c r="AR110" i="28" s="1"/>
  <c r="C36" i="6"/>
  <c r="D36" i="6"/>
  <c r="E36" i="6"/>
  <c r="V104" i="28" l="1"/>
  <c r="F22" i="1"/>
  <c r="L17" i="6"/>
  <c r="L18" i="6" s="1"/>
  <c r="L101" i="28"/>
  <c r="R111" i="28"/>
  <c r="G36" i="6"/>
  <c r="F36" i="6"/>
  <c r="AF103" i="28"/>
  <c r="M103" i="28" s="1"/>
  <c r="AG104" i="28"/>
  <c r="AI105" i="28" s="1"/>
  <c r="AK106" i="28" s="1"/>
  <c r="AM107" i="28" s="1"/>
  <c r="Y103" i="28"/>
  <c r="E33" i="6"/>
  <c r="C33" i="6"/>
  <c r="D33" i="6"/>
  <c r="AA101" i="28"/>
  <c r="K101" i="28" s="1"/>
  <c r="I101" i="28" l="1"/>
  <c r="P101" i="28" s="1"/>
  <c r="Q101" i="28" s="1"/>
  <c r="B101" i="28"/>
  <c r="AB102" i="28"/>
  <c r="Z103" i="28"/>
  <c r="U104" i="28" s="1"/>
  <c r="H103" i="28"/>
  <c r="T103" i="28" s="1"/>
  <c r="W104" i="28" s="1"/>
  <c r="AH104" i="28"/>
  <c r="AJ105" i="28" s="1"/>
  <c r="AL106" i="28" s="1"/>
  <c r="AN107" i="28" s="1"/>
  <c r="D34" i="6"/>
  <c r="C34" i="6"/>
  <c r="E34" i="6"/>
  <c r="G33" i="6"/>
  <c r="F33" i="6"/>
  <c r="C19" i="6"/>
  <c r="E102" i="28" l="1"/>
  <c r="G102" i="28" s="1"/>
  <c r="O101" i="28"/>
  <c r="F102" i="28"/>
  <c r="C101" i="28"/>
  <c r="S101" i="28"/>
  <c r="X104" i="28"/>
  <c r="N101" i="28"/>
  <c r="J101" i="28"/>
  <c r="F34" i="6"/>
  <c r="C20" i="6"/>
  <c r="G34" i="6"/>
  <c r="AC103" i="28"/>
  <c r="AD103" i="28"/>
  <c r="D104" i="28" s="1"/>
  <c r="AO108" i="28"/>
  <c r="AP109" i="28" s="1"/>
  <c r="AQ110" i="28" s="1"/>
  <c r="AR111" i="28" s="1"/>
  <c r="L102" i="28" l="1"/>
  <c r="AF104" i="28"/>
  <c r="D32" i="6"/>
  <c r="C32" i="6"/>
  <c r="E32" i="6"/>
  <c r="R112" i="28"/>
  <c r="AE104" i="28"/>
  <c r="D31" i="6"/>
  <c r="E31" i="6"/>
  <c r="C31" i="6"/>
  <c r="V105" i="28"/>
  <c r="AA102" i="28"/>
  <c r="K102" i="28" s="1"/>
  <c r="M104" i="28" l="1"/>
  <c r="Y104" i="28"/>
  <c r="AG105" i="28"/>
  <c r="AI106" i="28" s="1"/>
  <c r="AK107" i="28" s="1"/>
  <c r="AM108" i="28" s="1"/>
  <c r="F32" i="6"/>
  <c r="G32" i="6"/>
  <c r="G31" i="6"/>
  <c r="F31" i="6"/>
  <c r="Z104" i="28"/>
  <c r="H104" i="28"/>
  <c r="T104" i="28" s="1"/>
  <c r="W105" i="28" s="1"/>
  <c r="AH105" i="28"/>
  <c r="AJ106" i="28" s="1"/>
  <c r="AL107" i="28" s="1"/>
  <c r="AN108" i="28" s="1"/>
  <c r="I102" i="28"/>
  <c r="P102" i="28" s="1"/>
  <c r="Q102" i="28" s="1"/>
  <c r="B102" i="28"/>
  <c r="AB103" i="28"/>
  <c r="O102" i="28" l="1"/>
  <c r="E103" i="28"/>
  <c r="G103" i="28" s="1"/>
  <c r="F103" i="28"/>
  <c r="C102" i="28"/>
  <c r="AO109" i="28"/>
  <c r="AP110" i="28" s="1"/>
  <c r="AQ111" i="28" s="1"/>
  <c r="AR112" i="28" s="1"/>
  <c r="R113" i="28" s="1"/>
  <c r="S102" i="28"/>
  <c r="N102" i="28"/>
  <c r="J102" i="28"/>
  <c r="U105" i="28"/>
  <c r="X105" i="28" s="1"/>
  <c r="AC104" i="28"/>
  <c r="AE105" i="28" s="1"/>
  <c r="AD104" i="28"/>
  <c r="D105" i="28" s="1"/>
  <c r="D30" i="6"/>
  <c r="C30" i="6"/>
  <c r="E30" i="6"/>
  <c r="L103" i="28" l="1"/>
  <c r="G30" i="6"/>
  <c r="F30" i="6"/>
  <c r="AA103" i="28"/>
  <c r="K103" i="28" s="1"/>
  <c r="AF105" i="28"/>
  <c r="AG106" i="28"/>
  <c r="AI107" i="28" s="1"/>
  <c r="AK108" i="28" s="1"/>
  <c r="AM109" i="28" s="1"/>
  <c r="Y105" i="28"/>
  <c r="V106" i="28"/>
  <c r="Z105" i="28" l="1"/>
  <c r="U106" i="28" s="1"/>
  <c r="H105" i="28"/>
  <c r="T105" i="28" s="1"/>
  <c r="W106" i="28" s="1"/>
  <c r="AH106" i="28"/>
  <c r="AJ107" i="28" s="1"/>
  <c r="AL108" i="28" s="1"/>
  <c r="AN109" i="28" s="1"/>
  <c r="AO110" i="28" s="1"/>
  <c r="AP111" i="28" s="1"/>
  <c r="AQ112" i="28" s="1"/>
  <c r="AR113" i="28" s="1"/>
  <c r="M105" i="28"/>
  <c r="I103" i="28"/>
  <c r="P103" i="28" s="1"/>
  <c r="Q103" i="28" s="1"/>
  <c r="B103" i="28"/>
  <c r="AB104" i="28"/>
  <c r="E29" i="6"/>
  <c r="C29" i="6"/>
  <c r="D29" i="6"/>
  <c r="E104" i="28" l="1"/>
  <c r="G104" i="28" s="1"/>
  <c r="O103" i="28"/>
  <c r="F104" i="28"/>
  <c r="C103" i="28"/>
  <c r="X106" i="28"/>
  <c r="R114" i="28"/>
  <c r="N103" i="28"/>
  <c r="J103" i="28"/>
  <c r="G29" i="6"/>
  <c r="F29" i="6"/>
  <c r="AD105" i="28"/>
  <c r="D106" i="28" s="1"/>
  <c r="AC105" i="28"/>
  <c r="AE106" i="28" s="1"/>
  <c r="B5" i="6"/>
  <c r="B4" i="6"/>
  <c r="B7" i="6"/>
  <c r="B3" i="6"/>
  <c r="S103" i="28"/>
  <c r="V107" i="28" l="1"/>
  <c r="L104" i="28"/>
  <c r="C3" i="6"/>
  <c r="E21" i="1"/>
  <c r="AG107" i="28"/>
  <c r="AI108" i="28" s="1"/>
  <c r="AK109" i="28" s="1"/>
  <c r="AM110" i="28" s="1"/>
  <c r="Y106" i="28"/>
  <c r="AF106" i="28"/>
  <c r="AA104" i="28" l="1"/>
  <c r="K104" i="28" s="1"/>
  <c r="B13" i="26"/>
  <c r="Z106" i="28"/>
  <c r="H106" i="28"/>
  <c r="T106" i="28" s="1"/>
  <c r="W107" i="28" s="1"/>
  <c r="AH107" i="28"/>
  <c r="AJ108" i="28" s="1"/>
  <c r="AL109" i="28" s="1"/>
  <c r="AN110" i="28" s="1"/>
  <c r="AO111" i="28" s="1"/>
  <c r="AP112" i="28" s="1"/>
  <c r="AQ113" i="28" s="1"/>
  <c r="AR114" i="28" s="1"/>
  <c r="U107" i="28"/>
  <c r="I104" i="28"/>
  <c r="P104" i="28" s="1"/>
  <c r="Q104" i="28" s="1"/>
  <c r="B104" i="28"/>
  <c r="AB105" i="28"/>
  <c r="B35" i="1"/>
  <c r="C1" i="14"/>
  <c r="B1" i="15"/>
  <c r="D2" i="9"/>
  <c r="E37" i="9" s="1"/>
  <c r="D1" i="24"/>
  <c r="M106" i="28"/>
  <c r="O104" i="28" l="1"/>
  <c r="E105" i="28"/>
  <c r="G105" i="28" s="1"/>
  <c r="C104" i="28"/>
  <c r="D13" i="26"/>
  <c r="H13" i="26" s="1"/>
  <c r="F13" i="26"/>
  <c r="X107" i="28"/>
  <c r="V108" i="28" s="1"/>
  <c r="AD106" i="28"/>
  <c r="D107" i="28" s="1"/>
  <c r="AC106" i="28"/>
  <c r="AE107" i="28" s="1"/>
  <c r="S104" i="28"/>
  <c r="B31" i="15"/>
  <c r="B33" i="15" s="1"/>
  <c r="B35" i="15" s="1"/>
  <c r="B13" i="15"/>
  <c r="R115" i="28"/>
  <c r="J104" i="28"/>
  <c r="N104" i="28"/>
  <c r="D23" i="24"/>
  <c r="E23" i="24" s="1"/>
  <c r="D17" i="24"/>
  <c r="E17" i="24" s="1"/>
  <c r="D21" i="24"/>
  <c r="E21" i="24" s="1"/>
  <c r="D20" i="24"/>
  <c r="E20" i="24" s="1"/>
  <c r="D19" i="24"/>
  <c r="E19" i="24" s="1"/>
  <c r="D18" i="24"/>
  <c r="E18" i="24" s="1"/>
  <c r="D26" i="24"/>
  <c r="D16" i="24"/>
  <c r="E16" i="24" s="1"/>
  <c r="D15" i="24"/>
  <c r="E15" i="24" s="1"/>
  <c r="D22" i="24"/>
  <c r="E22" i="24" s="1"/>
  <c r="D24" i="24"/>
  <c r="E24" i="24" s="1"/>
  <c r="D14" i="24"/>
  <c r="E14" i="24" s="1"/>
  <c r="G129" i="21"/>
  <c r="AA9" i="21"/>
  <c r="F62" i="21"/>
  <c r="D6" i="9"/>
  <c r="F117" i="21"/>
  <c r="AA126" i="21"/>
  <c r="AA4" i="21"/>
  <c r="F29" i="21"/>
  <c r="F91" i="21"/>
  <c r="F94" i="21"/>
  <c r="F70" i="21"/>
  <c r="F105" i="21"/>
  <c r="F34" i="21"/>
  <c r="F69" i="21"/>
  <c r="F109" i="21"/>
  <c r="F24" i="21"/>
  <c r="F23" i="21"/>
  <c r="F108" i="21"/>
  <c r="F59" i="21"/>
  <c r="F110" i="21"/>
  <c r="F58" i="21"/>
  <c r="F18" i="21"/>
  <c r="F103" i="21"/>
  <c r="F92" i="21"/>
  <c r="F14" i="21"/>
  <c r="F86" i="21"/>
  <c r="F35" i="21"/>
  <c r="F90" i="21"/>
  <c r="F33" i="21"/>
  <c r="F97" i="21"/>
  <c r="F98" i="21"/>
  <c r="F96" i="21"/>
  <c r="F25" i="21"/>
  <c r="E1" i="14"/>
  <c r="I10" i="14"/>
  <c r="I9" i="14"/>
  <c r="D23" i="18"/>
  <c r="G20" i="8" l="1"/>
  <c r="F105" i="28"/>
  <c r="L105" i="28"/>
  <c r="E26" i="24"/>
  <c r="F26" i="24"/>
  <c r="AA18" i="21"/>
  <c r="X18" i="21"/>
  <c r="AA94" i="21"/>
  <c r="X94" i="21"/>
  <c r="B37" i="15"/>
  <c r="F14" i="9"/>
  <c r="B41" i="15"/>
  <c r="AA23" i="21"/>
  <c r="X23" i="21"/>
  <c r="AA91" i="21"/>
  <c r="X91" i="21"/>
  <c r="X58" i="21"/>
  <c r="AA58" i="21"/>
  <c r="AA24" i="21"/>
  <c r="X24" i="21"/>
  <c r="AA29" i="21"/>
  <c r="X29" i="21"/>
  <c r="AA96" i="21"/>
  <c r="X96" i="21"/>
  <c r="E39" i="9"/>
  <c r="AA90" i="21"/>
  <c r="X90" i="21"/>
  <c r="AA35" i="21"/>
  <c r="X35" i="21"/>
  <c r="AA110" i="21"/>
  <c r="X110" i="21"/>
  <c r="X69" i="21"/>
  <c r="AA69" i="21"/>
  <c r="AA105" i="28"/>
  <c r="K105" i="28" s="1"/>
  <c r="AA109" i="21"/>
  <c r="X109" i="21"/>
  <c r="AA86" i="21"/>
  <c r="X86" i="21"/>
  <c r="AA59" i="21"/>
  <c r="X59" i="21"/>
  <c r="X34" i="21"/>
  <c r="AA34" i="21"/>
  <c r="AA117" i="21"/>
  <c r="X117" i="21"/>
  <c r="J10" i="14"/>
  <c r="H10" i="14"/>
  <c r="AA33" i="21"/>
  <c r="X33" i="21"/>
  <c r="E13" i="24"/>
  <c r="D9" i="24"/>
  <c r="X14" i="21"/>
  <c r="AA14" i="21"/>
  <c r="AA103" i="21"/>
  <c r="X103" i="21"/>
  <c r="X105" i="21"/>
  <c r="AA105" i="21"/>
  <c r="Y107" i="28"/>
  <c r="AG108" i="28"/>
  <c r="AI109" i="28" s="1"/>
  <c r="AK110" i="28" s="1"/>
  <c r="AM111" i="28" s="1"/>
  <c r="AA97" i="21"/>
  <c r="X97" i="21"/>
  <c r="AA25" i="21"/>
  <c r="X25" i="21"/>
  <c r="AA98" i="21"/>
  <c r="X98" i="21"/>
  <c r="J9" i="14"/>
  <c r="H9" i="14"/>
  <c r="AA92" i="21"/>
  <c r="X92" i="21"/>
  <c r="AA108" i="21"/>
  <c r="X108" i="21"/>
  <c r="AA70" i="21"/>
  <c r="X70" i="21"/>
  <c r="AA62" i="21"/>
  <c r="X62" i="21"/>
  <c r="B16" i="15"/>
  <c r="C16" i="15"/>
  <c r="D16" i="15"/>
  <c r="AF107" i="28"/>
  <c r="M107" i="28" s="1"/>
  <c r="G26" i="24" l="1"/>
  <c r="B43" i="15"/>
  <c r="B39" i="15"/>
  <c r="B38" i="15" s="1"/>
  <c r="B44" i="15"/>
  <c r="E14" i="9" s="1"/>
  <c r="Z92" i="21"/>
  <c r="AB92" i="21"/>
  <c r="AD92" i="21" s="1"/>
  <c r="Z69" i="21"/>
  <c r="AB69" i="21"/>
  <c r="AD69" i="21" s="1"/>
  <c r="Z58" i="21"/>
  <c r="AB58" i="21"/>
  <c r="AD58" i="21" s="1"/>
  <c r="Z94" i="21"/>
  <c r="AB94" i="21"/>
  <c r="AD94" i="21" s="1"/>
  <c r="Z117" i="21"/>
  <c r="AB117" i="21"/>
  <c r="AD117" i="21" s="1"/>
  <c r="B18" i="15"/>
  <c r="B15" i="15"/>
  <c r="AB33" i="21"/>
  <c r="AD33" i="21" s="1"/>
  <c r="Z33" i="21"/>
  <c r="AB59" i="21"/>
  <c r="AD59" i="21" s="1"/>
  <c r="Z59" i="21"/>
  <c r="Z96" i="21"/>
  <c r="AB96" i="21"/>
  <c r="AD96" i="21" s="1"/>
  <c r="Z91" i="21"/>
  <c r="AB91" i="21"/>
  <c r="AD91" i="21" s="1"/>
  <c r="AB109" i="21"/>
  <c r="AD109" i="21" s="1"/>
  <c r="Z109" i="21"/>
  <c r="Z110" i="21"/>
  <c r="AB110" i="21"/>
  <c r="AD110" i="21" s="1"/>
  <c r="Z70" i="21"/>
  <c r="AB70" i="21"/>
  <c r="AD70" i="21" s="1"/>
  <c r="Z25" i="21"/>
  <c r="AB25" i="21"/>
  <c r="AD25" i="21" s="1"/>
  <c r="Z105" i="21"/>
  <c r="AB105" i="21"/>
  <c r="AD105" i="21" s="1"/>
  <c r="Z35" i="21"/>
  <c r="AB35" i="21"/>
  <c r="AD35" i="21" s="1"/>
  <c r="AB18" i="21"/>
  <c r="AD18" i="21" s="1"/>
  <c r="Z18" i="21"/>
  <c r="Z24" i="21"/>
  <c r="AB24" i="21"/>
  <c r="AD24" i="21" s="1"/>
  <c r="C15" i="15"/>
  <c r="C18" i="15"/>
  <c r="Z107" i="28"/>
  <c r="U108" i="28" s="1"/>
  <c r="H107" i="28"/>
  <c r="T107" i="28" s="1"/>
  <c r="W108" i="28" s="1"/>
  <c r="AH108" i="28"/>
  <c r="AJ109" i="28" s="1"/>
  <c r="AL110" i="28" s="1"/>
  <c r="AN111" i="28" s="1"/>
  <c r="AO112" i="28" s="1"/>
  <c r="AP113" i="28" s="1"/>
  <c r="AQ114" i="28" s="1"/>
  <c r="AR115" i="28" s="1"/>
  <c r="Z103" i="21"/>
  <c r="AB103" i="21"/>
  <c r="AD103" i="21" s="1"/>
  <c r="Z86" i="21"/>
  <c r="AB86" i="21"/>
  <c r="AD86" i="21" s="1"/>
  <c r="Z29" i="21"/>
  <c r="AB29" i="21"/>
  <c r="AD29" i="21" s="1"/>
  <c r="Z23" i="21"/>
  <c r="AB23" i="21"/>
  <c r="AD23" i="21" s="1"/>
  <c r="D15" i="15"/>
  <c r="D18" i="15"/>
  <c r="Z62" i="21"/>
  <c r="AB62" i="21"/>
  <c r="AD62" i="21" s="1"/>
  <c r="Z98" i="21"/>
  <c r="AB98" i="21"/>
  <c r="AD98" i="21" s="1"/>
  <c r="AB34" i="21"/>
  <c r="AD34" i="21" s="1"/>
  <c r="Z34" i="21"/>
  <c r="Z108" i="21"/>
  <c r="AB108" i="21"/>
  <c r="AD108" i="21" s="1"/>
  <c r="Z97" i="21"/>
  <c r="AB97" i="21"/>
  <c r="AD97" i="21" s="1"/>
  <c r="I105" i="28"/>
  <c r="P105" i="28" s="1"/>
  <c r="Q105" i="28" s="1"/>
  <c r="B105" i="28"/>
  <c r="O105" i="28" s="1"/>
  <c r="AB106" i="28"/>
  <c r="Z90" i="21"/>
  <c r="AB90" i="21"/>
  <c r="AD90" i="21" s="1"/>
  <c r="E106" i="28" l="1"/>
  <c r="G106" i="28" s="1"/>
  <c r="F106" i="28"/>
  <c r="C105" i="28"/>
  <c r="X108" i="28"/>
  <c r="B25" i="15"/>
  <c r="B19" i="15"/>
  <c r="B48" i="15"/>
  <c r="B50" i="15" s="1"/>
  <c r="B52" i="15" s="1"/>
  <c r="C25" i="15"/>
  <c r="C26" i="15" s="1"/>
  <c r="C19" i="15"/>
  <c r="I18" i="8"/>
  <c r="C18" i="8" s="1"/>
  <c r="AC107" i="28"/>
  <c r="AE108" i="28" s="1"/>
  <c r="AD107" i="28"/>
  <c r="D108" i="28" s="1"/>
  <c r="D19" i="15"/>
  <c r="D25" i="15"/>
  <c r="D26" i="15" s="1"/>
  <c r="S105" i="28"/>
  <c r="J20" i="8"/>
  <c r="J105" i="28"/>
  <c r="N105" i="28"/>
  <c r="V109" i="28" l="1"/>
  <c r="I20" i="8"/>
  <c r="C10" i="8"/>
  <c r="L106" i="28"/>
  <c r="Y108" i="28"/>
  <c r="AG109" i="28"/>
  <c r="AI110" i="28" s="1"/>
  <c r="AK111" i="28" s="1"/>
  <c r="AM112" i="28" s="1"/>
  <c r="B20" i="15"/>
  <c r="F13" i="9"/>
  <c r="B22" i="15"/>
  <c r="AF108" i="28"/>
  <c r="H20" i="8"/>
  <c r="C19" i="8"/>
  <c r="C8" i="8" s="1"/>
  <c r="B26" i="15"/>
  <c r="B54" i="15"/>
  <c r="B58" i="15"/>
  <c r="AA106" i="28"/>
  <c r="K106" i="28" s="1"/>
  <c r="L44" i="8" l="1"/>
  <c r="N44" i="8"/>
  <c r="O45" i="8" s="1"/>
  <c r="P46" i="8" s="1"/>
  <c r="Q47" i="8" s="1"/>
  <c r="R48" i="8" s="1"/>
  <c r="G44" i="8"/>
  <c r="O44" i="8"/>
  <c r="P45" i="8" s="1"/>
  <c r="Q46" i="8" s="1"/>
  <c r="R47" i="8" s="1"/>
  <c r="Q44" i="8"/>
  <c r="P44" i="8"/>
  <c r="Q45" i="8" s="1"/>
  <c r="F12" i="9"/>
  <c r="C11" i="8"/>
  <c r="B59" i="15"/>
  <c r="B60" i="15" s="1"/>
  <c r="E15" i="9" s="1"/>
  <c r="B56" i="15"/>
  <c r="B55" i="15" s="1"/>
  <c r="X45" i="8"/>
  <c r="I106" i="28"/>
  <c r="P106" i="28" s="1"/>
  <c r="B106" i="28"/>
  <c r="E107" i="28" s="1"/>
  <c r="AB107" i="28"/>
  <c r="H108" i="28"/>
  <c r="T108" i="28" s="1"/>
  <c r="W109" i="28" s="1"/>
  <c r="Z108" i="28"/>
  <c r="U109" i="28" s="1"/>
  <c r="AH109" i="28"/>
  <c r="AJ110" i="28" s="1"/>
  <c r="AL111" i="28" s="1"/>
  <c r="AN112" i="28" s="1"/>
  <c r="Y45" i="8"/>
  <c r="B6" i="15"/>
  <c r="B8" i="15" s="1"/>
  <c r="B10" i="15" s="1"/>
  <c r="E11" i="9" s="1"/>
  <c r="B27" i="15"/>
  <c r="E13" i="9" s="1"/>
  <c r="E8" i="8"/>
  <c r="G123" i="21"/>
  <c r="G125" i="21" s="1"/>
  <c r="E12" i="9"/>
  <c r="M108" i="28"/>
  <c r="Q106" i="28" l="1"/>
  <c r="O106" i="28" s="1"/>
  <c r="B28" i="1"/>
  <c r="C14" i="8"/>
  <c r="E20" i="8" s="1"/>
  <c r="G107" i="28"/>
  <c r="F107" i="28"/>
  <c r="C106" i="28"/>
  <c r="X109" i="28"/>
  <c r="R45" i="8"/>
  <c r="N106" i="28"/>
  <c r="J106" i="28"/>
  <c r="R46" i="8"/>
  <c r="E16" i="9"/>
  <c r="AC108" i="28"/>
  <c r="AE109" i="28" s="1"/>
  <c r="AD108" i="28"/>
  <c r="D109" i="28" s="1"/>
  <c r="D44" i="8"/>
  <c r="W45" i="8" s="1"/>
  <c r="AO113" i="28"/>
  <c r="AP114" i="28" s="1"/>
  <c r="AQ115" i="28" s="1"/>
  <c r="S106" i="28"/>
  <c r="V110" i="28" l="1"/>
  <c r="J127" i="21"/>
  <c r="G127" i="21" s="1"/>
  <c r="L107" i="28"/>
  <c r="AF109" i="28"/>
  <c r="M109" i="28" s="1"/>
  <c r="Y109" i="28"/>
  <c r="AG110" i="28"/>
  <c r="AI111" i="28" s="1"/>
  <c r="AK112" i="28" s="1"/>
  <c r="AM113" i="28" s="1"/>
  <c r="AA107" i="28"/>
  <c r="K107" i="28" s="1"/>
  <c r="G106" i="21"/>
  <c r="G69" i="21"/>
  <c r="G80" i="21"/>
  <c r="G36" i="21"/>
  <c r="G24" i="21"/>
  <c r="G91" i="21"/>
  <c r="G23" i="21"/>
  <c r="G65" i="21"/>
  <c r="G47" i="21"/>
  <c r="G48" i="21"/>
  <c r="G30" i="21"/>
  <c r="G7" i="21"/>
  <c r="G43" i="21"/>
  <c r="G67" i="21"/>
  <c r="G66" i="21"/>
  <c r="G10" i="21"/>
  <c r="G108" i="21"/>
  <c r="G78" i="21"/>
  <c r="G75" i="21"/>
  <c r="G119" i="21"/>
  <c r="G51" i="21"/>
  <c r="G61" i="21"/>
  <c r="G5" i="21"/>
  <c r="G59" i="21"/>
  <c r="G62" i="21"/>
  <c r="G68" i="21"/>
  <c r="G96" i="21"/>
  <c r="G34" i="21"/>
  <c r="G81" i="21"/>
  <c r="G54" i="21"/>
  <c r="G50" i="21"/>
  <c r="G84" i="21"/>
  <c r="G103" i="21"/>
  <c r="G64" i="21"/>
  <c r="G94" i="21"/>
  <c r="G89" i="21"/>
  <c r="G117" i="21"/>
  <c r="G32" i="21"/>
  <c r="G17" i="21"/>
  <c r="G38" i="21"/>
  <c r="G90" i="21"/>
  <c r="G72" i="21"/>
  <c r="G109" i="21"/>
  <c r="G35" i="21"/>
  <c r="G49" i="21"/>
  <c r="G118" i="21"/>
  <c r="G74" i="21"/>
  <c r="G52" i="21"/>
  <c r="G92" i="21"/>
  <c r="G12" i="21"/>
  <c r="G63" i="21"/>
  <c r="G60" i="21"/>
  <c r="G40" i="21"/>
  <c r="G46" i="21"/>
  <c r="G25" i="21"/>
  <c r="G110" i="21"/>
  <c r="G93" i="21"/>
  <c r="G41" i="21"/>
  <c r="G77" i="21"/>
  <c r="G105" i="21"/>
  <c r="G33" i="21"/>
  <c r="G58" i="21"/>
  <c r="G27" i="21"/>
  <c r="G53" i="21"/>
  <c r="G6" i="21"/>
  <c r="G55" i="21"/>
  <c r="G56" i="21"/>
  <c r="G57" i="21"/>
  <c r="G107" i="21"/>
  <c r="G111" i="21"/>
  <c r="G71" i="21"/>
  <c r="G116" i="21"/>
  <c r="G18" i="21"/>
  <c r="G95" i="21"/>
  <c r="G70" i="21"/>
  <c r="G97" i="21"/>
  <c r="G73" i="21"/>
  <c r="G11" i="21"/>
  <c r="G26" i="21"/>
  <c r="G21" i="21"/>
  <c r="G37" i="21"/>
  <c r="G85" i="21"/>
  <c r="G42" i="21"/>
  <c r="G76" i="21"/>
  <c r="G22" i="21"/>
  <c r="G8" i="21"/>
  <c r="G86" i="21"/>
  <c r="G29" i="21"/>
  <c r="G79" i="21"/>
  <c r="G98" i="21"/>
  <c r="G112" i="21"/>
  <c r="G14" i="21"/>
  <c r="Y14" i="21" s="1"/>
  <c r="G104" i="21"/>
  <c r="Y104" i="21" s="1"/>
  <c r="G101" i="21"/>
  <c r="Y101" i="21" s="1"/>
  <c r="G28" i="21"/>
  <c r="Y28" i="21" s="1"/>
  <c r="G39" i="21"/>
  <c r="Y39" i="21" s="1"/>
  <c r="G31" i="21"/>
  <c r="Y31" i="21" s="1"/>
  <c r="G115" i="21"/>
  <c r="Y115" i="21" s="1"/>
  <c r="G9" i="21"/>
  <c r="Y9" i="21" s="1"/>
  <c r="G102" i="21"/>
  <c r="Y102" i="21" s="1"/>
  <c r="G4" i="21"/>
  <c r="F85" i="21"/>
  <c r="F6" i="21"/>
  <c r="F64" i="21"/>
  <c r="F38" i="21"/>
  <c r="F43" i="21"/>
  <c r="F107" i="21"/>
  <c r="F41" i="21"/>
  <c r="F52" i="21"/>
  <c r="F115" i="21"/>
  <c r="F7" i="21"/>
  <c r="F8" i="21"/>
  <c r="F89" i="21"/>
  <c r="F47" i="21"/>
  <c r="F60" i="21"/>
  <c r="F80" i="21"/>
  <c r="F78" i="21"/>
  <c r="F12" i="21"/>
  <c r="F119" i="21"/>
  <c r="F71" i="21"/>
  <c r="F37" i="21"/>
  <c r="F118" i="21"/>
  <c r="F21" i="21"/>
  <c r="F36" i="21"/>
  <c r="F10" i="21"/>
  <c r="F116" i="21"/>
  <c r="F51" i="21"/>
  <c r="F65" i="21"/>
  <c r="F75" i="21"/>
  <c r="F55" i="21"/>
  <c r="F46" i="21"/>
  <c r="F106" i="21"/>
  <c r="F84" i="21"/>
  <c r="F5" i="21"/>
  <c r="F26" i="21"/>
  <c r="F77" i="21"/>
  <c r="F61" i="21"/>
  <c r="F49" i="21"/>
  <c r="F76" i="21"/>
  <c r="F28" i="21"/>
  <c r="F66" i="21"/>
  <c r="F81" i="21"/>
  <c r="F11" i="21"/>
  <c r="F30" i="21"/>
  <c r="F54" i="21"/>
  <c r="F39" i="21"/>
  <c r="F101" i="21"/>
  <c r="F48" i="21"/>
  <c r="F63" i="21"/>
  <c r="F93" i="21"/>
  <c r="F102" i="21"/>
  <c r="F104" i="21"/>
  <c r="F17" i="21"/>
  <c r="F68" i="21"/>
  <c r="F31" i="21"/>
  <c r="F22" i="21"/>
  <c r="F53" i="21"/>
  <c r="F95" i="21"/>
  <c r="F112" i="21"/>
  <c r="F73" i="21"/>
  <c r="F42" i="21"/>
  <c r="F50" i="21"/>
  <c r="F40" i="21"/>
  <c r="F72" i="21"/>
  <c r="F74" i="21"/>
  <c r="F79" i="21"/>
  <c r="F57" i="21"/>
  <c r="F67" i="21"/>
  <c r="F32" i="21"/>
  <c r="F56" i="21"/>
  <c r="F27" i="21"/>
  <c r="F111" i="21"/>
  <c r="X46" i="8"/>
  <c r="D45" i="8"/>
  <c r="W46" i="8" s="1"/>
  <c r="B44" i="8"/>
  <c r="AA116" i="21" l="1"/>
  <c r="X116" i="21"/>
  <c r="AA115" i="21"/>
  <c r="X115" i="21"/>
  <c r="AA85" i="21"/>
  <c r="X85" i="21"/>
  <c r="AA53" i="21"/>
  <c r="X53" i="21"/>
  <c r="AA78" i="21"/>
  <c r="X78" i="21"/>
  <c r="E17" i="9"/>
  <c r="Y4" i="21"/>
  <c r="I107" i="28"/>
  <c r="P107" i="28" s="1"/>
  <c r="B107" i="28"/>
  <c r="E108" i="28" s="1"/>
  <c r="AB108" i="28"/>
  <c r="AA79" i="21"/>
  <c r="X79" i="21"/>
  <c r="AA74" i="21"/>
  <c r="X74" i="21"/>
  <c r="AA84" i="21"/>
  <c r="X84" i="21"/>
  <c r="X72" i="21"/>
  <c r="AA72" i="21"/>
  <c r="AA22" i="21"/>
  <c r="X22" i="21"/>
  <c r="AA48" i="21"/>
  <c r="X48" i="21"/>
  <c r="AA28" i="21"/>
  <c r="X28" i="21"/>
  <c r="AA106" i="21"/>
  <c r="X106" i="21"/>
  <c r="AA36" i="21"/>
  <c r="X36" i="21"/>
  <c r="X80" i="21"/>
  <c r="AA80" i="21"/>
  <c r="AA41" i="21"/>
  <c r="X41" i="21"/>
  <c r="AB14" i="21"/>
  <c r="AD14" i="21" s="1"/>
  <c r="Z14" i="21"/>
  <c r="AA5" i="21"/>
  <c r="X5" i="21"/>
  <c r="AA46" i="21"/>
  <c r="X46" i="21"/>
  <c r="AA81" i="21"/>
  <c r="X81" i="21"/>
  <c r="AA63" i="21"/>
  <c r="X63" i="21"/>
  <c r="AA52" i="21"/>
  <c r="X52" i="21"/>
  <c r="AA40" i="21"/>
  <c r="X40" i="21"/>
  <c r="Z9" i="21"/>
  <c r="AB9" i="21"/>
  <c r="AD9" i="21" s="1"/>
  <c r="X56" i="21"/>
  <c r="AA56" i="21"/>
  <c r="X39" i="21"/>
  <c r="AA39" i="21"/>
  <c r="AA49" i="21"/>
  <c r="X49" i="21"/>
  <c r="AA55" i="21"/>
  <c r="X55" i="21"/>
  <c r="AA118" i="21"/>
  <c r="X118" i="21"/>
  <c r="X47" i="21"/>
  <c r="AA47" i="21"/>
  <c r="AA43" i="21"/>
  <c r="X43" i="21"/>
  <c r="AA12" i="21"/>
  <c r="X12" i="21"/>
  <c r="AA10" i="21"/>
  <c r="X10" i="21"/>
  <c r="AA27" i="21"/>
  <c r="X27" i="21"/>
  <c r="AA76" i="21"/>
  <c r="X76" i="21"/>
  <c r="AA60" i="21"/>
  <c r="X60" i="21"/>
  <c r="AA68" i="21"/>
  <c r="X68" i="21"/>
  <c r="C44" i="8"/>
  <c r="L45" i="8" s="1"/>
  <c r="X32" i="21"/>
  <c r="AA32" i="21"/>
  <c r="AA42" i="21"/>
  <c r="X42" i="21"/>
  <c r="X17" i="21"/>
  <c r="AA17" i="21"/>
  <c r="AA54" i="21"/>
  <c r="X54" i="21"/>
  <c r="AA61" i="21"/>
  <c r="X61" i="21"/>
  <c r="AA75" i="21"/>
  <c r="X75" i="21"/>
  <c r="AA37" i="21"/>
  <c r="X37" i="21"/>
  <c r="AA89" i="21"/>
  <c r="X89" i="21"/>
  <c r="AA38" i="21"/>
  <c r="X38" i="21"/>
  <c r="AA95" i="21"/>
  <c r="X95" i="21"/>
  <c r="AA66" i="21"/>
  <c r="X66" i="21"/>
  <c r="AA111" i="21"/>
  <c r="X111" i="21"/>
  <c r="AA31" i="21"/>
  <c r="X31" i="21"/>
  <c r="AA21" i="21"/>
  <c r="X21" i="21"/>
  <c r="AA67" i="21"/>
  <c r="X67" i="21"/>
  <c r="AA73" i="21"/>
  <c r="X73" i="21"/>
  <c r="AA104" i="21"/>
  <c r="X104" i="21"/>
  <c r="AA30" i="21"/>
  <c r="X30" i="21"/>
  <c r="AA77" i="21"/>
  <c r="X77" i="21"/>
  <c r="AA65" i="21"/>
  <c r="X65" i="21"/>
  <c r="AA71" i="21"/>
  <c r="X71" i="21"/>
  <c r="AA8" i="21"/>
  <c r="X8" i="21"/>
  <c r="AA64" i="21"/>
  <c r="X64" i="21"/>
  <c r="Z109" i="28"/>
  <c r="U110" i="28" s="1"/>
  <c r="H109" i="28"/>
  <c r="T109" i="28" s="1"/>
  <c r="W110" i="28" s="1"/>
  <c r="AH110" i="28"/>
  <c r="AJ111" i="28" s="1"/>
  <c r="AL112" i="28" s="1"/>
  <c r="AN113" i="28" s="1"/>
  <c r="AA93" i="21"/>
  <c r="X93" i="21"/>
  <c r="AA101" i="21"/>
  <c r="X101" i="21"/>
  <c r="X107" i="21"/>
  <c r="AA107" i="21"/>
  <c r="AA50" i="21"/>
  <c r="X50" i="21"/>
  <c r="AA57" i="21"/>
  <c r="X57" i="21"/>
  <c r="AA112" i="21"/>
  <c r="X112" i="21"/>
  <c r="X102" i="21"/>
  <c r="AA102" i="21"/>
  <c r="AA11" i="21"/>
  <c r="X11" i="21"/>
  <c r="X26" i="21"/>
  <c r="AA26" i="21"/>
  <c r="AA51" i="21"/>
  <c r="X51" i="21"/>
  <c r="X119" i="21"/>
  <c r="AA119" i="21"/>
  <c r="AA7" i="21"/>
  <c r="X7" i="21"/>
  <c r="E38" i="9"/>
  <c r="B11" i="26" s="1"/>
  <c r="AA6" i="21"/>
  <c r="X6" i="21"/>
  <c r="Q107" i="28" l="1"/>
  <c r="O107" i="28" s="1"/>
  <c r="G108" i="28"/>
  <c r="F108" i="28"/>
  <c r="C107" i="28"/>
  <c r="X110" i="28"/>
  <c r="V111" i="28" s="1"/>
  <c r="Z119" i="21"/>
  <c r="AB119" i="21"/>
  <c r="AD119" i="21" s="1"/>
  <c r="AC109" i="28"/>
  <c r="AE110" i="28" s="1"/>
  <c r="AD109" i="28"/>
  <c r="D110" i="28" s="1"/>
  <c r="Z53" i="21"/>
  <c r="AB53" i="21"/>
  <c r="AD53" i="21" s="1"/>
  <c r="Z61" i="21"/>
  <c r="AB61" i="21"/>
  <c r="AD61" i="21" s="1"/>
  <c r="S107" i="28"/>
  <c r="Z12" i="21"/>
  <c r="AB12" i="21"/>
  <c r="AD12" i="21" s="1"/>
  <c r="Z106" i="21"/>
  <c r="AB106" i="21"/>
  <c r="AD106" i="21" s="1"/>
  <c r="AB65" i="21"/>
  <c r="AD65" i="21" s="1"/>
  <c r="Z65" i="21"/>
  <c r="AB32" i="21"/>
  <c r="AD32" i="21" s="1"/>
  <c r="Z32" i="21"/>
  <c r="Z41" i="21"/>
  <c r="AB41" i="21"/>
  <c r="AD41" i="21" s="1"/>
  <c r="AB28" i="21"/>
  <c r="AD28" i="21" s="1"/>
  <c r="Z28" i="21"/>
  <c r="AB84" i="21"/>
  <c r="AD84" i="21" s="1"/>
  <c r="Z84" i="21"/>
  <c r="N107" i="28"/>
  <c r="J107" i="28"/>
  <c r="Z85" i="21"/>
  <c r="AB85" i="21"/>
  <c r="AD85" i="21" s="1"/>
  <c r="Z43" i="21"/>
  <c r="AB43" i="21"/>
  <c r="AD43" i="21" s="1"/>
  <c r="Z49" i="21"/>
  <c r="AB49" i="21"/>
  <c r="AD49" i="21" s="1"/>
  <c r="Z40" i="21"/>
  <c r="AB40" i="21"/>
  <c r="AD40" i="21" s="1"/>
  <c r="AO114" i="28"/>
  <c r="AP115" i="28" s="1"/>
  <c r="Z102" i="21"/>
  <c r="AB102" i="21"/>
  <c r="AD102" i="21" s="1"/>
  <c r="Z72" i="21"/>
  <c r="AB72" i="21"/>
  <c r="AD72" i="21" s="1"/>
  <c r="AB76" i="21"/>
  <c r="AD76" i="21" s="1"/>
  <c r="Z76" i="21"/>
  <c r="Z67" i="21"/>
  <c r="AB67" i="21"/>
  <c r="AD67" i="21" s="1"/>
  <c r="Z89" i="21"/>
  <c r="AB89" i="21"/>
  <c r="AD89" i="21" s="1"/>
  <c r="G45" i="8"/>
  <c r="N45" i="8"/>
  <c r="AB27" i="21"/>
  <c r="AD27" i="21" s="1"/>
  <c r="Z27" i="21"/>
  <c r="Z46" i="21"/>
  <c r="AB46" i="21"/>
  <c r="AD46" i="21" s="1"/>
  <c r="Z48" i="21"/>
  <c r="AB48" i="21"/>
  <c r="AD48" i="21" s="1"/>
  <c r="Z74" i="21"/>
  <c r="AB74" i="21"/>
  <c r="AD74" i="21" s="1"/>
  <c r="C44" i="9"/>
  <c r="Z4" i="21"/>
  <c r="AB4" i="21"/>
  <c r="AD4" i="21" s="1"/>
  <c r="Z115" i="21"/>
  <c r="AB115" i="21"/>
  <c r="AD115" i="21" s="1"/>
  <c r="AB112" i="21"/>
  <c r="AD112" i="21" s="1"/>
  <c r="Z112" i="21"/>
  <c r="Z31" i="21"/>
  <c r="AB31" i="21"/>
  <c r="AD31" i="21" s="1"/>
  <c r="Z55" i="21"/>
  <c r="AB55" i="21"/>
  <c r="AD55" i="21" s="1"/>
  <c r="Z81" i="21"/>
  <c r="AB81" i="21"/>
  <c r="AD81" i="21" s="1"/>
  <c r="E40" i="9"/>
  <c r="B34" i="1" s="1"/>
  <c r="Z11" i="21"/>
  <c r="AB11" i="21"/>
  <c r="AD11" i="21" s="1"/>
  <c r="AB8" i="21"/>
  <c r="AD8" i="21" s="1"/>
  <c r="Z8" i="21"/>
  <c r="Z66" i="21"/>
  <c r="AB66" i="21"/>
  <c r="AD66" i="21" s="1"/>
  <c r="Z52" i="21"/>
  <c r="AB52" i="21"/>
  <c r="AD52" i="21" s="1"/>
  <c r="Z80" i="21"/>
  <c r="AB80" i="21"/>
  <c r="AD80" i="21" s="1"/>
  <c r="Z60" i="21"/>
  <c r="AB60" i="21"/>
  <c r="AD60" i="21" s="1"/>
  <c r="Z107" i="21"/>
  <c r="AB107" i="21"/>
  <c r="AD107" i="21" s="1"/>
  <c r="Z38" i="21"/>
  <c r="AB38" i="21"/>
  <c r="AD38" i="21" s="1"/>
  <c r="Z6" i="21"/>
  <c r="AB6" i="21"/>
  <c r="AD6" i="21" s="1"/>
  <c r="AB101" i="21"/>
  <c r="AD101" i="21" s="1"/>
  <c r="Z101" i="21"/>
  <c r="Z64" i="21"/>
  <c r="AB64" i="21"/>
  <c r="AD64" i="21" s="1"/>
  <c r="AB111" i="21"/>
  <c r="AD111" i="21" s="1"/>
  <c r="Z111" i="21"/>
  <c r="Z30" i="21"/>
  <c r="AB30" i="21"/>
  <c r="AD30" i="21" s="1"/>
  <c r="Z37" i="21"/>
  <c r="AB37" i="21"/>
  <c r="AD37" i="21" s="1"/>
  <c r="Z50" i="21"/>
  <c r="AB50" i="21"/>
  <c r="AD50" i="21" s="1"/>
  <c r="Z93" i="21"/>
  <c r="AB93" i="21"/>
  <c r="AD93" i="21" s="1"/>
  <c r="AB17" i="21"/>
  <c r="AD17" i="21" s="1"/>
  <c r="Z17" i="21"/>
  <c r="AB68" i="21"/>
  <c r="AD68" i="21" s="1"/>
  <c r="Z68" i="21"/>
  <c r="Z10" i="21"/>
  <c r="AB10" i="21"/>
  <c r="AD10" i="21" s="1"/>
  <c r="Z47" i="21"/>
  <c r="AB47" i="21"/>
  <c r="AD47" i="21" s="1"/>
  <c r="Z39" i="21"/>
  <c r="AB39" i="21"/>
  <c r="AD39" i="21" s="1"/>
  <c r="AB5" i="21"/>
  <c r="AD5" i="21" s="1"/>
  <c r="Z5" i="21"/>
  <c r="C43" i="9"/>
  <c r="Z36" i="21"/>
  <c r="AB36" i="21"/>
  <c r="AD36" i="21" s="1"/>
  <c r="Z22" i="21"/>
  <c r="AB22" i="21"/>
  <c r="AD22" i="21" s="1"/>
  <c r="AB79" i="21"/>
  <c r="AD79" i="21" s="1"/>
  <c r="Z79" i="21"/>
  <c r="AB78" i="21"/>
  <c r="AD78" i="21" s="1"/>
  <c r="Z78" i="21"/>
  <c r="Z116" i="21"/>
  <c r="AB116" i="21"/>
  <c r="AD116" i="21" s="1"/>
  <c r="Z56" i="21"/>
  <c r="AB56" i="21"/>
  <c r="AD56" i="21" s="1"/>
  <c r="Z51" i="21"/>
  <c r="AB51" i="21"/>
  <c r="AD51" i="21" s="1"/>
  <c r="Z73" i="21"/>
  <c r="AB73" i="21"/>
  <c r="AD73" i="21" s="1"/>
  <c r="Z57" i="21"/>
  <c r="AB57" i="21"/>
  <c r="AD57" i="21" s="1"/>
  <c r="Z77" i="21"/>
  <c r="AB77" i="21"/>
  <c r="AD77" i="21" s="1"/>
  <c r="Z54" i="21"/>
  <c r="AB54" i="21"/>
  <c r="AD54" i="21" s="1"/>
  <c r="AB26" i="21"/>
  <c r="AD26" i="21" s="1"/>
  <c r="Z26" i="21"/>
  <c r="Z7" i="21"/>
  <c r="AB7" i="21"/>
  <c r="AD7" i="21" s="1"/>
  <c r="X47" i="8"/>
  <c r="Z71" i="21"/>
  <c r="AB71" i="21"/>
  <c r="AD71" i="21" s="1"/>
  <c r="AB104" i="21"/>
  <c r="AD104" i="21" s="1"/>
  <c r="Z104" i="21"/>
  <c r="Z21" i="21"/>
  <c r="AB21" i="21"/>
  <c r="AD21" i="21" s="1"/>
  <c r="Z95" i="21"/>
  <c r="AB95" i="21"/>
  <c r="AD95" i="21" s="1"/>
  <c r="Z75" i="21"/>
  <c r="AB75" i="21"/>
  <c r="AD75" i="21" s="1"/>
  <c r="Z42" i="21"/>
  <c r="AB42" i="21"/>
  <c r="AD42" i="21" s="1"/>
  <c r="Z118" i="21"/>
  <c r="AB118" i="21"/>
  <c r="AD118" i="21" s="1"/>
  <c r="Z63" i="21"/>
  <c r="AB63" i="21"/>
  <c r="AD63" i="21" s="1"/>
  <c r="M45" i="8" l="1"/>
  <c r="Z46" i="8"/>
  <c r="Y46" i="8"/>
  <c r="L108" i="28"/>
  <c r="C45" i="9"/>
  <c r="D45" i="9" s="1"/>
  <c r="D22" i="18"/>
  <c r="AC46" i="8"/>
  <c r="AD46" i="8"/>
  <c r="AE46" i="8"/>
  <c r="AA46" i="8"/>
  <c r="AB46" i="8"/>
  <c r="AF110" i="28"/>
  <c r="M110" i="28" s="1"/>
  <c r="F11" i="26"/>
  <c r="D11" i="26"/>
  <c r="AG111" i="28"/>
  <c r="AI112" i="28" s="1"/>
  <c r="AK113" i="28" s="1"/>
  <c r="AM114" i="28" s="1"/>
  <c r="Y110" i="28"/>
  <c r="V45" i="8"/>
  <c r="U45" i="8"/>
  <c r="S45" i="8"/>
  <c r="T45" i="8"/>
  <c r="AA108" i="28"/>
  <c r="K108" i="28" s="1"/>
  <c r="B12" i="26"/>
  <c r="C15" i="13"/>
  <c r="C47" i="9"/>
  <c r="O46" i="8"/>
  <c r="P47" i="8" s="1"/>
  <c r="H45" i="8" l="1"/>
  <c r="I45" i="8" s="1"/>
  <c r="J45" i="8" s="1"/>
  <c r="B45" i="8"/>
  <c r="H11" i="26"/>
  <c r="D7" i="9"/>
  <c r="D8" i="9" s="1"/>
  <c r="B29" i="1"/>
  <c r="B31" i="1" s="1"/>
  <c r="I108" i="28"/>
  <c r="P108" i="28" s="1"/>
  <c r="Q108" i="28" s="1"/>
  <c r="B108" i="28"/>
  <c r="AB109" i="28"/>
  <c r="C45" i="8"/>
  <c r="B55" i="1"/>
  <c r="B54" i="1"/>
  <c r="Z110" i="28"/>
  <c r="U111" i="28" s="1"/>
  <c r="H110" i="28"/>
  <c r="T110" i="28" s="1"/>
  <c r="W111" i="28" s="1"/>
  <c r="AH111" i="28"/>
  <c r="AJ112" i="28" s="1"/>
  <c r="AL113" i="28" s="1"/>
  <c r="AN114" i="28" s="1"/>
  <c r="AO115" i="28" s="1"/>
  <c r="D46" i="8"/>
  <c r="W47" i="8" s="1"/>
  <c r="C17" i="13"/>
  <c r="C16" i="13"/>
  <c r="F12" i="26"/>
  <c r="D12" i="26"/>
  <c r="H12" i="26" s="1"/>
  <c r="Q48" i="8"/>
  <c r="R49" i="8" s="1"/>
  <c r="O108" i="28" l="1"/>
  <c r="E109" i="28"/>
  <c r="G109" i="28" s="1"/>
  <c r="D21" i="18"/>
  <c r="F109" i="28"/>
  <c r="C108" i="28"/>
  <c r="X111" i="28"/>
  <c r="N108" i="28"/>
  <c r="J108" i="28"/>
  <c r="S108" i="28"/>
  <c r="AD110" i="28"/>
  <c r="D111" i="28" s="1"/>
  <c r="AC110" i="28"/>
  <c r="AE111" i="28" s="1"/>
  <c r="B75" i="1"/>
  <c r="G46" i="8"/>
  <c r="K45" i="8"/>
  <c r="L46" i="8"/>
  <c r="N46" i="8"/>
  <c r="E45" i="8"/>
  <c r="F46" i="8" s="1"/>
  <c r="V112" i="28" l="1"/>
  <c r="M46" i="8"/>
  <c r="L109" i="28"/>
  <c r="Y47" i="8"/>
  <c r="AC47" i="8"/>
  <c r="AA47" i="8"/>
  <c r="AB47" i="8"/>
  <c r="AE47" i="8"/>
  <c r="AD47" i="8"/>
  <c r="Z47" i="8"/>
  <c r="X48" i="8"/>
  <c r="O47" i="8"/>
  <c r="P48" i="8" s="1"/>
  <c r="Y111" i="28"/>
  <c r="AG112" i="28"/>
  <c r="AI113" i="28" s="1"/>
  <c r="AK114" i="28" s="1"/>
  <c r="AM115" i="28" s="1"/>
  <c r="AF111" i="28"/>
  <c r="M111" i="28" s="1"/>
  <c r="AA109" i="28"/>
  <c r="K109" i="28" s="1"/>
  <c r="S46" i="8"/>
  <c r="V46" i="8"/>
  <c r="U46" i="8"/>
  <c r="T46" i="8"/>
  <c r="H46" i="8" l="1"/>
  <c r="I46" i="8" s="1"/>
  <c r="J46" i="8" s="1"/>
  <c r="D47" i="8"/>
  <c r="W48" i="8" s="1"/>
  <c r="C46" i="8"/>
  <c r="B46" i="8"/>
  <c r="Q49" i="8"/>
  <c r="R50" i="8" s="1"/>
  <c r="I109" i="28"/>
  <c r="P109" i="28" s="1"/>
  <c r="Q109" i="28" s="1"/>
  <c r="AB110" i="28"/>
  <c r="B109" i="28"/>
  <c r="E110" i="28" s="1"/>
  <c r="AH112" i="28"/>
  <c r="AJ113" i="28" s="1"/>
  <c r="AL114" i="28" s="1"/>
  <c r="AN115" i="28" s="1"/>
  <c r="Z111" i="28"/>
  <c r="U112" i="28" s="1"/>
  <c r="H111" i="28"/>
  <c r="T111" i="28" s="1"/>
  <c r="W112" i="28" s="1"/>
  <c r="O109" i="28" l="1"/>
  <c r="G110" i="28"/>
  <c r="F110" i="28"/>
  <c r="C109" i="28"/>
  <c r="X112" i="28"/>
  <c r="S109" i="28"/>
  <c r="X49" i="8"/>
  <c r="AD111" i="28"/>
  <c r="D112" i="28" s="1"/>
  <c r="AC111" i="28"/>
  <c r="AE112" i="28" s="1"/>
  <c r="N109" i="28"/>
  <c r="J109" i="28"/>
  <c r="G47" i="8"/>
  <c r="K46" i="8"/>
  <c r="L47" i="8"/>
  <c r="N47" i="8"/>
  <c r="E46" i="8"/>
  <c r="F47" i="8" s="1"/>
  <c r="V113" i="28" l="1"/>
  <c r="M47" i="8"/>
  <c r="L110" i="28"/>
  <c r="O48" i="8"/>
  <c r="P49" i="8" s="1"/>
  <c r="Y112" i="28"/>
  <c r="AG113" i="28"/>
  <c r="AI114" i="28" s="1"/>
  <c r="AK115" i="28" s="1"/>
  <c r="AA110" i="28"/>
  <c r="K110" i="28" s="1"/>
  <c r="S47" i="8"/>
  <c r="V47" i="8"/>
  <c r="T47" i="8"/>
  <c r="U47" i="8"/>
  <c r="Y48" i="8"/>
  <c r="Z48" i="8"/>
  <c r="AE48" i="8"/>
  <c r="AB48" i="8"/>
  <c r="AC48" i="8"/>
  <c r="AA48" i="8"/>
  <c r="AD48" i="8"/>
  <c r="AF112" i="28"/>
  <c r="H47" i="8" l="1"/>
  <c r="D48" i="8"/>
  <c r="W49" i="8" s="1"/>
  <c r="Z112" i="28"/>
  <c r="U113" i="28" s="1"/>
  <c r="H112" i="28"/>
  <c r="T112" i="28" s="1"/>
  <c r="W113" i="28" s="1"/>
  <c r="AH113" i="28"/>
  <c r="AJ114" i="28" s="1"/>
  <c r="AL115" i="28" s="1"/>
  <c r="M112" i="28"/>
  <c r="I110" i="28"/>
  <c r="P110" i="28" s="1"/>
  <c r="Q110" i="28" s="1"/>
  <c r="AB111" i="28"/>
  <c r="B110" i="28"/>
  <c r="B47" i="8"/>
  <c r="C47" i="8"/>
  <c r="I47" i="8"/>
  <c r="J47" i="8" s="1"/>
  <c r="Q50" i="8"/>
  <c r="R51" i="8" s="1"/>
  <c r="O110" i="28" l="1"/>
  <c r="E111" i="28"/>
  <c r="G111" i="28" s="1"/>
  <c r="F111" i="28"/>
  <c r="C110" i="28"/>
  <c r="X113" i="28"/>
  <c r="S110" i="28"/>
  <c r="J110" i="28"/>
  <c r="N110" i="28"/>
  <c r="AD112" i="28"/>
  <c r="D113" i="28" s="1"/>
  <c r="AC112" i="28"/>
  <c r="AE113" i="28" s="1"/>
  <c r="K47" i="8"/>
  <c r="L48" i="8"/>
  <c r="G48" i="8"/>
  <c r="N48" i="8"/>
  <c r="E47" i="8"/>
  <c r="F48" i="8" s="1"/>
  <c r="V114" i="28" l="1"/>
  <c r="M48" i="8"/>
  <c r="L111" i="28"/>
  <c r="O49" i="8"/>
  <c r="P50" i="8" s="1"/>
  <c r="X50" i="8"/>
  <c r="AA111" i="28"/>
  <c r="K111" i="28" s="1"/>
  <c r="S48" i="8"/>
  <c r="U48" i="8"/>
  <c r="V48" i="8"/>
  <c r="T48" i="8"/>
  <c r="AG114" i="28"/>
  <c r="AI115" i="28" s="1"/>
  <c r="Y113" i="28"/>
  <c r="AF113" i="28"/>
  <c r="Y49" i="8"/>
  <c r="AE49" i="8"/>
  <c r="AD49" i="8"/>
  <c r="AB49" i="8"/>
  <c r="AC49" i="8"/>
  <c r="Z49" i="8"/>
  <c r="AA49" i="8"/>
  <c r="H48" i="8" l="1"/>
  <c r="H113" i="28"/>
  <c r="T113" i="28" s="1"/>
  <c r="W114" i="28" s="1"/>
  <c r="Z113" i="28"/>
  <c r="U114" i="28" s="1"/>
  <c r="AH114" i="28"/>
  <c r="AJ115" i="28" s="1"/>
  <c r="I111" i="28"/>
  <c r="P111" i="28" s="1"/>
  <c r="Q111" i="28" s="1"/>
  <c r="B111" i="28"/>
  <c r="AB112" i="28"/>
  <c r="D49" i="8"/>
  <c r="W50" i="8" s="1"/>
  <c r="M113" i="28"/>
  <c r="B48" i="8"/>
  <c r="Q51" i="8"/>
  <c r="R52" i="8" s="1"/>
  <c r="C48" i="8"/>
  <c r="I48" i="8"/>
  <c r="J48" i="8" s="1"/>
  <c r="E112" i="28" l="1"/>
  <c r="G112" i="28" s="1"/>
  <c r="O111" i="28"/>
  <c r="F112" i="28"/>
  <c r="C111" i="28"/>
  <c r="S111" i="28"/>
  <c r="J111" i="28"/>
  <c r="N111" i="28"/>
  <c r="X114" i="28"/>
  <c r="K48" i="8"/>
  <c r="L49" i="8"/>
  <c r="G49" i="8"/>
  <c r="N49" i="8"/>
  <c r="M49" i="8" s="1"/>
  <c r="E48" i="8"/>
  <c r="F49" i="8" s="1"/>
  <c r="AD113" i="28"/>
  <c r="D114" i="28" s="1"/>
  <c r="AC113" i="28"/>
  <c r="AE114" i="28" s="1"/>
  <c r="L112" i="28" l="1"/>
  <c r="S49" i="8"/>
  <c r="U49" i="8"/>
  <c r="V49" i="8"/>
  <c r="T49" i="8"/>
  <c r="V115" i="28"/>
  <c r="O50" i="8"/>
  <c r="P51" i="8" s="1"/>
  <c r="AG115" i="28"/>
  <c r="Y114" i="28"/>
  <c r="AF114" i="28"/>
  <c r="M114" i="28" s="1"/>
  <c r="Y50" i="8"/>
  <c r="AD50" i="8"/>
  <c r="AC50" i="8"/>
  <c r="AA50" i="8"/>
  <c r="AB50" i="8"/>
  <c r="AE50" i="8"/>
  <c r="Z50" i="8"/>
  <c r="X51" i="8"/>
  <c r="AA112" i="28"/>
  <c r="K112" i="28" s="1"/>
  <c r="H49" i="8" l="1"/>
  <c r="B49" i="8"/>
  <c r="I112" i="28"/>
  <c r="P112" i="28" s="1"/>
  <c r="Q112" i="28" s="1"/>
  <c r="AB113" i="28"/>
  <c r="B112" i="28"/>
  <c r="Q52" i="8"/>
  <c r="R53" i="8" s="1"/>
  <c r="D50" i="8"/>
  <c r="W51" i="8" s="1"/>
  <c r="H114" i="28"/>
  <c r="T114" i="28" s="1"/>
  <c r="W115" i="28" s="1"/>
  <c r="AH115" i="28"/>
  <c r="Z114" i="28"/>
  <c r="U115" i="28" s="1"/>
  <c r="C49" i="8"/>
  <c r="I49" i="8"/>
  <c r="J49" i="8" s="1"/>
  <c r="O112" i="28" l="1"/>
  <c r="E113" i="28"/>
  <c r="G113" i="28" s="1"/>
  <c r="C112" i="28"/>
  <c r="X115" i="28"/>
  <c r="S112" i="28"/>
  <c r="AD114" i="28"/>
  <c r="D115" i="28" s="1"/>
  <c r="AC114" i="28"/>
  <c r="AE115" i="28" s="1"/>
  <c r="G50" i="8"/>
  <c r="K49" i="8"/>
  <c r="L50" i="8"/>
  <c r="N50" i="8"/>
  <c r="M50" i="8" s="1"/>
  <c r="E49" i="8"/>
  <c r="F50" i="8" s="1"/>
  <c r="N112" i="28"/>
  <c r="J112" i="28"/>
  <c r="F113" i="28" l="1"/>
  <c r="L113" i="28"/>
  <c r="O51" i="8"/>
  <c r="P52" i="8" s="1"/>
  <c r="AF115" i="28"/>
  <c r="M115" i="28" s="1"/>
  <c r="S50" i="8"/>
  <c r="U50" i="8"/>
  <c r="T50" i="8"/>
  <c r="V50" i="8"/>
  <c r="X52" i="8"/>
  <c r="Y51" i="8"/>
  <c r="AA51" i="8"/>
  <c r="AE51" i="8"/>
  <c r="AB51" i="8"/>
  <c r="AD51" i="8"/>
  <c r="Z51" i="8"/>
  <c r="AC51" i="8"/>
  <c r="Y115" i="28"/>
  <c r="H50" i="8" l="1"/>
  <c r="I50" i="8" s="1"/>
  <c r="J50" i="8" s="1"/>
  <c r="AA113" i="28"/>
  <c r="K113" i="28" s="1"/>
  <c r="D51" i="8"/>
  <c r="W52" i="8" s="1"/>
  <c r="C50" i="8"/>
  <c r="Q53" i="8"/>
  <c r="R54" i="8" s="1"/>
  <c r="Z115" i="28"/>
  <c r="H115" i="28"/>
  <c r="T115" i="28" s="1"/>
  <c r="B50" i="8"/>
  <c r="AB114" i="28" l="1"/>
  <c r="AC115" i="28" s="1"/>
  <c r="I113" i="28"/>
  <c r="P113" i="28" s="1"/>
  <c r="Q113" i="28" s="1"/>
  <c r="B113" i="28"/>
  <c r="S113" i="28" s="1"/>
  <c r="AD115" i="28"/>
  <c r="X53" i="8"/>
  <c r="G51" i="8"/>
  <c r="K50" i="8"/>
  <c r="L51" i="8"/>
  <c r="N51" i="8"/>
  <c r="M51" i="8" s="1"/>
  <c r="E50" i="8"/>
  <c r="F51" i="8" s="1"/>
  <c r="J113" i="28" l="1"/>
  <c r="O113" i="28"/>
  <c r="E114" i="28"/>
  <c r="G114" i="28" s="1"/>
  <c r="L114" i="28" s="1"/>
  <c r="C113" i="28"/>
  <c r="N113" i="28"/>
  <c r="F114" i="28"/>
  <c r="AA114" i="28"/>
  <c r="K114" i="28" s="1"/>
  <c r="Y52" i="8"/>
  <c r="AE52" i="8"/>
  <c r="AD52" i="8"/>
  <c r="AC52" i="8"/>
  <c r="AA52" i="8"/>
  <c r="Z52" i="8"/>
  <c r="AB52" i="8"/>
  <c r="O52" i="8"/>
  <c r="P53" i="8" s="1"/>
  <c r="S51" i="8"/>
  <c r="T51" i="8"/>
  <c r="U51" i="8"/>
  <c r="V51" i="8"/>
  <c r="C17" i="6"/>
  <c r="D17" i="6"/>
  <c r="H51" i="8" l="1"/>
  <c r="I51" i="8" s="1"/>
  <c r="J51" i="8" s="1"/>
  <c r="C51" i="8"/>
  <c r="B51" i="8"/>
  <c r="Q54" i="8"/>
  <c r="R55" i="8" s="1"/>
  <c r="AB115" i="28"/>
  <c r="I114" i="28"/>
  <c r="P114" i="28" s="1"/>
  <c r="B114" i="28"/>
  <c r="E115" i="28" s="1"/>
  <c r="D52" i="8"/>
  <c r="W53" i="8" s="1"/>
  <c r="Q114" i="28" l="1"/>
  <c r="O114" i="28" s="1"/>
  <c r="G115" i="28"/>
  <c r="L115" i="28" s="1"/>
  <c r="F115" i="28"/>
  <c r="C114" i="28"/>
  <c r="D6" i="24"/>
  <c r="S114" i="28"/>
  <c r="N114" i="28"/>
  <c r="J114" i="28"/>
  <c r="G52" i="8"/>
  <c r="K51" i="8"/>
  <c r="L52" i="8"/>
  <c r="N52" i="8"/>
  <c r="M52" i="8" s="1"/>
  <c r="E51" i="8"/>
  <c r="F52" i="8" s="1"/>
  <c r="S52" i="8" l="1"/>
  <c r="U52" i="8"/>
  <c r="T52" i="8"/>
  <c r="V52" i="8"/>
  <c r="X54" i="8"/>
  <c r="O53" i="8"/>
  <c r="P54" i="8" s="1"/>
  <c r="Y53" i="8"/>
  <c r="AA53" i="8"/>
  <c r="AB53" i="8"/>
  <c r="AC53" i="8"/>
  <c r="AD53" i="8"/>
  <c r="Z53" i="8"/>
  <c r="AE53" i="8"/>
  <c r="AA115" i="28"/>
  <c r="K115" i="28" s="1"/>
  <c r="H52" i="8" l="1"/>
  <c r="Q55" i="8"/>
  <c r="R56" i="8" s="1"/>
  <c r="D53" i="8"/>
  <c r="W54" i="8" s="1"/>
  <c r="I115" i="28"/>
  <c r="P115" i="28" s="1"/>
  <c r="B115" i="28"/>
  <c r="K16" i="6" s="1"/>
  <c r="K18" i="6" s="1"/>
  <c r="B52" i="8"/>
  <c r="C52" i="8"/>
  <c r="I52" i="8"/>
  <c r="J52" i="8" s="1"/>
  <c r="D24" i="6" l="1"/>
  <c r="Q115" i="28"/>
  <c r="C115" i="28"/>
  <c r="D5" i="24"/>
  <c r="S115" i="28"/>
  <c r="D7" i="24" s="1"/>
  <c r="J115" i="28"/>
  <c r="N115" i="28"/>
  <c r="G53" i="8"/>
  <c r="K52" i="8"/>
  <c r="L53" i="8"/>
  <c r="N53" i="8"/>
  <c r="M53" i="8" s="1"/>
  <c r="E52" i="8"/>
  <c r="F53" i="8" s="1"/>
  <c r="C23" i="6" l="1"/>
  <c r="F23" i="6" s="1"/>
  <c r="D23" i="6"/>
  <c r="O115" i="28"/>
  <c r="D4" i="24"/>
  <c r="D8" i="24"/>
  <c r="X55" i="8"/>
  <c r="Y54" i="8"/>
  <c r="AB54" i="8"/>
  <c r="AA54" i="8"/>
  <c r="AC54" i="8"/>
  <c r="Z54" i="8"/>
  <c r="AE54" i="8"/>
  <c r="AD54" i="8"/>
  <c r="S53" i="8"/>
  <c r="U53" i="8"/>
  <c r="V53" i="8"/>
  <c r="T53" i="8"/>
  <c r="C24" i="6"/>
  <c r="F24" i="6" s="1"/>
  <c r="O54" i="8"/>
  <c r="P55" i="8" s="1"/>
  <c r="B25" i="1" l="1"/>
  <c r="H53" i="8"/>
  <c r="I53" i="8" s="1"/>
  <c r="J53" i="8" s="1"/>
  <c r="C53" i="8"/>
  <c r="L54" i="8" s="1"/>
  <c r="Q56" i="8"/>
  <c r="R57" i="8" s="1"/>
  <c r="D54" i="8"/>
  <c r="W55" i="8" s="1"/>
  <c r="C22" i="6"/>
  <c r="D22" i="6"/>
  <c r="B53" i="8"/>
  <c r="F22" i="6" l="1"/>
  <c r="F25" i="6" s="1"/>
  <c r="AN5" i="6" s="1"/>
  <c r="G54" i="8"/>
  <c r="K53" i="8"/>
  <c r="N54" i="8"/>
  <c r="M54" i="8" s="1"/>
  <c r="E53" i="8"/>
  <c r="F54" i="8" s="1"/>
  <c r="E22" i="6"/>
  <c r="B24" i="1"/>
  <c r="B32" i="1" s="1"/>
  <c r="D20" i="18" s="1"/>
  <c r="X56" i="8" l="1"/>
  <c r="O55" i="8"/>
  <c r="P56" i="8" s="1"/>
  <c r="J128" i="21"/>
  <c r="G128" i="21" s="1"/>
  <c r="G126" i="21" s="1"/>
  <c r="S126" i="21" s="1"/>
  <c r="Q126" i="21" s="1"/>
  <c r="B37" i="1"/>
  <c r="S54" i="8"/>
  <c r="V54" i="8"/>
  <c r="U54" i="8"/>
  <c r="T54" i="8"/>
  <c r="Y55" i="8"/>
  <c r="AC55" i="8"/>
  <c r="AB55" i="8"/>
  <c r="Z55" i="8"/>
  <c r="AE55" i="8"/>
  <c r="AD55" i="8"/>
  <c r="AA55" i="8"/>
  <c r="H31" i="1" l="1"/>
  <c r="B10" i="26"/>
  <c r="E31" i="18"/>
  <c r="E34" i="18" s="1"/>
  <c r="H54" i="8"/>
  <c r="I54" i="8" s="1"/>
  <c r="J54" i="8" s="1"/>
  <c r="B54" i="8"/>
  <c r="C54" i="8"/>
  <c r="B14" i="1"/>
  <c r="B15" i="1" s="1"/>
  <c r="D55" i="8"/>
  <c r="W56" i="8" s="1"/>
  <c r="Q57" i="8"/>
  <c r="R58" i="8" s="1"/>
  <c r="F10" i="26" l="1"/>
  <c r="D10" i="26"/>
  <c r="B8" i="26" s="1"/>
  <c r="G55" i="8"/>
  <c r="K54" i="8"/>
  <c r="L55" i="8"/>
  <c r="N55" i="8"/>
  <c r="M55" i="8" s="1"/>
  <c r="E54" i="8"/>
  <c r="F55" i="8" s="1"/>
  <c r="F8" i="26" l="1"/>
  <c r="D8" i="26"/>
  <c r="X57" i="8"/>
  <c r="Y56" i="8"/>
  <c r="AD56" i="8"/>
  <c r="AB56" i="8"/>
  <c r="AE56" i="8"/>
  <c r="AA56" i="8"/>
  <c r="Z56" i="8"/>
  <c r="AC56" i="8"/>
  <c r="O56" i="8"/>
  <c r="P57" i="8" s="1"/>
  <c r="S55" i="8"/>
  <c r="U55" i="8"/>
  <c r="V55" i="8"/>
  <c r="T55" i="8"/>
  <c r="H10" i="26"/>
  <c r="H55" i="8" l="1"/>
  <c r="B4" i="26"/>
  <c r="C4" i="26" s="1"/>
  <c r="F29" i="24" s="1"/>
  <c r="H8" i="26"/>
  <c r="B3" i="26" s="1"/>
  <c r="D56" i="8"/>
  <c r="W57" i="8" s="1"/>
  <c r="C55" i="8"/>
  <c r="I55" i="8"/>
  <c r="J55" i="8" s="1"/>
  <c r="Q58" i="8"/>
  <c r="R59" i="8" s="1"/>
  <c r="B55" i="8"/>
  <c r="G29" i="24" l="1"/>
  <c r="D29" i="24"/>
  <c r="C3" i="26"/>
  <c r="F31" i="24" s="1"/>
  <c r="G56" i="8"/>
  <c r="K55" i="8"/>
  <c r="L56" i="8"/>
  <c r="N56" i="8"/>
  <c r="M56" i="8" s="1"/>
  <c r="E55" i="8"/>
  <c r="F56" i="8" s="1"/>
  <c r="D31" i="24" l="1"/>
  <c r="E31" i="24" s="1"/>
  <c r="E29" i="24"/>
  <c r="S56" i="8"/>
  <c r="V56" i="8"/>
  <c r="U56" i="8"/>
  <c r="T56" i="8"/>
  <c r="Y57" i="8"/>
  <c r="Z57" i="8"/>
  <c r="AA57" i="8"/>
  <c r="AE57" i="8"/>
  <c r="AB57" i="8"/>
  <c r="AD57" i="8"/>
  <c r="AC57" i="8"/>
  <c r="O57" i="8"/>
  <c r="P58" i="8" s="1"/>
  <c r="X58" i="8"/>
  <c r="H56" i="8" l="1"/>
  <c r="D30" i="24"/>
  <c r="E30" i="24" s="1"/>
  <c r="G31" i="24"/>
  <c r="F30" i="24"/>
  <c r="F32" i="24" s="1"/>
  <c r="F33" i="24" s="1"/>
  <c r="D57" i="8"/>
  <c r="W58" i="8" s="1"/>
  <c r="B56" i="8"/>
  <c r="Q59" i="8"/>
  <c r="R60" i="8" s="1"/>
  <c r="C56" i="8"/>
  <c r="I56" i="8"/>
  <c r="J56" i="8" s="1"/>
  <c r="D32" i="24" l="1"/>
  <c r="G30" i="24"/>
  <c r="G32" i="24"/>
  <c r="X59" i="8"/>
  <c r="L57" i="8"/>
  <c r="G57" i="8"/>
  <c r="K56" i="8"/>
  <c r="N57" i="8"/>
  <c r="M57" i="8" s="1"/>
  <c r="E56" i="8"/>
  <c r="F57" i="8" s="1"/>
  <c r="E32" i="24" l="1"/>
  <c r="D33" i="24"/>
  <c r="S57" i="8"/>
  <c r="V57" i="8"/>
  <c r="T57" i="8"/>
  <c r="U57" i="8"/>
  <c r="Y58" i="8"/>
  <c r="AC58" i="8"/>
  <c r="AB58" i="8"/>
  <c r="AD58" i="8"/>
  <c r="AE58" i="8"/>
  <c r="AA58" i="8"/>
  <c r="Z58" i="8"/>
  <c r="O58" i="8"/>
  <c r="P59" i="8" s="1"/>
  <c r="H57" i="8" l="1"/>
  <c r="I57" i="8" s="1"/>
  <c r="J57" i="8" s="1"/>
  <c r="E33" i="24"/>
  <c r="D28" i="24"/>
  <c r="D10" i="24" s="1"/>
  <c r="D36" i="24" s="1"/>
  <c r="G33" i="24"/>
  <c r="F28" i="24"/>
  <c r="F10" i="24" s="1"/>
  <c r="F36" i="24" s="1"/>
  <c r="Q60" i="8"/>
  <c r="R61" i="8" s="1"/>
  <c r="D58" i="8"/>
  <c r="W59" i="8" s="1"/>
  <c r="B57" i="8"/>
  <c r="C57" i="8"/>
  <c r="D37" i="24" l="1"/>
  <c r="D39" i="24"/>
  <c r="E39" i="24" s="1"/>
  <c r="D42" i="24"/>
  <c r="E42" i="24" s="1"/>
  <c r="D40" i="24"/>
  <c r="E40" i="24" s="1"/>
  <c r="D41" i="24"/>
  <c r="E41" i="24" s="1"/>
  <c r="D38" i="24"/>
  <c r="E38" i="24" s="1"/>
  <c r="F38" i="24"/>
  <c r="G38" i="24" s="1"/>
  <c r="F39" i="24"/>
  <c r="G39" i="24" s="1"/>
  <c r="F40" i="24"/>
  <c r="G40" i="24" s="1"/>
  <c r="F41" i="24"/>
  <c r="G41" i="24" s="1"/>
  <c r="F42" i="24"/>
  <c r="G42" i="24" s="1"/>
  <c r="F37" i="24"/>
  <c r="G58" i="8"/>
  <c r="K57" i="8"/>
  <c r="L58" i="8"/>
  <c r="N58" i="8"/>
  <c r="M58" i="8" s="1"/>
  <c r="E57" i="8"/>
  <c r="F58" i="8" s="1"/>
  <c r="E37" i="24" l="1"/>
  <c r="E36" i="24" s="1"/>
  <c r="D11" i="24" s="1"/>
  <c r="E8" i="24" s="1"/>
  <c r="D35" i="24"/>
  <c r="G37" i="24"/>
  <c r="F35" i="24"/>
  <c r="S58" i="8"/>
  <c r="T58" i="8"/>
  <c r="V58" i="8"/>
  <c r="U58" i="8"/>
  <c r="X60" i="8"/>
  <c r="Y59" i="8"/>
  <c r="AD59" i="8"/>
  <c r="AA59" i="8"/>
  <c r="Z59" i="8"/>
  <c r="AC59" i="8"/>
  <c r="AB59" i="8"/>
  <c r="AE59" i="8"/>
  <c r="O59" i="8"/>
  <c r="P60" i="8" s="1"/>
  <c r="H58" i="8" l="1"/>
  <c r="I58" i="8" s="1"/>
  <c r="J58" i="8" s="1"/>
  <c r="C58" i="8"/>
  <c r="B58" i="8"/>
  <c r="Q61" i="8"/>
  <c r="R62" i="8" s="1"/>
  <c r="D59" i="8"/>
  <c r="W60" i="8" s="1"/>
  <c r="C27" i="8" l="1"/>
  <c r="C26" i="8"/>
  <c r="K58" i="8"/>
  <c r="G59" i="8"/>
  <c r="L59" i="8"/>
  <c r="N59" i="8"/>
  <c r="M59" i="8" s="1"/>
  <c r="E58" i="8"/>
  <c r="F59" i="8" s="1"/>
  <c r="X61" i="8" l="1"/>
  <c r="S59" i="8"/>
  <c r="U59" i="8"/>
  <c r="T59" i="8"/>
  <c r="V59" i="8"/>
  <c r="Y60" i="8"/>
  <c r="AD60" i="8"/>
  <c r="AB60" i="8"/>
  <c r="AC60" i="8"/>
  <c r="Z60" i="8"/>
  <c r="AE60" i="8"/>
  <c r="AA60" i="8"/>
  <c r="O60" i="8"/>
  <c r="P61" i="8" s="1"/>
  <c r="H59" i="8" l="1"/>
  <c r="I59" i="8" s="1"/>
  <c r="J59" i="8" s="1"/>
  <c r="B59" i="8"/>
  <c r="D60" i="8"/>
  <c r="W61" i="8" s="1"/>
  <c r="Q62" i="8"/>
  <c r="R63" i="8" s="1"/>
  <c r="C59" i="8"/>
  <c r="G60" i="8" l="1"/>
  <c r="K59" i="8"/>
  <c r="L60" i="8"/>
  <c r="N60" i="8"/>
  <c r="M60" i="8" s="1"/>
  <c r="E59" i="8"/>
  <c r="F60" i="8" s="1"/>
  <c r="Y61" i="8" l="1"/>
  <c r="AA61" i="8"/>
  <c r="AC61" i="8"/>
  <c r="AB61" i="8"/>
  <c r="Z61" i="8"/>
  <c r="AE61" i="8"/>
  <c r="AD61" i="8"/>
  <c r="O61" i="8"/>
  <c r="P62" i="8" s="1"/>
  <c r="S60" i="8"/>
  <c r="U60" i="8"/>
  <c r="T60" i="8"/>
  <c r="V60" i="8"/>
  <c r="X62" i="8"/>
  <c r="H60" i="8" l="1"/>
  <c r="I60" i="8" s="1"/>
  <c r="J60" i="8" s="1"/>
  <c r="D61" i="8"/>
  <c r="W62" i="8" s="1"/>
  <c r="C60" i="8"/>
  <c r="B60" i="8"/>
  <c r="Q63" i="8"/>
  <c r="R64" i="8" s="1"/>
  <c r="G61" i="8" l="1"/>
  <c r="K60" i="8"/>
  <c r="L61" i="8"/>
  <c r="N61" i="8"/>
  <c r="M61" i="8" s="1"/>
  <c r="E60" i="8"/>
  <c r="F61" i="8" s="1"/>
  <c r="X63" i="8"/>
  <c r="O62" i="8" l="1"/>
  <c r="P63" i="8" s="1"/>
  <c r="S61" i="8"/>
  <c r="V61" i="8"/>
  <c r="U61" i="8"/>
  <c r="T61" i="8"/>
  <c r="Y62" i="8"/>
  <c r="AD62" i="8"/>
  <c r="AA62" i="8"/>
  <c r="AB62" i="8"/>
  <c r="Z62" i="8"/>
  <c r="AE62" i="8"/>
  <c r="AC62" i="8"/>
  <c r="H61" i="8" l="1"/>
  <c r="I61" i="8" s="1"/>
  <c r="J61" i="8" s="1"/>
  <c r="C61" i="8"/>
  <c r="B61" i="8"/>
  <c r="Q64" i="8"/>
  <c r="R65" i="8" s="1"/>
  <c r="D62" i="8"/>
  <c r="W63" i="8" s="1"/>
  <c r="G62" i="8" l="1"/>
  <c r="K61" i="8"/>
  <c r="L62" i="8"/>
  <c r="N62" i="8"/>
  <c r="M62" i="8" s="1"/>
  <c r="E61" i="8"/>
  <c r="F62" i="8" s="1"/>
  <c r="S62" i="8" l="1"/>
  <c r="U62" i="8"/>
  <c r="T62" i="8"/>
  <c r="V62" i="8"/>
  <c r="X64" i="8"/>
  <c r="Y63" i="8"/>
  <c r="AE63" i="8"/>
  <c r="Z63" i="8"/>
  <c r="AA63" i="8"/>
  <c r="AC63" i="8"/>
  <c r="AB63" i="8"/>
  <c r="AD63" i="8"/>
  <c r="O63" i="8"/>
  <c r="P64" i="8" s="1"/>
  <c r="H62" i="8" l="1"/>
  <c r="I62" i="8" s="1"/>
  <c r="J62" i="8" s="1"/>
  <c r="Q65" i="8"/>
  <c r="R66" i="8" s="1"/>
  <c r="C62" i="8"/>
  <c r="B62" i="8"/>
  <c r="D63" i="8"/>
  <c r="W64" i="8" s="1"/>
  <c r="G63" i="8" l="1"/>
  <c r="K62" i="8"/>
  <c r="L63" i="8"/>
  <c r="N63" i="8"/>
  <c r="M63" i="8" s="1"/>
  <c r="E62" i="8"/>
  <c r="F63" i="8" s="1"/>
  <c r="Y64" i="8" l="1"/>
  <c r="AE64" i="8"/>
  <c r="AB64" i="8"/>
  <c r="AD64" i="8"/>
  <c r="Z64" i="8"/>
  <c r="AA64" i="8"/>
  <c r="AC64" i="8"/>
  <c r="X65" i="8"/>
  <c r="O64" i="8"/>
  <c r="P65" i="8" s="1"/>
  <c r="S63" i="8"/>
  <c r="U63" i="8"/>
  <c r="T63" i="8"/>
  <c r="V63" i="8"/>
  <c r="H63" i="8" l="1"/>
  <c r="I63" i="8" s="1"/>
  <c r="J63" i="8" s="1"/>
  <c r="Q66" i="8"/>
  <c r="R67" i="8" s="1"/>
  <c r="C63" i="8"/>
  <c r="B63" i="8"/>
  <c r="D64" i="8"/>
  <c r="W65" i="8" s="1"/>
  <c r="G64" i="8" l="1"/>
  <c r="K63" i="8"/>
  <c r="L64" i="8"/>
  <c r="N64" i="8"/>
  <c r="M64" i="8" s="1"/>
  <c r="E63" i="8"/>
  <c r="F64" i="8" s="1"/>
  <c r="Y65" i="8" l="1"/>
  <c r="AD65" i="8"/>
  <c r="AE65" i="8"/>
  <c r="Z65" i="8"/>
  <c r="AA65" i="8"/>
  <c r="AB65" i="8"/>
  <c r="AC65" i="8"/>
  <c r="O65" i="8"/>
  <c r="P66" i="8" s="1"/>
  <c r="X66" i="8"/>
  <c r="S64" i="8"/>
  <c r="U64" i="8"/>
  <c r="V64" i="8"/>
  <c r="T64" i="8"/>
  <c r="H64" i="8" l="1"/>
  <c r="D65" i="8"/>
  <c r="W66" i="8" s="1"/>
  <c r="B64" i="8"/>
  <c r="Q67" i="8"/>
  <c r="R68" i="8" s="1"/>
  <c r="C64" i="8"/>
  <c r="I64" i="8"/>
  <c r="J64" i="8" s="1"/>
  <c r="X67" i="8" l="1"/>
  <c r="K64" i="8"/>
  <c r="G65" i="8"/>
  <c r="L65" i="8"/>
  <c r="N65" i="8"/>
  <c r="M65" i="8" s="1"/>
  <c r="E64" i="8"/>
  <c r="F65" i="8" s="1"/>
  <c r="Y66" i="8" l="1"/>
  <c r="AE66" i="8"/>
  <c r="Z66" i="8"/>
  <c r="AA66" i="8"/>
  <c r="AC66" i="8"/>
  <c r="AB66" i="8"/>
  <c r="AD66" i="8"/>
  <c r="O66" i="8"/>
  <c r="P67" i="8" s="1"/>
  <c r="S65" i="8"/>
  <c r="T65" i="8"/>
  <c r="U65" i="8"/>
  <c r="V65" i="8"/>
  <c r="H65" i="8" l="1"/>
  <c r="I65" i="8" s="1"/>
  <c r="J65" i="8" s="1"/>
  <c r="B65" i="8"/>
  <c r="Q68" i="8"/>
  <c r="R69" i="8" s="1"/>
  <c r="C65" i="8"/>
  <c r="D66" i="8"/>
  <c r="W67" i="8" s="1"/>
  <c r="K65" i="8" l="1"/>
  <c r="G66" i="8"/>
  <c r="L66" i="8"/>
  <c r="N66" i="8"/>
  <c r="M66" i="8" s="1"/>
  <c r="E65" i="8"/>
  <c r="F66" i="8" s="1"/>
  <c r="Y67" i="8" l="1"/>
  <c r="AC67" i="8"/>
  <c r="AA67" i="8"/>
  <c r="Z67" i="8"/>
  <c r="AE67" i="8"/>
  <c r="AD67" i="8"/>
  <c r="AB67" i="8"/>
  <c r="O67" i="8"/>
  <c r="P68" i="8" s="1"/>
  <c r="X68" i="8"/>
  <c r="S66" i="8"/>
  <c r="U66" i="8"/>
  <c r="T66" i="8"/>
  <c r="V66" i="8"/>
  <c r="H66" i="8" l="1"/>
  <c r="I66" i="8" s="1"/>
  <c r="J66" i="8" s="1"/>
  <c r="C66" i="8"/>
  <c r="D67" i="8"/>
  <c r="W68" i="8" s="1"/>
  <c r="B66" i="8"/>
  <c r="Q69" i="8"/>
  <c r="R70" i="8" s="1"/>
  <c r="K66" i="8" l="1"/>
  <c r="G67" i="8"/>
  <c r="L67" i="8"/>
  <c r="N67" i="8"/>
  <c r="M67" i="8" s="1"/>
  <c r="E66" i="8"/>
  <c r="F67" i="8" s="1"/>
  <c r="S67" i="8" l="1"/>
  <c r="T67" i="8"/>
  <c r="V67" i="8"/>
  <c r="U67" i="8"/>
  <c r="X69" i="8"/>
  <c r="Y68" i="8"/>
  <c r="AD68" i="8"/>
  <c r="Z68" i="8"/>
  <c r="AC68" i="8"/>
  <c r="AE68" i="8"/>
  <c r="AA68" i="8"/>
  <c r="AB68" i="8"/>
  <c r="O68" i="8"/>
  <c r="P69" i="8" s="1"/>
  <c r="H67" i="8" l="1"/>
  <c r="I67" i="8" s="1"/>
  <c r="J67" i="8" s="1"/>
  <c r="D68" i="8"/>
  <c r="W69" i="8" s="1"/>
  <c r="Q70" i="8"/>
  <c r="R71" i="8" s="1"/>
  <c r="C67" i="8"/>
  <c r="B67" i="8"/>
  <c r="X70" i="8" l="1"/>
  <c r="G68" i="8"/>
  <c r="K67" i="8"/>
  <c r="L68" i="8"/>
  <c r="N68" i="8"/>
  <c r="M68" i="8" s="1"/>
  <c r="E67" i="8"/>
  <c r="F68" i="8" s="1"/>
  <c r="S68" i="8" l="1"/>
  <c r="U68" i="8"/>
  <c r="V68" i="8"/>
  <c r="T68" i="8"/>
  <c r="Y69" i="8"/>
  <c r="AD69" i="8"/>
  <c r="AA69" i="8"/>
  <c r="Z69" i="8"/>
  <c r="AC69" i="8"/>
  <c r="AE69" i="8"/>
  <c r="AB69" i="8"/>
  <c r="O69" i="8"/>
  <c r="P70" i="8" s="1"/>
  <c r="H68" i="8" l="1"/>
  <c r="I68" i="8" s="1"/>
  <c r="J68" i="8" s="1"/>
  <c r="B68" i="8"/>
  <c r="Q71" i="8"/>
  <c r="R72" i="8" s="1"/>
  <c r="D69" i="8"/>
  <c r="W70" i="8" s="1"/>
  <c r="C68" i="8"/>
  <c r="K68" i="8" l="1"/>
  <c r="G69" i="8"/>
  <c r="L69" i="8"/>
  <c r="N69" i="8"/>
  <c r="M69" i="8" s="1"/>
  <c r="E68" i="8"/>
  <c r="F69" i="8" s="1"/>
  <c r="O70" i="8" l="1"/>
  <c r="P71" i="8" s="1"/>
  <c r="S69" i="8"/>
  <c r="U69" i="8"/>
  <c r="V69" i="8"/>
  <c r="T69" i="8"/>
  <c r="X71" i="8"/>
  <c r="Y70" i="8"/>
  <c r="AB70" i="8"/>
  <c r="AC70" i="8"/>
  <c r="AE70" i="8"/>
  <c r="AA70" i="8"/>
  <c r="AD70" i="8"/>
  <c r="Z70" i="8"/>
  <c r="H69" i="8" l="1"/>
  <c r="I69" i="8" s="1"/>
  <c r="J69" i="8" s="1"/>
  <c r="Q72" i="8"/>
  <c r="R73" i="8" s="1"/>
  <c r="C69" i="8"/>
  <c r="B69" i="8"/>
  <c r="D70" i="8"/>
  <c r="W71" i="8" s="1"/>
  <c r="G70" i="8" l="1"/>
  <c r="K69" i="8"/>
  <c r="L70" i="8"/>
  <c r="N70" i="8"/>
  <c r="M70" i="8" s="1"/>
  <c r="E69" i="8"/>
  <c r="F70" i="8" s="1"/>
  <c r="S70" i="8" l="1"/>
  <c r="T70" i="8"/>
  <c r="V70" i="8"/>
  <c r="U70" i="8"/>
  <c r="X72" i="8"/>
  <c r="Y71" i="8"/>
  <c r="AC71" i="8"/>
  <c r="AE71" i="8"/>
  <c r="AB71" i="8"/>
  <c r="AD71" i="8"/>
  <c r="Z71" i="8"/>
  <c r="AA71" i="8"/>
  <c r="O71" i="8"/>
  <c r="P72" i="8" s="1"/>
  <c r="H70" i="8" l="1"/>
  <c r="D71" i="8"/>
  <c r="W72" i="8" s="1"/>
  <c r="B70" i="8"/>
  <c r="Q73" i="8"/>
  <c r="R74" i="8" s="1"/>
  <c r="C70" i="8"/>
  <c r="I70" i="8"/>
  <c r="J70" i="8" s="1"/>
  <c r="K70" i="8" l="1"/>
  <c r="G71" i="8"/>
  <c r="L71" i="8"/>
  <c r="N71" i="8"/>
  <c r="M71" i="8" s="1"/>
  <c r="E70" i="8"/>
  <c r="F71" i="8" s="1"/>
  <c r="O72" i="8" l="1"/>
  <c r="P73" i="8" s="1"/>
  <c r="X73" i="8"/>
  <c r="Y72" i="8"/>
  <c r="Z72" i="8"/>
  <c r="AE72" i="8"/>
  <c r="AC72" i="8"/>
  <c r="AA72" i="8"/>
  <c r="AD72" i="8"/>
  <c r="AB72" i="8"/>
  <c r="S71" i="8"/>
  <c r="T71" i="8"/>
  <c r="V71" i="8"/>
  <c r="U71" i="8"/>
  <c r="H71" i="8" l="1"/>
  <c r="I71" i="8" s="1"/>
  <c r="J71" i="8" s="1"/>
  <c r="B71" i="8"/>
  <c r="Q74" i="8"/>
  <c r="R75" i="8" s="1"/>
  <c r="D72" i="8"/>
  <c r="W73" i="8" s="1"/>
  <c r="C71" i="8"/>
  <c r="G72" i="8" l="1"/>
  <c r="K71" i="8"/>
  <c r="L72" i="8"/>
  <c r="N72" i="8"/>
  <c r="M72" i="8" s="1"/>
  <c r="E71" i="8"/>
  <c r="F72" i="8" s="1"/>
  <c r="S72" i="8" l="1"/>
  <c r="V72" i="8"/>
  <c r="U72" i="8"/>
  <c r="T72" i="8"/>
  <c r="X74" i="8"/>
  <c r="Y73" i="8"/>
  <c r="AB73" i="8"/>
  <c r="AD73" i="8"/>
  <c r="AA73" i="8"/>
  <c r="Z73" i="8"/>
  <c r="AC73" i="8"/>
  <c r="AE73" i="8"/>
  <c r="O73" i="8"/>
  <c r="P74" i="8" s="1"/>
  <c r="H72" i="8" l="1"/>
  <c r="B72" i="8"/>
  <c r="D73" i="8"/>
  <c r="W74" i="8" s="1"/>
  <c r="Q75" i="8"/>
  <c r="R76" i="8" s="1"/>
  <c r="C72" i="8"/>
  <c r="I72" i="8"/>
  <c r="J72" i="8" s="1"/>
  <c r="G73" i="8" l="1"/>
  <c r="K72" i="8"/>
  <c r="L73" i="8"/>
  <c r="N73" i="8"/>
  <c r="M73" i="8" s="1"/>
  <c r="E72" i="8"/>
  <c r="F73" i="8" s="1"/>
  <c r="S73" i="8" l="1"/>
  <c r="U73" i="8"/>
  <c r="T73" i="8"/>
  <c r="V73" i="8"/>
  <c r="X75" i="8"/>
  <c r="Y74" i="8"/>
  <c r="AC74" i="8"/>
  <c r="AA74" i="8"/>
  <c r="Z74" i="8"/>
  <c r="AB74" i="8"/>
  <c r="AE74" i="8"/>
  <c r="AD74" i="8"/>
  <c r="O74" i="8"/>
  <c r="P75" i="8" s="1"/>
  <c r="H73" i="8" l="1"/>
  <c r="I73" i="8" s="1"/>
  <c r="J73" i="8" s="1"/>
  <c r="B73" i="8"/>
  <c r="D74" i="8"/>
  <c r="W75" i="8" s="1"/>
  <c r="C73" i="8"/>
  <c r="Q76" i="8"/>
  <c r="R77" i="8" s="1"/>
  <c r="X76" i="8" l="1"/>
  <c r="K73" i="8"/>
  <c r="G74" i="8"/>
  <c r="L74" i="8"/>
  <c r="N74" i="8"/>
  <c r="M74" i="8" s="1"/>
  <c r="E73" i="8"/>
  <c r="F74" i="8" s="1"/>
  <c r="O75" i="8" l="1"/>
  <c r="P76" i="8" s="1"/>
  <c r="Y75" i="8"/>
  <c r="AB75" i="8"/>
  <c r="AD75" i="8"/>
  <c r="AA75" i="8"/>
  <c r="AC75" i="8"/>
  <c r="AE75" i="8"/>
  <c r="Z75" i="8"/>
  <c r="S74" i="8"/>
  <c r="V74" i="8"/>
  <c r="T74" i="8"/>
  <c r="U74" i="8"/>
  <c r="H74" i="8" l="1"/>
  <c r="I74" i="8" s="1"/>
  <c r="J74" i="8" s="1"/>
  <c r="D75" i="8"/>
  <c r="W76" i="8" s="1"/>
  <c r="B74" i="8"/>
  <c r="C74" i="8"/>
  <c r="Q77" i="8"/>
  <c r="R78" i="8" s="1"/>
  <c r="K74" i="8" l="1"/>
  <c r="G75" i="8"/>
  <c r="L75" i="8"/>
  <c r="N75" i="8"/>
  <c r="M75" i="8" s="1"/>
  <c r="E74" i="8"/>
  <c r="F75" i="8" s="1"/>
  <c r="O76" i="8" l="1"/>
  <c r="P77" i="8" s="1"/>
  <c r="S75" i="8"/>
  <c r="T75" i="8"/>
  <c r="V75" i="8"/>
  <c r="U75" i="8"/>
  <c r="X77" i="8"/>
  <c r="Y76" i="8"/>
  <c r="AE76" i="8"/>
  <c r="Z76" i="8"/>
  <c r="AA76" i="8"/>
  <c r="AC76" i="8"/>
  <c r="AB76" i="8"/>
  <c r="AD76" i="8"/>
  <c r="H75" i="8" l="1"/>
  <c r="I75" i="8" s="1"/>
  <c r="J75" i="8" s="1"/>
  <c r="C75" i="8"/>
  <c r="B75" i="8"/>
  <c r="C28" i="8" s="1"/>
  <c r="D76" i="8"/>
  <c r="W77" i="8" s="1"/>
  <c r="Q78" i="8"/>
  <c r="R79" i="8" s="1"/>
  <c r="G76" i="8" l="1"/>
  <c r="K75" i="8"/>
  <c r="L76" i="8"/>
  <c r="N76" i="8"/>
  <c r="M76" i="8" s="1"/>
  <c r="E75" i="8"/>
  <c r="F76" i="8" s="1"/>
  <c r="Y77" i="8" l="1"/>
  <c r="AB77" i="8"/>
  <c r="AA77" i="8"/>
  <c r="AC77" i="8"/>
  <c r="AD77" i="8"/>
  <c r="Z77" i="8"/>
  <c r="AE77" i="8"/>
  <c r="O77" i="8"/>
  <c r="P78" i="8" s="1"/>
  <c r="X78" i="8"/>
  <c r="S76" i="8"/>
  <c r="U76" i="8"/>
  <c r="V76" i="8"/>
  <c r="T76" i="8"/>
  <c r="H76" i="8" l="1"/>
  <c r="I76" i="8" s="1"/>
  <c r="J76" i="8" s="1"/>
  <c r="D77" i="8"/>
  <c r="W78" i="8" s="1"/>
  <c r="C76" i="8"/>
  <c r="B76" i="8"/>
  <c r="Q79" i="8"/>
  <c r="R80" i="8" s="1"/>
  <c r="X79" i="8" l="1"/>
  <c r="G77" i="8"/>
  <c r="K76" i="8"/>
  <c r="L77" i="8"/>
  <c r="N77" i="8"/>
  <c r="M77" i="8" s="1"/>
  <c r="E76" i="8"/>
  <c r="F77" i="8" s="1"/>
  <c r="Y78" i="8" l="1"/>
  <c r="AB78" i="8"/>
  <c r="AC78" i="8"/>
  <c r="Z78" i="8"/>
  <c r="AD78" i="8"/>
  <c r="AA78" i="8"/>
  <c r="AE78" i="8"/>
  <c r="O78" i="8"/>
  <c r="P79" i="8" s="1"/>
  <c r="S77" i="8"/>
  <c r="U77" i="8"/>
  <c r="V77" i="8"/>
  <c r="T77" i="8"/>
  <c r="H77" i="8" l="1"/>
  <c r="I77" i="8" s="1"/>
  <c r="J77" i="8" s="1"/>
  <c r="C77" i="8"/>
  <c r="B77" i="8"/>
  <c r="Q80" i="8"/>
  <c r="D78" i="8"/>
  <c r="W79" i="8" s="1"/>
  <c r="G78" i="8" l="1"/>
  <c r="K77" i="8"/>
  <c r="L78" i="8"/>
  <c r="N78" i="8"/>
  <c r="M78" i="8" s="1"/>
  <c r="E77" i="8"/>
  <c r="F78" i="8" s="1"/>
  <c r="Y79" i="8" l="1"/>
  <c r="AC79" i="8"/>
  <c r="Z79" i="8"/>
  <c r="AB79" i="8"/>
  <c r="AE79" i="8"/>
  <c r="AA79" i="8"/>
  <c r="AD79" i="8"/>
  <c r="X80" i="8"/>
  <c r="O79" i="8"/>
  <c r="P80" i="8" s="1"/>
  <c r="S78" i="8"/>
  <c r="T78" i="8"/>
  <c r="U78" i="8"/>
  <c r="V78" i="8"/>
  <c r="H78" i="8" l="1"/>
  <c r="I78" i="8" s="1"/>
  <c r="J78" i="8" s="1"/>
  <c r="C78" i="8"/>
  <c r="B78" i="8"/>
  <c r="D79" i="8"/>
  <c r="W80" i="8" s="1"/>
  <c r="L79" i="8" l="1"/>
  <c r="K78" i="8"/>
  <c r="G79" i="8"/>
  <c r="N79" i="8"/>
  <c r="M79" i="8" s="1"/>
  <c r="E78" i="8"/>
  <c r="F79" i="8" s="1"/>
  <c r="O80" i="8" l="1"/>
  <c r="S79" i="8"/>
  <c r="T79" i="8"/>
  <c r="U79" i="8"/>
  <c r="V79" i="8"/>
  <c r="Y80" i="8"/>
  <c r="AC80" i="8"/>
  <c r="Z80" i="8"/>
  <c r="AA80" i="8"/>
  <c r="AE80" i="8"/>
  <c r="AB80" i="8"/>
  <c r="AD80" i="8"/>
  <c r="H79" i="8" l="1"/>
  <c r="I79" i="8" s="1"/>
  <c r="J79" i="8" s="1"/>
  <c r="D80" i="8"/>
  <c r="C79" i="8"/>
  <c r="B79" i="8"/>
  <c r="L80" i="8" l="1"/>
  <c r="K79" i="8"/>
  <c r="G80" i="8"/>
  <c r="N80" i="8"/>
  <c r="M80" i="8" s="1"/>
  <c r="E79" i="8"/>
  <c r="F80" i="8" s="1"/>
  <c r="S80" i="8" l="1"/>
  <c r="T80" i="8"/>
  <c r="U80" i="8"/>
  <c r="V80" i="8"/>
  <c r="H80" i="8" l="1"/>
  <c r="I80" i="8" s="1"/>
  <c r="J80" i="8" s="1"/>
  <c r="C80" i="8"/>
  <c r="E80" i="8" s="1"/>
  <c r="B80" i="8"/>
  <c r="K80" i="8" l="1"/>
  <c r="G36" i="24" l="1"/>
  <c r="F11" i="24" s="1"/>
  <c r="G8" i="24" s="1"/>
  <c r="F8" i="19"/>
  <c r="F9" i="19"/>
  <c r="E9" i="19"/>
  <c r="H8" i="19" l="1"/>
  <c r="H9" i="19"/>
  <c r="K9" i="19" s="1"/>
  <c r="I8" i="19" l="1"/>
  <c r="K8" i="19"/>
  <c r="S8" i="19" s="1"/>
  <c r="J8" i="19"/>
  <c r="F10" i="19"/>
  <c r="E10" i="19"/>
  <c r="J9" i="19"/>
  <c r="L9" i="19"/>
  <c r="S9" i="19" s="1"/>
  <c r="G9" i="19"/>
  <c r="I9" i="19"/>
  <c r="H10" i="19" l="1"/>
  <c r="K10" i="19" s="1"/>
  <c r="E11" i="19"/>
  <c r="F11" i="19"/>
  <c r="F12" i="19" l="1"/>
  <c r="H11" i="19"/>
  <c r="K11" i="19" s="1"/>
  <c r="E12" i="19"/>
  <c r="J10" i="19"/>
  <c r="L10" i="19"/>
  <c r="S10" i="19" s="1"/>
  <c r="G10" i="19"/>
  <c r="I10" i="19"/>
  <c r="H12" i="19" l="1"/>
  <c r="E13" i="19"/>
  <c r="F13" i="19"/>
  <c r="G11" i="19"/>
  <c r="I11" i="19"/>
  <c r="J11" i="19"/>
  <c r="L11" i="19"/>
  <c r="S11" i="19" s="1"/>
  <c r="J12" i="19" l="1"/>
  <c r="K12" i="19"/>
  <c r="L12" i="19" s="1"/>
  <c r="F14" i="19"/>
  <c r="H13" i="19"/>
  <c r="K13" i="19" s="1"/>
  <c r="E14" i="19"/>
  <c r="G12" i="19"/>
  <c r="I12" i="19"/>
  <c r="M12" i="19" l="1"/>
  <c r="N12" i="19"/>
  <c r="H14" i="19"/>
  <c r="K14" i="19" s="1"/>
  <c r="E15" i="19"/>
  <c r="I13" i="19"/>
  <c r="L13" i="19"/>
  <c r="G13" i="19"/>
  <c r="J13" i="19"/>
  <c r="F15" i="19"/>
  <c r="M13" i="19" l="1"/>
  <c r="N13" i="19"/>
  <c r="H15" i="19"/>
  <c r="K15" i="19" s="1"/>
  <c r="E16" i="19"/>
  <c r="I14" i="19"/>
  <c r="L14" i="19"/>
  <c r="G14" i="19"/>
  <c r="J14" i="19"/>
  <c r="F16" i="19"/>
  <c r="M14" i="19" l="1"/>
  <c r="P14" i="19"/>
  <c r="F17" i="19"/>
  <c r="H16" i="19"/>
  <c r="K16" i="19" s="1"/>
  <c r="E17" i="19"/>
  <c r="G15" i="19"/>
  <c r="I15" i="19"/>
  <c r="J15" i="19"/>
  <c r="L15" i="19"/>
  <c r="M15" i="19" s="1"/>
  <c r="H17" i="19" l="1"/>
  <c r="K17" i="19" s="1"/>
  <c r="E18" i="19"/>
  <c r="G16" i="19"/>
  <c r="L16" i="19"/>
  <c r="M16" i="19" s="1"/>
  <c r="I16" i="19"/>
  <c r="J16" i="19"/>
  <c r="F18" i="19"/>
  <c r="F19" i="19" l="1"/>
  <c r="H18" i="19"/>
  <c r="K18" i="19" s="1"/>
  <c r="E19" i="19"/>
  <c r="L17" i="19"/>
  <c r="M17" i="19" s="1"/>
  <c r="G17" i="19"/>
  <c r="I17" i="19"/>
  <c r="J17" i="19"/>
  <c r="H19" i="19" l="1"/>
  <c r="K19" i="19" s="1"/>
  <c r="E20" i="19"/>
  <c r="G18" i="19"/>
  <c r="L18" i="19"/>
  <c r="M18" i="19" s="1"/>
  <c r="I18" i="19"/>
  <c r="J18" i="19"/>
  <c r="F20" i="19"/>
  <c r="F21" i="19" l="1"/>
  <c r="H20" i="19"/>
  <c r="K20" i="19" s="1"/>
  <c r="E21" i="19"/>
  <c r="L19" i="19"/>
  <c r="M19" i="19" s="1"/>
  <c r="G19" i="19"/>
  <c r="J19" i="19"/>
  <c r="I19" i="19"/>
  <c r="H21" i="19" l="1"/>
  <c r="K21" i="19" s="1"/>
  <c r="E22" i="19"/>
  <c r="I20" i="19"/>
  <c r="J20" i="19"/>
  <c r="G20" i="19"/>
  <c r="L20" i="19"/>
  <c r="M20" i="19" s="1"/>
  <c r="F22" i="19"/>
  <c r="F23" i="19" l="1"/>
  <c r="H22" i="19"/>
  <c r="K22" i="19" s="1"/>
  <c r="E23" i="19"/>
  <c r="L21" i="19"/>
  <c r="M21" i="19" s="1"/>
  <c r="J21" i="19"/>
  <c r="G21" i="19"/>
  <c r="I21" i="19"/>
  <c r="H23" i="19" l="1"/>
  <c r="K23" i="19" s="1"/>
  <c r="E24" i="19"/>
  <c r="G22" i="19"/>
  <c r="I22" i="19"/>
  <c r="J22" i="19"/>
  <c r="L22" i="19"/>
  <c r="M22" i="19" s="1"/>
  <c r="F24" i="19"/>
  <c r="H24" i="19" l="1"/>
  <c r="K24" i="19" s="1"/>
  <c r="E25" i="19"/>
  <c r="F25" i="19"/>
  <c r="I23" i="19"/>
  <c r="J23" i="19"/>
  <c r="G23" i="19"/>
  <c r="L23" i="19"/>
  <c r="M23" i="19" s="1"/>
  <c r="F26" i="19" l="1"/>
  <c r="H25" i="19"/>
  <c r="K25" i="19" s="1"/>
  <c r="E26" i="19"/>
  <c r="G24" i="19"/>
  <c r="L24" i="19"/>
  <c r="M24" i="19" s="1"/>
  <c r="I24" i="19"/>
  <c r="J24" i="19"/>
  <c r="H26" i="19" l="1"/>
  <c r="K26" i="19" s="1"/>
  <c r="E27" i="19"/>
  <c r="G25" i="19"/>
  <c r="J25" i="19"/>
  <c r="I25" i="19"/>
  <c r="L25" i="19"/>
  <c r="M25" i="19" s="1"/>
  <c r="F27" i="19"/>
  <c r="F28" i="19" l="1"/>
  <c r="H27" i="19"/>
  <c r="K27" i="19" s="1"/>
  <c r="E28" i="19"/>
  <c r="G26" i="19"/>
  <c r="I26" i="19"/>
  <c r="J26" i="19"/>
  <c r="L26" i="19"/>
  <c r="M26" i="19" s="1"/>
  <c r="J27" i="19" l="1"/>
  <c r="L27" i="19"/>
  <c r="M27" i="19" s="1"/>
  <c r="I27" i="19"/>
  <c r="G27" i="19"/>
  <c r="H28" i="19"/>
  <c r="K28" i="19" s="1"/>
  <c r="E29" i="19"/>
  <c r="F29" i="19"/>
  <c r="H29" i="19" l="1"/>
  <c r="K29" i="19" s="1"/>
  <c r="E30" i="19"/>
  <c r="F30" i="19"/>
  <c r="G28" i="19"/>
  <c r="J28" i="19"/>
  <c r="I28" i="19"/>
  <c r="L28" i="19"/>
  <c r="M28" i="19" s="1"/>
  <c r="F31" i="19" l="1"/>
  <c r="H30" i="19"/>
  <c r="K30" i="19" s="1"/>
  <c r="E31" i="19"/>
  <c r="I29" i="19"/>
  <c r="G29" i="19"/>
  <c r="J29" i="19"/>
  <c r="L29" i="19"/>
  <c r="M29" i="19" s="1"/>
  <c r="H31" i="19" l="1"/>
  <c r="K31" i="19" s="1"/>
  <c r="E32" i="19"/>
  <c r="L30" i="19"/>
  <c r="M30" i="19" s="1"/>
  <c r="G30" i="19"/>
  <c r="J30" i="19"/>
  <c r="I30" i="19"/>
  <c r="F32" i="19"/>
  <c r="H32" i="19" l="1"/>
  <c r="K32" i="19" s="1"/>
  <c r="E33" i="19"/>
  <c r="F33" i="19"/>
  <c r="J31" i="19"/>
  <c r="L31" i="19"/>
  <c r="M31" i="19" s="1"/>
  <c r="I31" i="19"/>
  <c r="G31" i="19"/>
  <c r="F34" i="19" l="1"/>
  <c r="H33" i="19"/>
  <c r="K33" i="19" s="1"/>
  <c r="E34" i="19"/>
  <c r="G32" i="19"/>
  <c r="L32" i="19"/>
  <c r="M32" i="19" s="1"/>
  <c r="J32" i="19"/>
  <c r="I32" i="19"/>
  <c r="H34" i="19" l="1"/>
  <c r="K34" i="19" s="1"/>
  <c r="E35" i="19"/>
  <c r="J33" i="19"/>
  <c r="L33" i="19"/>
  <c r="M33" i="19" s="1"/>
  <c r="I33" i="19"/>
  <c r="G33" i="19"/>
  <c r="F35" i="19"/>
  <c r="F36" i="19" l="1"/>
  <c r="H35" i="19"/>
  <c r="K35" i="19" s="1"/>
  <c r="E36" i="19"/>
  <c r="L34" i="19"/>
  <c r="M34" i="19" s="1"/>
  <c r="I34" i="19"/>
  <c r="G34" i="19"/>
  <c r="J34" i="19"/>
  <c r="H36" i="19" l="1"/>
  <c r="K36" i="19" s="1"/>
  <c r="E37" i="19"/>
  <c r="I35" i="19"/>
  <c r="L35" i="19"/>
  <c r="M35" i="19" s="1"/>
  <c r="G35" i="19"/>
  <c r="J35" i="19"/>
  <c r="F37" i="19"/>
  <c r="F38" i="19" l="1"/>
  <c r="H37" i="19"/>
  <c r="K37" i="19" s="1"/>
  <c r="E38" i="19"/>
  <c r="G36" i="19"/>
  <c r="L36" i="19"/>
  <c r="M36" i="19" s="1"/>
  <c r="I36" i="19"/>
  <c r="J36" i="19"/>
  <c r="H38" i="19" l="1"/>
  <c r="K38" i="19" s="1"/>
  <c r="E39" i="19"/>
  <c r="G37" i="19"/>
  <c r="J37" i="19"/>
  <c r="L37" i="19"/>
  <c r="M37" i="19" s="1"/>
  <c r="I37" i="19"/>
  <c r="F39" i="19"/>
  <c r="F40" i="19" l="1"/>
  <c r="H39" i="19"/>
  <c r="K39" i="19" s="1"/>
  <c r="E40" i="19"/>
  <c r="J38" i="19"/>
  <c r="L38" i="19"/>
  <c r="M38" i="19" s="1"/>
  <c r="G38" i="19"/>
  <c r="I38" i="19"/>
  <c r="H40" i="19" l="1"/>
  <c r="K40" i="19" s="1"/>
  <c r="E41" i="19"/>
  <c r="I39" i="19"/>
  <c r="G39" i="19"/>
  <c r="J39" i="19"/>
  <c r="L39" i="19"/>
  <c r="M39" i="19" s="1"/>
  <c r="F41" i="19"/>
  <c r="F42" i="19" l="1"/>
  <c r="H41" i="19"/>
  <c r="K41" i="19" s="1"/>
  <c r="E42" i="19"/>
  <c r="I40" i="19"/>
  <c r="J40" i="19"/>
  <c r="G40" i="19"/>
  <c r="L40" i="19"/>
  <c r="M40" i="19" s="1"/>
  <c r="H42" i="19" l="1"/>
  <c r="K42" i="19" s="1"/>
  <c r="E43" i="19"/>
  <c r="J41" i="19"/>
  <c r="L41" i="19"/>
  <c r="M41" i="19" s="1"/>
  <c r="I41" i="19"/>
  <c r="G41" i="19"/>
  <c r="F43" i="19"/>
  <c r="F44" i="19" l="1"/>
  <c r="H43" i="19"/>
  <c r="K43" i="19" s="1"/>
  <c r="E44" i="19"/>
  <c r="J42" i="19"/>
  <c r="L42" i="19"/>
  <c r="M42" i="19" s="1"/>
  <c r="I42" i="19"/>
  <c r="G42" i="19"/>
  <c r="H44" i="19" l="1"/>
  <c r="K44" i="19" s="1"/>
  <c r="E45" i="19"/>
  <c r="I43" i="19"/>
  <c r="G43" i="19"/>
  <c r="J43" i="19"/>
  <c r="L43" i="19"/>
  <c r="M43" i="19" s="1"/>
  <c r="F45" i="19"/>
  <c r="H45" i="19" l="1"/>
  <c r="K45" i="19" s="1"/>
  <c r="E46" i="19"/>
  <c r="F46" i="19"/>
  <c r="J44" i="19"/>
  <c r="L44" i="19"/>
  <c r="M44" i="19" s="1"/>
  <c r="I44" i="19"/>
  <c r="G44" i="19"/>
  <c r="F47" i="19" l="1"/>
  <c r="H46" i="19"/>
  <c r="K46" i="19" s="1"/>
  <c r="E47" i="19"/>
  <c r="G45" i="19"/>
  <c r="L45" i="19"/>
  <c r="M45" i="19" s="1"/>
  <c r="I45" i="19"/>
  <c r="J45" i="19"/>
  <c r="H47" i="19" l="1"/>
  <c r="K47" i="19" s="1"/>
  <c r="E48" i="19"/>
  <c r="I46" i="19"/>
  <c r="J46" i="19"/>
  <c r="G46" i="19"/>
  <c r="L46" i="19"/>
  <c r="M46" i="19" s="1"/>
  <c r="F48" i="19"/>
  <c r="H48" i="19" l="1"/>
  <c r="K48" i="19" s="1"/>
  <c r="E49" i="19"/>
  <c r="F49" i="19"/>
  <c r="I47" i="19"/>
  <c r="G47" i="19"/>
  <c r="J47" i="19"/>
  <c r="L47" i="19"/>
  <c r="M47" i="19" s="1"/>
  <c r="H49" i="19" l="1"/>
  <c r="K49" i="19" s="1"/>
  <c r="E50" i="19"/>
  <c r="F50" i="19"/>
  <c r="G48" i="19"/>
  <c r="L48" i="19"/>
  <c r="S48" i="19" s="1"/>
  <c r="I48" i="19"/>
  <c r="J48" i="19"/>
  <c r="M48" i="19" l="1"/>
  <c r="R48" i="19"/>
  <c r="H50" i="19"/>
  <c r="K50" i="19" s="1"/>
  <c r="E51" i="19"/>
  <c r="F51" i="19"/>
  <c r="L49" i="19"/>
  <c r="S49" i="19" s="1"/>
  <c r="I49" i="19"/>
  <c r="G49" i="19"/>
  <c r="J49" i="19"/>
  <c r="M49" i="19" l="1"/>
  <c r="R49" i="19"/>
  <c r="H51" i="19"/>
  <c r="K51" i="19" s="1"/>
  <c r="E52" i="19"/>
  <c r="F52" i="19"/>
  <c r="J50" i="19"/>
  <c r="L50" i="19"/>
  <c r="I50" i="19"/>
  <c r="G50" i="19"/>
  <c r="M50" i="19" l="1"/>
  <c r="R50" i="19"/>
  <c r="H52" i="19"/>
  <c r="K52" i="19" s="1"/>
  <c r="E53" i="19"/>
  <c r="F53" i="19"/>
  <c r="L51" i="19"/>
  <c r="G51" i="19"/>
  <c r="J51" i="19"/>
  <c r="I51" i="19"/>
  <c r="M51" i="19" l="1"/>
  <c r="R51" i="19"/>
  <c r="H53" i="19"/>
  <c r="K53" i="19" s="1"/>
  <c r="E54" i="19"/>
  <c r="F54" i="19"/>
  <c r="L52" i="19"/>
  <c r="R52" i="19" s="1"/>
  <c r="G52" i="19"/>
  <c r="J52" i="19"/>
  <c r="I52" i="19"/>
  <c r="M52" i="19" l="1"/>
  <c r="Q52" i="19"/>
  <c r="F55" i="19"/>
  <c r="H54" i="19"/>
  <c r="K54" i="19" s="1"/>
  <c r="E55" i="19"/>
  <c r="L53" i="19"/>
  <c r="I53" i="19"/>
  <c r="J53" i="19"/>
  <c r="G53" i="19"/>
  <c r="M53" i="19" l="1"/>
  <c r="Q53" i="19"/>
  <c r="F56" i="19"/>
  <c r="H55" i="19"/>
  <c r="K55" i="19" s="1"/>
  <c r="E56" i="19"/>
  <c r="I54" i="19"/>
  <c r="L54" i="19"/>
  <c r="G54" i="19"/>
  <c r="J54" i="19"/>
  <c r="M54" i="19" l="1"/>
  <c r="Q54" i="19"/>
  <c r="H56" i="19"/>
  <c r="K56" i="19" s="1"/>
  <c r="E57" i="19"/>
  <c r="L55" i="19"/>
  <c r="Q55" i="19" s="1"/>
  <c r="I55" i="19"/>
  <c r="G55" i="19"/>
  <c r="J55" i="19"/>
  <c r="F57" i="19"/>
  <c r="M55" i="19" l="1"/>
  <c r="P55" i="19"/>
  <c r="F58" i="19"/>
  <c r="H57" i="19"/>
  <c r="K57" i="19" s="1"/>
  <c r="E58" i="19"/>
  <c r="J56" i="19"/>
  <c r="L56" i="19"/>
  <c r="Q56" i="19" s="1"/>
  <c r="I56" i="19"/>
  <c r="G56" i="19"/>
  <c r="M56" i="19" l="1"/>
  <c r="P56" i="19"/>
  <c r="H58" i="19"/>
  <c r="K58" i="19" s="1"/>
  <c r="E59" i="19"/>
  <c r="I57" i="19"/>
  <c r="G57" i="19"/>
  <c r="J57" i="19"/>
  <c r="L57" i="19"/>
  <c r="P57" i="19" s="1"/>
  <c r="F59" i="19"/>
  <c r="M57" i="19" l="1"/>
  <c r="O57" i="19"/>
  <c r="F60" i="19"/>
  <c r="H59" i="19"/>
  <c r="K59" i="19" s="1"/>
  <c r="E60" i="19"/>
  <c r="I58" i="19"/>
  <c r="G58" i="19"/>
  <c r="J58" i="19"/>
  <c r="L58" i="19"/>
  <c r="O58" i="19" s="1"/>
  <c r="M58" i="19" l="1"/>
  <c r="P58" i="19"/>
  <c r="H60" i="19"/>
  <c r="K60" i="19" s="1"/>
  <c r="E61" i="19"/>
  <c r="J59" i="19"/>
  <c r="L59" i="19"/>
  <c r="I59" i="19"/>
  <c r="G59" i="19"/>
  <c r="F61" i="19"/>
  <c r="M59" i="19" l="1"/>
  <c r="O59" i="19"/>
  <c r="F62" i="19"/>
  <c r="H61" i="19"/>
  <c r="K61" i="19" s="1"/>
  <c r="E62" i="19"/>
  <c r="L60" i="19"/>
  <c r="O60" i="19" s="1"/>
  <c r="I60" i="19"/>
  <c r="G60" i="19"/>
  <c r="J60" i="19"/>
  <c r="M60" i="19" l="1"/>
  <c r="P60" i="19"/>
  <c r="H62" i="19"/>
  <c r="K62" i="19" s="1"/>
  <c r="E63" i="19"/>
  <c r="I61" i="19"/>
  <c r="J61" i="19"/>
  <c r="G61" i="19"/>
  <c r="L61" i="19"/>
  <c r="P61" i="19" s="1"/>
  <c r="F63" i="19"/>
  <c r="M61" i="19" l="1"/>
  <c r="O61" i="19"/>
  <c r="H63" i="19"/>
  <c r="K63" i="19" s="1"/>
  <c r="E64" i="19"/>
  <c r="F64" i="19"/>
  <c r="G62" i="19"/>
  <c r="L62" i="19"/>
  <c r="O62" i="19" s="1"/>
  <c r="I62" i="19"/>
  <c r="J62" i="19"/>
  <c r="M62" i="19" l="1"/>
  <c r="P62" i="19"/>
  <c r="F65" i="19"/>
  <c r="H64" i="19"/>
  <c r="K64" i="19" s="1"/>
  <c r="E65" i="19"/>
  <c r="J63" i="19"/>
  <c r="L63" i="19"/>
  <c r="I63" i="19"/>
  <c r="G63" i="19"/>
  <c r="M63" i="19" l="1"/>
  <c r="O63" i="19"/>
  <c r="H65" i="19"/>
  <c r="K65" i="19" s="1"/>
  <c r="E66" i="19"/>
  <c r="L64" i="19"/>
  <c r="O64" i="19" s="1"/>
  <c r="I64" i="19"/>
  <c r="G64" i="19"/>
  <c r="J64" i="19"/>
  <c r="F66" i="19"/>
  <c r="M64" i="19" l="1"/>
  <c r="N64" i="19"/>
  <c r="F67" i="19"/>
  <c r="H66" i="19"/>
  <c r="K66" i="19" s="1"/>
  <c r="E67" i="19"/>
  <c r="I65" i="19"/>
  <c r="G65" i="19"/>
  <c r="J65" i="19"/>
  <c r="L65" i="19"/>
  <c r="N65" i="19" s="1"/>
  <c r="M65" i="19" l="1"/>
  <c r="P65" i="19"/>
  <c r="F68" i="19"/>
  <c r="H67" i="19"/>
  <c r="K67" i="19" s="1"/>
  <c r="E68" i="19"/>
  <c r="L66" i="19"/>
  <c r="N66" i="19" s="1"/>
  <c r="I66" i="19"/>
  <c r="J66" i="19"/>
  <c r="G66" i="19"/>
  <c r="M66" i="19" l="1"/>
  <c r="Q66" i="19"/>
  <c r="H68" i="19"/>
  <c r="K68" i="19" s="1"/>
  <c r="E69" i="19"/>
  <c r="F69" i="19"/>
  <c r="J67" i="19"/>
  <c r="L67" i="19"/>
  <c r="M67" i="19" s="1"/>
  <c r="I67" i="19"/>
  <c r="G67" i="19"/>
  <c r="H69" i="19" l="1"/>
  <c r="K69" i="19" s="1"/>
  <c r="E70" i="19"/>
  <c r="F70" i="19"/>
  <c r="I68" i="19"/>
  <c r="G68" i="19"/>
  <c r="J68" i="19"/>
  <c r="L68" i="19"/>
  <c r="M68" i="19" l="1"/>
  <c r="Q68" i="19"/>
  <c r="F71" i="19"/>
  <c r="H70" i="19"/>
  <c r="K70" i="19" s="1"/>
  <c r="E71" i="19"/>
  <c r="L69" i="19"/>
  <c r="I69" i="19"/>
  <c r="J69" i="19"/>
  <c r="G69" i="19"/>
  <c r="M69" i="19" l="1"/>
  <c r="Q69" i="19"/>
  <c r="H71" i="19"/>
  <c r="K71" i="19" s="1"/>
  <c r="E72" i="19"/>
  <c r="L70" i="19"/>
  <c r="I70" i="19"/>
  <c r="J70" i="19"/>
  <c r="G70" i="19"/>
  <c r="F72" i="19"/>
  <c r="M70" i="19" l="1"/>
  <c r="Q70" i="19"/>
  <c r="F73" i="19"/>
  <c r="H72" i="19"/>
  <c r="K72" i="19" s="1"/>
  <c r="E73" i="19"/>
  <c r="L71" i="19"/>
  <c r="Q71" i="19" s="1"/>
  <c r="G71" i="19"/>
  <c r="J71" i="19"/>
  <c r="I71" i="19"/>
  <c r="M71" i="19" l="1"/>
  <c r="R71" i="19"/>
  <c r="H73" i="19"/>
  <c r="K73" i="19" s="1"/>
  <c r="E74" i="19"/>
  <c r="G72" i="19"/>
  <c r="J72" i="19"/>
  <c r="I72" i="19"/>
  <c r="L72" i="19"/>
  <c r="F74" i="19"/>
  <c r="M72" i="19" l="1"/>
  <c r="R72" i="19"/>
  <c r="F75" i="19"/>
  <c r="H74" i="19"/>
  <c r="K74" i="19" s="1"/>
  <c r="E75" i="19"/>
  <c r="G73" i="19"/>
  <c r="L73" i="19"/>
  <c r="I73" i="19"/>
  <c r="J73" i="19"/>
  <c r="M73" i="19" l="1"/>
  <c r="R73" i="19"/>
  <c r="H75" i="19"/>
  <c r="K75" i="19" s="1"/>
  <c r="E76" i="19"/>
  <c r="J74" i="19"/>
  <c r="L74" i="19"/>
  <c r="G74" i="19"/>
  <c r="I74" i="19"/>
  <c r="F76" i="19"/>
  <c r="M74" i="19" l="1"/>
  <c r="R74" i="19"/>
  <c r="F77" i="19"/>
  <c r="H76" i="19"/>
  <c r="K76" i="19" s="1"/>
  <c r="E77" i="19"/>
  <c r="I75" i="19"/>
  <c r="G75" i="19"/>
  <c r="J75" i="19"/>
  <c r="L75" i="19"/>
  <c r="M75" i="19" l="1"/>
  <c r="P75" i="19"/>
  <c r="H77" i="19"/>
  <c r="K77" i="19" s="1"/>
  <c r="E78" i="19"/>
  <c r="G76" i="19"/>
  <c r="L76" i="19"/>
  <c r="I76" i="19"/>
  <c r="J76" i="19"/>
  <c r="F78" i="19"/>
  <c r="O76" i="19" l="1"/>
  <c r="M76" i="19"/>
  <c r="F79" i="19"/>
  <c r="H78" i="19"/>
  <c r="K78" i="19" s="1"/>
  <c r="E79" i="19"/>
  <c r="J77" i="19"/>
  <c r="L77" i="19"/>
  <c r="I77" i="19"/>
  <c r="G77" i="19"/>
  <c r="O77" i="19" l="1"/>
  <c r="M77" i="19"/>
  <c r="H79" i="19"/>
  <c r="K79" i="19" s="1"/>
  <c r="E80" i="19"/>
  <c r="L78" i="19"/>
  <c r="G78" i="19"/>
  <c r="I78" i="19"/>
  <c r="J78" i="19"/>
  <c r="F80" i="19"/>
  <c r="O78" i="19" l="1"/>
  <c r="M78" i="19"/>
  <c r="F81" i="19"/>
  <c r="H80" i="19"/>
  <c r="K80" i="19" s="1"/>
  <c r="E81" i="19"/>
  <c r="E82" i="19" s="1"/>
  <c r="L79" i="19"/>
  <c r="G79" i="19"/>
  <c r="J79" i="19"/>
  <c r="I79" i="19"/>
  <c r="E83" i="19" l="1"/>
  <c r="H82" i="19"/>
  <c r="K82" i="19" s="1"/>
  <c r="O79" i="19"/>
  <c r="M79" i="19"/>
  <c r="H81" i="19"/>
  <c r="K81" i="19" s="1"/>
  <c r="J80" i="19"/>
  <c r="L80" i="19"/>
  <c r="I80" i="19"/>
  <c r="G80" i="19"/>
  <c r="O80" i="19" l="1"/>
  <c r="M80" i="19"/>
  <c r="G82" i="19"/>
  <c r="I82" i="19"/>
  <c r="J82" i="19"/>
  <c r="L82" i="19"/>
  <c r="E84" i="19"/>
  <c r="H83" i="19"/>
  <c r="K83" i="19" s="1"/>
  <c r="G81" i="19"/>
  <c r="L81" i="19"/>
  <c r="I81" i="19"/>
  <c r="J81" i="19"/>
  <c r="S82" i="19" l="1"/>
  <c r="M82" i="19" s="1"/>
  <c r="G83" i="19"/>
  <c r="L83" i="19"/>
  <c r="J83" i="19"/>
  <c r="I83" i="19"/>
  <c r="S81" i="19"/>
  <c r="M81" i="19" s="1"/>
  <c r="E85" i="19"/>
  <c r="H84" i="19"/>
  <c r="K84" i="19" s="1"/>
  <c r="O82" i="19" l="1"/>
  <c r="P81" i="19"/>
  <c r="N81" i="19"/>
  <c r="N82" i="19"/>
  <c r="Q81" i="19"/>
  <c r="P82" i="19"/>
  <c r="Q82" i="19"/>
  <c r="S83" i="19"/>
  <c r="M83" i="19" s="1"/>
  <c r="L84" i="19"/>
  <c r="G84" i="19"/>
  <c r="I84" i="19"/>
  <c r="J84" i="19"/>
  <c r="E86" i="19"/>
  <c r="H85" i="19"/>
  <c r="K85" i="19" s="1"/>
  <c r="O83" i="19" l="1"/>
  <c r="P83" i="19"/>
  <c r="G85" i="19"/>
  <c r="L85" i="19"/>
  <c r="I85" i="19"/>
  <c r="J85" i="19"/>
  <c r="E87" i="19"/>
  <c r="H86" i="19"/>
  <c r="K86" i="19" s="1"/>
  <c r="S84" i="19"/>
  <c r="M84" i="19" s="1"/>
  <c r="P84" i="19" l="1"/>
  <c r="O84" i="19"/>
  <c r="R84" i="19"/>
  <c r="I86" i="19"/>
  <c r="L86" i="19"/>
  <c r="G86" i="19"/>
  <c r="J86" i="19"/>
  <c r="H87" i="19"/>
  <c r="K87" i="19" s="1"/>
  <c r="E88" i="19"/>
  <c r="S85" i="19"/>
  <c r="M85" i="19" s="1"/>
  <c r="P85" i="19" l="1"/>
  <c r="T85" i="19" s="1"/>
  <c r="O85" i="19"/>
  <c r="R85" i="19"/>
  <c r="G87" i="19"/>
  <c r="I87" i="19"/>
  <c r="L87" i="19"/>
  <c r="J87" i="19"/>
  <c r="E89" i="19"/>
  <c r="H88" i="19"/>
  <c r="K88" i="19" s="1"/>
  <c r="S86" i="19"/>
  <c r="M86" i="19" s="1"/>
  <c r="P86" i="19" l="1"/>
  <c r="N86" i="19"/>
  <c r="Q86" i="19"/>
  <c r="O86" i="19"/>
  <c r="R86" i="19"/>
  <c r="G88" i="19"/>
  <c r="L88" i="19"/>
  <c r="I88" i="19"/>
  <c r="J88" i="19"/>
  <c r="E90" i="19"/>
  <c r="H89" i="19"/>
  <c r="K89" i="19" s="1"/>
  <c r="S87" i="19"/>
  <c r="M87" i="19" s="1"/>
  <c r="O87" i="19" l="1"/>
  <c r="P87" i="19"/>
  <c r="Q87" i="19"/>
  <c r="S88" i="19"/>
  <c r="Q88" i="19" s="1"/>
  <c r="I89" i="19"/>
  <c r="J89" i="19"/>
  <c r="G89" i="19"/>
  <c r="L89" i="19"/>
  <c r="E91" i="19"/>
  <c r="H90" i="19"/>
  <c r="K90" i="19" s="1"/>
  <c r="M88" i="19" l="1"/>
  <c r="O88" i="19"/>
  <c r="P88" i="19"/>
  <c r="S89" i="19"/>
  <c r="P89" i="19" s="1"/>
  <c r="G90" i="19"/>
  <c r="L90" i="19"/>
  <c r="J90" i="19"/>
  <c r="I90" i="19"/>
  <c r="E92" i="19"/>
  <c r="H91" i="19"/>
  <c r="K91" i="19" s="1"/>
  <c r="M89" i="19" l="1"/>
  <c r="N89" i="19"/>
  <c r="O89" i="19"/>
  <c r="H92" i="19"/>
  <c r="K92" i="19" s="1"/>
  <c r="E93" i="19"/>
  <c r="I91" i="19"/>
  <c r="G91" i="19"/>
  <c r="J91" i="19"/>
  <c r="L91" i="19"/>
  <c r="S90" i="19"/>
  <c r="O90" i="19" s="1"/>
  <c r="M90" i="19" l="1"/>
  <c r="N90" i="19"/>
  <c r="P90" i="19"/>
  <c r="S91" i="19"/>
  <c r="O91" i="19" s="1"/>
  <c r="E94" i="19"/>
  <c r="H93" i="19"/>
  <c r="K93" i="19" s="1"/>
  <c r="G92" i="19"/>
  <c r="I92" i="19"/>
  <c r="L92" i="19"/>
  <c r="J92" i="19"/>
  <c r="M91" i="19" l="1"/>
  <c r="P91" i="19"/>
  <c r="Q91" i="19"/>
  <c r="S92" i="19"/>
  <c r="O92" i="19" s="1"/>
  <c r="I93" i="19"/>
  <c r="G93" i="19"/>
  <c r="L93" i="19"/>
  <c r="J93" i="19"/>
  <c r="E95" i="19"/>
  <c r="H94" i="19"/>
  <c r="K94" i="19" s="1"/>
  <c r="M92" i="19" l="1"/>
  <c r="P92" i="19"/>
  <c r="Q92" i="19"/>
  <c r="E96" i="19"/>
  <c r="H95" i="19"/>
  <c r="K95" i="19" s="1"/>
  <c r="G94" i="19"/>
  <c r="J94" i="19"/>
  <c r="I94" i="19"/>
  <c r="L94" i="19"/>
  <c r="S93" i="19"/>
  <c r="M93" i="19" s="1"/>
  <c r="O93" i="19" l="1"/>
  <c r="P93" i="19"/>
  <c r="Q93" i="19"/>
  <c r="R93" i="19"/>
  <c r="J95" i="19"/>
  <c r="G95" i="19"/>
  <c r="L95" i="19"/>
  <c r="I95" i="19"/>
  <c r="S94" i="19"/>
  <c r="M94" i="19" s="1"/>
  <c r="H96" i="19"/>
  <c r="K96" i="19" s="1"/>
  <c r="E97" i="19"/>
  <c r="O94" i="19" l="1"/>
  <c r="P94" i="19"/>
  <c r="J96" i="19"/>
  <c r="L96" i="19"/>
  <c r="G96" i="19"/>
  <c r="I96" i="19"/>
  <c r="H97" i="19"/>
  <c r="K97" i="19" s="1"/>
  <c r="E98" i="19"/>
  <c r="S95" i="19"/>
  <c r="O95" i="19" s="1"/>
  <c r="M95" i="19" l="1"/>
  <c r="P95" i="19"/>
  <c r="N95" i="19"/>
  <c r="H98" i="19"/>
  <c r="K98" i="19" s="1"/>
  <c r="E99" i="19"/>
  <c r="S96" i="19"/>
  <c r="O96" i="19" s="1"/>
  <c r="M96" i="19"/>
  <c r="L97" i="19"/>
  <c r="I97" i="19"/>
  <c r="J97" i="19"/>
  <c r="G97" i="19"/>
  <c r="P96" i="19" l="1"/>
  <c r="N96" i="19"/>
  <c r="E100" i="19"/>
  <c r="H99" i="19"/>
  <c r="K99" i="19" s="1"/>
  <c r="S97" i="19"/>
  <c r="M97" i="19" s="1"/>
  <c r="L98" i="19"/>
  <c r="G98" i="19"/>
  <c r="I98" i="19"/>
  <c r="J98" i="19"/>
  <c r="P97" i="19" l="1"/>
  <c r="N97" i="19"/>
  <c r="O97" i="19"/>
  <c r="S98" i="19"/>
  <c r="Q98" i="19" s="1"/>
  <c r="M98" i="19"/>
  <c r="G99" i="19"/>
  <c r="L99" i="19"/>
  <c r="I99" i="19"/>
  <c r="J99" i="19"/>
  <c r="E101" i="19"/>
  <c r="H100" i="19"/>
  <c r="K100" i="19" s="1"/>
  <c r="P98" i="19" l="1"/>
  <c r="N98" i="19"/>
  <c r="L100" i="19"/>
  <c r="G100" i="19"/>
  <c r="I100" i="19"/>
  <c r="J100" i="19"/>
  <c r="E102" i="19"/>
  <c r="H101" i="19"/>
  <c r="K101" i="19" s="1"/>
  <c r="S99" i="19"/>
  <c r="M99" i="19" s="1"/>
  <c r="N99" i="19" l="1"/>
  <c r="P99" i="19"/>
  <c r="Q99" i="19"/>
  <c r="G101" i="19"/>
  <c r="L101" i="19"/>
  <c r="I101" i="19"/>
  <c r="J101" i="19"/>
  <c r="E103" i="19"/>
  <c r="H102" i="19"/>
  <c r="K102" i="19" s="1"/>
  <c r="S100" i="19"/>
  <c r="P100" i="19" s="1"/>
  <c r="M100" i="19"/>
  <c r="O100" i="19" l="1"/>
  <c r="S101" i="19"/>
  <c r="O101" i="19" s="1"/>
  <c r="M101" i="19"/>
  <c r="L102" i="19"/>
  <c r="G102" i="19"/>
  <c r="I102" i="19"/>
  <c r="J102" i="19"/>
  <c r="E104" i="19"/>
  <c r="H103" i="19"/>
  <c r="K103" i="19" s="1"/>
  <c r="G103" i="19" l="1"/>
  <c r="L103" i="19"/>
  <c r="I103" i="19"/>
  <c r="J103" i="19"/>
  <c r="E105" i="19"/>
  <c r="H104" i="19"/>
  <c r="K104" i="19" s="1"/>
  <c r="S102" i="19"/>
  <c r="M102" i="19" s="1"/>
  <c r="O102" i="19" l="1"/>
  <c r="S103" i="19"/>
  <c r="O103" i="19" s="1"/>
  <c r="M103" i="19"/>
  <c r="L104" i="19"/>
  <c r="G104" i="19"/>
  <c r="I104" i="19"/>
  <c r="J104" i="19"/>
  <c r="E106" i="19"/>
  <c r="H105" i="19"/>
  <c r="K105" i="19" s="1"/>
  <c r="N103" i="19" l="1"/>
  <c r="G105" i="19"/>
  <c r="L105" i="19"/>
  <c r="I105" i="19"/>
  <c r="J105" i="19"/>
  <c r="E107" i="19"/>
  <c r="H106" i="19"/>
  <c r="K106" i="19" s="1"/>
  <c r="S104" i="19"/>
  <c r="M104" i="19" s="1"/>
  <c r="N104" i="19" l="1"/>
  <c r="P104" i="19"/>
  <c r="O104" i="19"/>
  <c r="S105" i="19"/>
  <c r="O105" i="19" s="1"/>
  <c r="M105" i="19"/>
  <c r="G106" i="19"/>
  <c r="I106" i="19"/>
  <c r="J106" i="19"/>
  <c r="L106" i="19"/>
  <c r="E108" i="19"/>
  <c r="H107" i="19"/>
  <c r="K107" i="19" s="1"/>
  <c r="N105" i="19" l="1"/>
  <c r="S106" i="19"/>
  <c r="O106" i="19" s="1"/>
  <c r="M106" i="19"/>
  <c r="E109" i="19"/>
  <c r="H108" i="19"/>
  <c r="K108" i="19" s="1"/>
  <c r="G107" i="19"/>
  <c r="L107" i="19"/>
  <c r="I107" i="19"/>
  <c r="J107" i="19"/>
  <c r="S107" i="19" l="1"/>
  <c r="O107" i="19" s="1"/>
  <c r="M107" i="19"/>
  <c r="G108" i="19"/>
  <c r="L108" i="19"/>
  <c r="I108" i="19"/>
  <c r="J108" i="19"/>
  <c r="E110" i="19"/>
  <c r="H109" i="19"/>
  <c r="K109" i="19" s="1"/>
  <c r="P107" i="19" l="1"/>
  <c r="E111" i="19"/>
  <c r="H110" i="19"/>
  <c r="K110" i="19" s="1"/>
  <c r="G109" i="19"/>
  <c r="I109" i="19"/>
  <c r="J109" i="19"/>
  <c r="L109" i="19"/>
  <c r="S108" i="19"/>
  <c r="M108" i="19" s="1"/>
  <c r="P108" i="19" l="1"/>
  <c r="O108" i="19"/>
  <c r="S109" i="19"/>
  <c r="P109" i="19" s="1"/>
  <c r="M109" i="19"/>
  <c r="G110" i="19"/>
  <c r="L110" i="19"/>
  <c r="I110" i="19"/>
  <c r="J110" i="19"/>
  <c r="E112" i="19"/>
  <c r="H111" i="19"/>
  <c r="K111" i="19" s="1"/>
  <c r="O109" i="19" l="1"/>
  <c r="G111" i="19"/>
  <c r="I111" i="19"/>
  <c r="J111" i="19"/>
  <c r="L111" i="19"/>
  <c r="E113" i="19"/>
  <c r="H112" i="19"/>
  <c r="K112" i="19" s="1"/>
  <c r="S110" i="19"/>
  <c r="O110" i="19" s="1"/>
  <c r="M110" i="19"/>
  <c r="E114" i="19" l="1"/>
  <c r="H113" i="19"/>
  <c r="K113" i="19" s="1"/>
  <c r="G112" i="19"/>
  <c r="J112" i="19"/>
  <c r="I112" i="19"/>
  <c r="L112" i="19"/>
  <c r="S111" i="19"/>
  <c r="M111" i="19" s="1"/>
  <c r="P111" i="19" l="1"/>
  <c r="O111" i="19"/>
  <c r="I113" i="19"/>
  <c r="J113" i="19"/>
  <c r="G113" i="19"/>
  <c r="L113" i="19"/>
  <c r="S112" i="19"/>
  <c r="M112" i="19" s="1"/>
  <c r="E115" i="19"/>
  <c r="H114" i="19"/>
  <c r="K114" i="19" s="1"/>
  <c r="N112" i="19" l="1"/>
  <c r="P112" i="19"/>
  <c r="O112" i="19"/>
  <c r="G114" i="19"/>
  <c r="L114" i="19"/>
  <c r="J114" i="19"/>
  <c r="I114" i="19"/>
  <c r="S113" i="19"/>
  <c r="O113" i="19" s="1"/>
  <c r="M113" i="19"/>
  <c r="E116" i="19"/>
  <c r="H115" i="19"/>
  <c r="K115" i="19" s="1"/>
  <c r="N113" i="19" l="1"/>
  <c r="P113" i="19"/>
  <c r="E117" i="19"/>
  <c r="H116" i="19"/>
  <c r="K116" i="19" s="1"/>
  <c r="G115" i="19"/>
  <c r="I115" i="19"/>
  <c r="J115" i="19"/>
  <c r="L115" i="19"/>
  <c r="S114" i="19"/>
  <c r="O114" i="19" s="1"/>
  <c r="M114" i="19"/>
  <c r="N114" i="19" l="1"/>
  <c r="S115" i="19"/>
  <c r="O115" i="19" s="1"/>
  <c r="M115" i="19"/>
  <c r="G116" i="19"/>
  <c r="I116" i="19"/>
  <c r="J116" i="19"/>
  <c r="L116" i="19"/>
  <c r="H117" i="19"/>
  <c r="K117" i="19" s="1"/>
  <c r="P115" i="19" l="1"/>
  <c r="G117" i="19"/>
  <c r="I117" i="19"/>
  <c r="J117" i="19"/>
  <c r="L117" i="19"/>
  <c r="S116" i="19"/>
  <c r="O116" i="19" s="1"/>
  <c r="M116" i="19"/>
  <c r="N116" i="19" l="1"/>
  <c r="S117" i="19"/>
  <c r="O117" i="19" s="1"/>
  <c r="C20" i="18" s="1"/>
  <c r="F20" i="18" s="1"/>
  <c r="L2" i="18" s="1"/>
  <c r="M117" i="19"/>
  <c r="N117" i="19" l="1"/>
  <c r="P117" i="19"/>
  <c r="C19" i="18" s="1"/>
  <c r="C21" i="18" l="1"/>
  <c r="B28" i="18"/>
  <c r="C2" i="19" l="1"/>
  <c r="D28" i="18"/>
  <c r="F21" i="18" l="1"/>
  <c r="C24" i="18"/>
  <c r="C23" i="18"/>
  <c r="F23" i="18" s="1"/>
  <c r="C22" i="18"/>
  <c r="F22" i="18" s="1"/>
  <c r="F19" i="18"/>
  <c r="E22" i="18" l="1"/>
  <c r="C34" i="1"/>
  <c r="E23" i="18"/>
  <c r="C35" i="1"/>
  <c r="C32" i="1"/>
  <c r="E20" i="18"/>
  <c r="E19" i="18"/>
  <c r="C33" i="1"/>
  <c r="E21" i="18"/>
  <c r="C31" i="1"/>
  <c r="D27" i="13" l="1"/>
  <c r="D29" i="13" s="1"/>
  <c r="C27" i="13"/>
  <c r="C29" i="13" s="1"/>
  <c r="C28" i="13" s="1"/>
  <c r="D33" i="1"/>
  <c r="E33" i="1"/>
  <c r="F33" i="1" s="1"/>
  <c r="D32" i="1"/>
  <c r="E32" i="1"/>
  <c r="F32" i="1" s="1"/>
  <c r="D34" i="1"/>
  <c r="E34" i="1"/>
  <c r="F34" i="1" s="1"/>
  <c r="D35" i="1"/>
  <c r="E35" i="1"/>
  <c r="F35" i="1" s="1"/>
  <c r="E31" i="1"/>
  <c r="D31" i="1"/>
  <c r="F31" i="1" l="1"/>
  <c r="G31" i="1"/>
  <c r="D28" i="13"/>
  <c r="C17" i="18"/>
  <c r="E38" i="18" s="1"/>
  <c r="C18" i="18" l="1"/>
  <c r="B46" i="1" s="1"/>
  <c r="B52" i="1" s="1"/>
  <c r="C37" i="1" s="1"/>
  <c r="D37" i="1" s="1"/>
  <c r="E36" i="18"/>
  <c r="D18" i="18" l="1"/>
  <c r="C46" i="1"/>
  <c r="B47" i="1"/>
  <c r="C1" i="19"/>
  <c r="E35" i="18"/>
  <c r="E51" i="18"/>
  <c r="E52" i="18" s="1"/>
  <c r="E54" i="18" s="1"/>
  <c r="B38" i="1" l="1"/>
  <c r="E55" i="18"/>
  <c r="E56" i="18" s="1"/>
  <c r="E64" i="18" s="1"/>
  <c r="F64" i="18" s="1"/>
  <c r="F62" i="18"/>
  <c r="E27" i="13"/>
  <c r="B42" i="1" l="1"/>
  <c r="D41" i="1"/>
  <c r="D1" i="9"/>
  <c r="B40" i="1"/>
  <c r="F38" i="1"/>
  <c r="B39" i="1"/>
  <c r="C2" i="8"/>
  <c r="B41" i="1"/>
  <c r="F37" i="1" s="1"/>
  <c r="E29" i="13" l="1"/>
  <c r="E28" i="13"/>
  <c r="C34" i="13" s="1"/>
  <c r="C35" i="13" l="1"/>
  <c r="C36" i="13" s="1"/>
  <c r="C44" i="13" s="1"/>
  <c r="J4" i="31" s="1"/>
  <c r="I29" i="13"/>
  <c r="C32" i="13"/>
  <c r="C43" i="13"/>
  <c r="B74" i="1" s="1"/>
  <c r="E34" i="13"/>
  <c r="C12" i="7" l="1"/>
  <c r="E44" i="13"/>
  <c r="E35" i="13"/>
  <c r="E74" i="1"/>
  <c r="A18" i="7" l="1"/>
  <c r="D18" i="7" l="1"/>
  <c r="J18" i="7"/>
  <c r="O18" i="7" s="1"/>
  <c r="K18" i="7" l="1"/>
  <c r="Q18" i="7"/>
  <c r="L18" i="7" l="1"/>
  <c r="M18" i="7"/>
  <c r="N18" i="7"/>
  <c r="D5" i="31" l="1"/>
  <c r="B12" i="31" s="1"/>
  <c r="F5" i="31" l="1"/>
  <c r="B19" i="31"/>
  <c r="C19" i="31" l="1"/>
  <c r="D19" i="31"/>
  <c r="C9" i="31" s="1"/>
  <c r="B18" i="31"/>
  <c r="E9" i="7"/>
  <c r="P28" i="7" s="1"/>
  <c r="C18" i="31" l="1"/>
  <c r="E19" i="31"/>
  <c r="F9" i="7"/>
  <c r="G19" i="31"/>
  <c r="F18" i="31"/>
  <c r="G18" i="31" s="1"/>
  <c r="B29" i="7"/>
  <c r="Q28" i="7"/>
  <c r="B20" i="31"/>
  <c r="E8" i="7"/>
  <c r="G12" i="7" s="1"/>
  <c r="E9" i="31" l="1"/>
  <c r="F29" i="7"/>
  <c r="G29" i="7" s="1"/>
  <c r="A29" i="7"/>
  <c r="D29" i="7" s="1"/>
  <c r="B14" i="31"/>
  <c r="B59" i="1"/>
  <c r="F8" i="7"/>
  <c r="E18" i="31"/>
  <c r="J9" i="7"/>
  <c r="J29" i="7" s="1"/>
  <c r="O29" i="7" s="1"/>
  <c r="G9" i="7"/>
  <c r="C19" i="7" s="1"/>
  <c r="D14" i="31" l="1"/>
  <c r="N3" i="31" s="1"/>
  <c r="N5" i="31" s="1"/>
  <c r="N6" i="31" s="1"/>
  <c r="B6" i="1"/>
  <c r="D6" i="1" s="1"/>
  <c r="D10" i="1" s="1"/>
  <c r="B15" i="31"/>
  <c r="D15" i="31" s="1"/>
  <c r="K9" i="7"/>
  <c r="L9" i="7" s="1"/>
  <c r="G8" i="7"/>
  <c r="B70" i="1"/>
  <c r="C4" i="7"/>
  <c r="C20" i="7"/>
  <c r="A19" i="7"/>
  <c r="D8" i="31" l="1"/>
  <c r="B5" i="1"/>
  <c r="D5" i="1" s="1"/>
  <c r="G13" i="7"/>
  <c r="H13" i="7" s="1"/>
  <c r="K29" i="7"/>
  <c r="N29" i="7" s="1"/>
  <c r="J19" i="7"/>
  <c r="D19" i="7"/>
  <c r="B71" i="1"/>
  <c r="C3" i="7"/>
  <c r="E18" i="7" s="1"/>
  <c r="C21" i="7"/>
  <c r="A20" i="7"/>
  <c r="C2" i="13" l="1"/>
  <c r="B73" i="1"/>
  <c r="B86" i="1"/>
  <c r="M29" i="7"/>
  <c r="L29" i="7"/>
  <c r="C22" i="7"/>
  <c r="A21" i="7"/>
  <c r="B10" i="1"/>
  <c r="I15" i="6"/>
  <c r="J2" i="6"/>
  <c r="C20" i="1"/>
  <c r="C3" i="13"/>
  <c r="H18" i="7"/>
  <c r="F18" i="7"/>
  <c r="G18" i="7" s="1"/>
  <c r="E19" i="7" s="1"/>
  <c r="H19" i="7" s="1"/>
  <c r="D74" i="1"/>
  <c r="B79" i="1"/>
  <c r="D60" i="1" s="1"/>
  <c r="J20" i="7"/>
  <c r="D20" i="7"/>
  <c r="K19" i="7"/>
  <c r="O19" i="7"/>
  <c r="P19" i="7" s="1"/>
  <c r="Q19" i="7" s="1"/>
  <c r="D58" i="1" l="1"/>
  <c r="B81" i="1" s="1"/>
  <c r="C21" i="1"/>
  <c r="C22" i="1"/>
  <c r="F60" i="1"/>
  <c r="D29" i="27"/>
  <c r="G24" i="17"/>
  <c r="J15" i="6"/>
  <c r="I16" i="6"/>
  <c r="I17" i="6"/>
  <c r="D20" i="1"/>
  <c r="C6" i="13"/>
  <c r="C7" i="13" s="1"/>
  <c r="L19" i="7"/>
  <c r="N19" i="7"/>
  <c r="M19" i="7"/>
  <c r="F19" i="7"/>
  <c r="G19" i="7" s="1"/>
  <c r="E20" i="7" s="1"/>
  <c r="D21" i="7"/>
  <c r="J21" i="7"/>
  <c r="K20" i="7"/>
  <c r="O20" i="7"/>
  <c r="P20" i="7" s="1"/>
  <c r="Q20" i="7" s="1"/>
  <c r="I18" i="7"/>
  <c r="E4" i="7"/>
  <c r="C23" i="7"/>
  <c r="A22" i="7"/>
  <c r="C81" i="1" l="1"/>
  <c r="F58" i="1"/>
  <c r="B2" i="31"/>
  <c r="J16" i="31" s="1"/>
  <c r="C79" i="1"/>
  <c r="B82" i="1"/>
  <c r="F18" i="1" s="1"/>
  <c r="I18" i="6"/>
  <c r="D21" i="1"/>
  <c r="D22" i="1"/>
  <c r="F20" i="7"/>
  <c r="G20" i="7" s="1"/>
  <c r="E21" i="7" s="1"/>
  <c r="H20" i="7"/>
  <c r="A23" i="7"/>
  <c r="C24" i="7"/>
  <c r="K21" i="7"/>
  <c r="O21" i="7"/>
  <c r="P21" i="7" s="1"/>
  <c r="Q21" i="7" s="1"/>
  <c r="J22" i="7"/>
  <c r="D22" i="7"/>
  <c r="J16" i="6"/>
  <c r="J17" i="6"/>
  <c r="I19" i="7"/>
  <c r="L20" i="7"/>
  <c r="N20" i="7"/>
  <c r="M20" i="7"/>
  <c r="C4" i="13"/>
  <c r="C5" i="13" s="1"/>
  <c r="B85" i="1"/>
  <c r="B87" i="1" s="1"/>
  <c r="D106" i="1" s="1"/>
  <c r="C47" i="13"/>
  <c r="C48" i="13" s="1"/>
  <c r="Q31" i="31" l="1"/>
  <c r="Q32" i="31"/>
  <c r="Q25" i="31"/>
  <c r="Q33" i="31"/>
  <c r="Q41" i="31"/>
  <c r="Q34" i="31"/>
  <c r="Q42" i="31"/>
  <c r="Q35" i="31"/>
  <c r="Q43" i="31"/>
  <c r="Q28" i="31"/>
  <c r="Q36" i="31"/>
  <c r="Q24" i="31"/>
  <c r="Q29" i="31"/>
  <c r="Q37" i="31"/>
  <c r="Q30" i="31"/>
  <c r="Q38" i="31"/>
  <c r="Q39" i="31"/>
  <c r="Q40" i="31"/>
  <c r="Q26" i="31"/>
  <c r="Q27" i="31"/>
  <c r="J17" i="31"/>
  <c r="B88" i="1"/>
  <c r="B92" i="1" s="1"/>
  <c r="I20" i="7"/>
  <c r="J18" i="6"/>
  <c r="A24" i="7"/>
  <c r="C25" i="7"/>
  <c r="F21" i="7"/>
  <c r="G21" i="7" s="1"/>
  <c r="E22" i="7" s="1"/>
  <c r="H21" i="7"/>
  <c r="M21" i="7"/>
  <c r="N21" i="7"/>
  <c r="L21" i="7"/>
  <c r="D23" i="7"/>
  <c r="J23" i="7"/>
  <c r="O23" i="7" s="1"/>
  <c r="P23" i="7" s="1"/>
  <c r="Q23" i="7" s="1"/>
  <c r="K22" i="7"/>
  <c r="O22" i="7"/>
  <c r="P22" i="7" s="1"/>
  <c r="Q22" i="7" s="1"/>
  <c r="M20" i="31" l="1"/>
  <c r="J18" i="31"/>
  <c r="O17" i="31"/>
  <c r="B91" i="1"/>
  <c r="G20" i="17" s="1"/>
  <c r="D105" i="1"/>
  <c r="F105" i="1" s="1"/>
  <c r="I105" i="1" s="1"/>
  <c r="F106" i="1"/>
  <c r="H106" i="1" s="1"/>
  <c r="D104" i="1"/>
  <c r="F104" i="1" s="1"/>
  <c r="D103" i="1"/>
  <c r="F103" i="1" s="1"/>
  <c r="H103" i="1" s="1"/>
  <c r="K23" i="7"/>
  <c r="N23" i="7" s="1"/>
  <c r="N22" i="7"/>
  <c r="M22" i="7"/>
  <c r="L22" i="7"/>
  <c r="F22" i="7"/>
  <c r="G22" i="7" s="1"/>
  <c r="E23" i="7" s="1"/>
  <c r="H22" i="7"/>
  <c r="C26" i="7"/>
  <c r="A25" i="7"/>
  <c r="I21" i="7"/>
  <c r="D30" i="27"/>
  <c r="E92" i="1"/>
  <c r="D101" i="1" s="1"/>
  <c r="G21" i="17"/>
  <c r="G22" i="17"/>
  <c r="D24" i="7"/>
  <c r="J24" i="7"/>
  <c r="O24" i="7" s="1"/>
  <c r="P24" i="7" s="1"/>
  <c r="Q24" i="7" s="1"/>
  <c r="O20" i="31" l="1"/>
  <c r="O19" i="31"/>
  <c r="E91" i="1"/>
  <c r="D99" i="1" s="1"/>
  <c r="I106" i="1"/>
  <c r="J106" i="1" s="1"/>
  <c r="M107" i="1"/>
  <c r="M108" i="1" s="1"/>
  <c r="H105" i="1"/>
  <c r="J105" i="1"/>
  <c r="I103" i="1"/>
  <c r="J103" i="1" s="1"/>
  <c r="H104" i="1"/>
  <c r="I104" i="1"/>
  <c r="J104" i="1" s="1"/>
  <c r="F101" i="1"/>
  <c r="H101" i="1" s="1"/>
  <c r="M23" i="7"/>
  <c r="L23" i="7"/>
  <c r="K24" i="7"/>
  <c r="N24" i="7" s="1"/>
  <c r="F23" i="7"/>
  <c r="G23" i="7" s="1"/>
  <c r="E24" i="7" s="1"/>
  <c r="H23" i="7"/>
  <c r="I22" i="7"/>
  <c r="J25" i="7"/>
  <c r="D25" i="7"/>
  <c r="C27" i="7"/>
  <c r="A26" i="7"/>
  <c r="D97" i="1" l="1"/>
  <c r="D59" i="1" s="1"/>
  <c r="B57" i="1" s="1"/>
  <c r="D57" i="1" s="1"/>
  <c r="L24" i="7"/>
  <c r="M24" i="7"/>
  <c r="I23" i="7"/>
  <c r="C28" i="7"/>
  <c r="A27" i="7"/>
  <c r="F24" i="7"/>
  <c r="G24" i="7" s="1"/>
  <c r="E25" i="7" s="1"/>
  <c r="H24" i="7"/>
  <c r="F99" i="1"/>
  <c r="B108" i="1"/>
  <c r="B110" i="1" s="1"/>
  <c r="B112" i="1"/>
  <c r="B115" i="1" s="1"/>
  <c r="F102" i="1"/>
  <c r="J26" i="7"/>
  <c r="D26" i="7"/>
  <c r="K25" i="7"/>
  <c r="O25" i="7"/>
  <c r="P25" i="7" s="1"/>
  <c r="Q25" i="7" s="1"/>
  <c r="F97" i="1" l="1"/>
  <c r="H97" i="1" s="1"/>
  <c r="H99" i="1"/>
  <c r="H102" i="1" s="1"/>
  <c r="J115" i="1"/>
  <c r="L25" i="7"/>
  <c r="N25" i="7"/>
  <c r="M25" i="7"/>
  <c r="K26" i="7"/>
  <c r="O26" i="7"/>
  <c r="P26" i="7" s="1"/>
  <c r="Q26" i="7" s="1"/>
  <c r="C29" i="7"/>
  <c r="A28" i="7"/>
  <c r="F25" i="7"/>
  <c r="G25" i="7" s="1"/>
  <c r="H25" i="7"/>
  <c r="F59" i="1"/>
  <c r="E18" i="1"/>
  <c r="J27" i="7"/>
  <c r="D27" i="7"/>
  <c r="I24" i="7"/>
  <c r="I25" i="7" l="1"/>
  <c r="E26" i="7"/>
  <c r="F26" i="7" s="1"/>
  <c r="G26" i="7" s="1"/>
  <c r="C30" i="7"/>
  <c r="C31" i="7" s="1"/>
  <c r="C32" i="7" s="1"/>
  <c r="C33" i="7" s="1"/>
  <c r="C34" i="7" s="1"/>
  <c r="C35" i="7" s="1"/>
  <c r="C36" i="7" s="1"/>
  <c r="C37" i="7" s="1"/>
  <c r="C38" i="7" s="1"/>
  <c r="C39" i="7" s="1"/>
  <c r="C40" i="7" s="1"/>
  <c r="C41" i="7" s="1"/>
  <c r="C42" i="7" s="1"/>
  <c r="C43" i="7" s="1"/>
  <c r="C44" i="7" s="1"/>
  <c r="C45" i="7" s="1"/>
  <c r="C46" i="7" s="1"/>
  <c r="C47" i="7" s="1"/>
  <c r="C48" i="7" s="1"/>
  <c r="C49" i="7" s="1"/>
  <c r="C50" i="7" s="1"/>
  <c r="C51" i="7" s="1"/>
  <c r="C52" i="7" s="1"/>
  <c r="C53" i="7" s="1"/>
  <c r="C54" i="7" s="1"/>
  <c r="C55" i="7" s="1"/>
  <c r="C56" i="7" s="1"/>
  <c r="C57" i="7" s="1"/>
  <c r="C58" i="7" s="1"/>
  <c r="C59" i="7" s="1"/>
  <c r="C60" i="7" s="1"/>
  <c r="C61" i="7" s="1"/>
  <c r="C62" i="7" s="1"/>
  <c r="C63" i="7" s="1"/>
  <c r="C64" i="7" s="1"/>
  <c r="C65" i="7" s="1"/>
  <c r="C66" i="7" s="1"/>
  <c r="C67" i="7" s="1"/>
  <c r="C68" i="7" s="1"/>
  <c r="C69" i="7" s="1"/>
  <c r="C70" i="7" s="1"/>
  <c r="C71" i="7" s="1"/>
  <c r="C72" i="7" s="1"/>
  <c r="C73" i="7" s="1"/>
  <c r="C74" i="7" s="1"/>
  <c r="C75" i="7" s="1"/>
  <c r="C76" i="7" s="1"/>
  <c r="C77" i="7" s="1"/>
  <c r="C78" i="7" s="1"/>
  <c r="C79" i="7" s="1"/>
  <c r="C80" i="7" s="1"/>
  <c r="C81" i="7" s="1"/>
  <c r="C82" i="7" s="1"/>
  <c r="C83" i="7" s="1"/>
  <c r="C84" i="7" s="1"/>
  <c r="C85" i="7" s="1"/>
  <c r="C86" i="7" s="1"/>
  <c r="C87" i="7" s="1"/>
  <c r="C88" i="7" s="1"/>
  <c r="C89" i="7" s="1"/>
  <c r="C90" i="7" s="1"/>
  <c r="C91" i="7" s="1"/>
  <c r="C92" i="7" s="1"/>
  <c r="C93" i="7" s="1"/>
  <c r="C94" i="7" s="1"/>
  <c r="C95" i="7" s="1"/>
  <c r="C96" i="7" s="1"/>
  <c r="C97" i="7" s="1"/>
  <c r="C98" i="7" s="1"/>
  <c r="C99" i="7" s="1"/>
  <c r="C100" i="7" s="1"/>
  <c r="C101" i="7" s="1"/>
  <c r="C102" i="7" s="1"/>
  <c r="C103" i="7" s="1"/>
  <c r="C104" i="7" s="1"/>
  <c r="C105" i="7" s="1"/>
  <c r="C106" i="7" s="1"/>
  <c r="C107" i="7" s="1"/>
  <c r="C108" i="7" s="1"/>
  <c r="C109" i="7" s="1"/>
  <c r="C110" i="7" s="1"/>
  <c r="C111" i="7" s="1"/>
  <c r="C112" i="7" s="1"/>
  <c r="C113" i="7" s="1"/>
  <c r="C114" i="7" s="1"/>
  <c r="C115" i="7" s="1"/>
  <c r="C116" i="7" s="1"/>
  <c r="C117" i="7" s="1"/>
  <c r="C118" i="7" s="1"/>
  <c r="C119" i="7" s="1"/>
  <c r="C120" i="7" s="1"/>
  <c r="C121" i="7" s="1"/>
  <c r="C122" i="7" s="1"/>
  <c r="C123" i="7" s="1"/>
  <c r="C124" i="7" s="1"/>
  <c r="C125" i="7" s="1"/>
  <c r="C126" i="7" s="1"/>
  <c r="C127" i="7" s="1"/>
  <c r="C128" i="7" s="1"/>
  <c r="C129" i="7" s="1"/>
  <c r="C130" i="7" s="1"/>
  <c r="C131" i="7" s="1"/>
  <c r="C132" i="7" s="1"/>
  <c r="C133" i="7" s="1"/>
  <c r="C134" i="7" s="1"/>
  <c r="C135" i="7" s="1"/>
  <c r="C136" i="7" s="1"/>
  <c r="C137" i="7" s="1"/>
  <c r="C138" i="7" s="1"/>
  <c r="C139" i="7" s="1"/>
  <c r="C140" i="7" s="1"/>
  <c r="C141" i="7" s="1"/>
  <c r="C142" i="7" s="1"/>
  <c r="C143" i="7" s="1"/>
  <c r="C144" i="7" s="1"/>
  <c r="C145" i="7" s="1"/>
  <c r="C146" i="7" s="1"/>
  <c r="C147" i="7" s="1"/>
  <c r="C148" i="7" s="1"/>
  <c r="C149" i="7" s="1"/>
  <c r="C150" i="7" s="1"/>
  <c r="C151" i="7" s="1"/>
  <c r="C152" i="7" s="1"/>
  <c r="C153" i="7" s="1"/>
  <c r="C154" i="7" s="1"/>
  <c r="C155" i="7" s="1"/>
  <c r="C156" i="7" s="1"/>
  <c r="C157" i="7" s="1"/>
  <c r="C158" i="7" s="1"/>
  <c r="C159" i="7" s="1"/>
  <c r="C160" i="7" s="1"/>
  <c r="C161" i="7" s="1"/>
  <c r="C162" i="7" s="1"/>
  <c r="C163" i="7" s="1"/>
  <c r="C164" i="7" s="1"/>
  <c r="C165" i="7" s="1"/>
  <c r="C166" i="7" s="1"/>
  <c r="C167" i="7" s="1"/>
  <c r="C168" i="7" s="1"/>
  <c r="C169" i="7" s="1"/>
  <c r="C170" i="7" s="1"/>
  <c r="C171" i="7" s="1"/>
  <c r="C172" i="7" s="1"/>
  <c r="C173" i="7" s="1"/>
  <c r="C174" i="7" s="1"/>
  <c r="C175" i="7" s="1"/>
  <c r="C176" i="7" s="1"/>
  <c r="C177" i="7" s="1"/>
  <c r="C178" i="7" s="1"/>
  <c r="C179" i="7" s="1"/>
  <c r="C180" i="7" s="1"/>
  <c r="C181" i="7" s="1"/>
  <c r="C182" i="7" s="1"/>
  <c r="C183" i="7" s="1"/>
  <c r="C184" i="7" s="1"/>
  <c r="C185" i="7" s="1"/>
  <c r="C186" i="7" s="1"/>
  <c r="C187" i="7" s="1"/>
  <c r="C188" i="7" s="1"/>
  <c r="C189" i="7" s="1"/>
  <c r="C190" i="7" s="1"/>
  <c r="C191" i="7" s="1"/>
  <c r="C192" i="7" s="1"/>
  <c r="C193" i="7" s="1"/>
  <c r="C194" i="7" s="1"/>
  <c r="C195" i="7" s="1"/>
  <c r="C196" i="7" s="1"/>
  <c r="C197" i="7" s="1"/>
  <c r="C198" i="7" s="1"/>
  <c r="C199" i="7" s="1"/>
  <c r="C200" i="7" s="1"/>
  <c r="C201" i="7" s="1"/>
  <c r="C202" i="7" s="1"/>
  <c r="C203" i="7" s="1"/>
  <c r="C204" i="7" s="1"/>
  <c r="C205" i="7" s="1"/>
  <c r="C206" i="7" s="1"/>
  <c r="C207" i="7" s="1"/>
  <c r="C208" i="7" s="1"/>
  <c r="C209" i="7" s="1"/>
  <c r="C210" i="7" s="1"/>
  <c r="C211" i="7" s="1"/>
  <c r="C212" i="7" s="1"/>
  <c r="C213" i="7" s="1"/>
  <c r="C214" i="7" s="1"/>
  <c r="C215" i="7" s="1"/>
  <c r="C216" i="7" s="1"/>
  <c r="C217" i="7" s="1"/>
  <c r="C218" i="7" s="1"/>
  <c r="C219" i="7" s="1"/>
  <c r="C220" i="7" s="1"/>
  <c r="C221" i="7" s="1"/>
  <c r="C222" i="7" s="1"/>
  <c r="C223" i="7" s="1"/>
  <c r="C224" i="7" s="1"/>
  <c r="C225" i="7" s="1"/>
  <c r="C226" i="7" s="1"/>
  <c r="C227" i="7" s="1"/>
  <c r="C228" i="7" s="1"/>
  <c r="C229" i="7" s="1"/>
  <c r="C230" i="7" s="1"/>
  <c r="C231" i="7" s="1"/>
  <c r="C232" i="7" s="1"/>
  <c r="C233" i="7" s="1"/>
  <c r="C234" i="7" s="1"/>
  <c r="C235" i="7" s="1"/>
  <c r="C236" i="7" s="1"/>
  <c r="C237" i="7" s="1"/>
  <c r="C238" i="7" s="1"/>
  <c r="C239" i="7" s="1"/>
  <c r="C240" i="7" s="1"/>
  <c r="C241" i="7" s="1"/>
  <c r="C242" i="7" s="1"/>
  <c r="C243" i="7" s="1"/>
  <c r="C244" i="7" s="1"/>
  <c r="C245" i="7" s="1"/>
  <c r="C246" i="7" s="1"/>
  <c r="C247" i="7" s="1"/>
  <c r="C248" i="7" s="1"/>
  <c r="C249" i="7" s="1"/>
  <c r="C250" i="7" s="1"/>
  <c r="C251" i="7" s="1"/>
  <c r="C252" i="7" s="1"/>
  <c r="C253" i="7" s="1"/>
  <c r="C254" i="7" s="1"/>
  <c r="C255" i="7" s="1"/>
  <c r="C256" i="7" s="1"/>
  <c r="C257" i="7" s="1"/>
  <c r="C258" i="7" s="1"/>
  <c r="C259" i="7" s="1"/>
  <c r="C260" i="7" s="1"/>
  <c r="C261" i="7" s="1"/>
  <c r="C262" i="7" s="1"/>
  <c r="C263" i="7" s="1"/>
  <c r="C264" i="7" s="1"/>
  <c r="C265" i="7" s="1"/>
  <c r="C266" i="7" s="1"/>
  <c r="C267" i="7" s="1"/>
  <c r="C268" i="7" s="1"/>
  <c r="C269" i="7" s="1"/>
  <c r="C270" i="7" s="1"/>
  <c r="C271" i="7" s="1"/>
  <c r="C272" i="7" s="1"/>
  <c r="C273" i="7" s="1"/>
  <c r="C274" i="7" s="1"/>
  <c r="C275" i="7" s="1"/>
  <c r="C276" i="7" s="1"/>
  <c r="C277" i="7" s="1"/>
  <c r="C278" i="7" s="1"/>
  <c r="C279" i="7" s="1"/>
  <c r="C280" i="7" s="1"/>
  <c r="C281" i="7" s="1"/>
  <c r="C282" i="7" s="1"/>
  <c r="C283" i="7" s="1"/>
  <c r="C284" i="7" s="1"/>
  <c r="C285" i="7" s="1"/>
  <c r="C286" i="7" s="1"/>
  <c r="C287" i="7" s="1"/>
  <c r="C288" i="7" s="1"/>
  <c r="C289" i="7" s="1"/>
  <c r="C290" i="7" s="1"/>
  <c r="C291" i="7" s="1"/>
  <c r="C292" i="7" s="1"/>
  <c r="C293" i="7" s="1"/>
  <c r="C294" i="7" s="1"/>
  <c r="C295" i="7" s="1"/>
  <c r="C296" i="7" s="1"/>
  <c r="C297" i="7" s="1"/>
  <c r="C298" i="7" s="1"/>
  <c r="C299" i="7" s="1"/>
  <c r="C300" i="7" s="1"/>
  <c r="C301" i="7" s="1"/>
  <c r="C302" i="7" s="1"/>
  <c r="C303" i="7" s="1"/>
  <c r="C304" i="7" s="1"/>
  <c r="C305" i="7" s="1"/>
  <c r="C306" i="7" s="1"/>
  <c r="C307" i="7" s="1"/>
  <c r="C308" i="7" s="1"/>
  <c r="C309" i="7" s="1"/>
  <c r="C310" i="7" s="1"/>
  <c r="C311" i="7" s="1"/>
  <c r="C312" i="7" s="1"/>
  <c r="C313" i="7" s="1"/>
  <c r="C314" i="7" s="1"/>
  <c r="C315" i="7" s="1"/>
  <c r="C316" i="7" s="1"/>
  <c r="C317" i="7" s="1"/>
  <c r="C318" i="7" s="1"/>
  <c r="C319" i="7" s="1"/>
  <c r="C320" i="7" s="1"/>
  <c r="C321" i="7" s="1"/>
  <c r="C322" i="7" s="1"/>
  <c r="C323" i="7" s="1"/>
  <c r="C324" i="7" s="1"/>
  <c r="C325" i="7" s="1"/>
  <c r="C326" i="7" s="1"/>
  <c r="C327" i="7" s="1"/>
  <c r="C328" i="7" s="1"/>
  <c r="C329" i="7" s="1"/>
  <c r="C330" i="7" s="1"/>
  <c r="C331" i="7" s="1"/>
  <c r="C332" i="7" s="1"/>
  <c r="C333" i="7" s="1"/>
  <c r="C334" i="7" s="1"/>
  <c r="C335" i="7" s="1"/>
  <c r="C336" i="7" s="1"/>
  <c r="C337" i="7" s="1"/>
  <c r="C338" i="7" s="1"/>
  <c r="C339" i="7" s="1"/>
  <c r="C340" i="7" s="1"/>
  <c r="C341" i="7" s="1"/>
  <c r="C342" i="7" s="1"/>
  <c r="C343" i="7" s="1"/>
  <c r="C344" i="7" s="1"/>
  <c r="C345" i="7" s="1"/>
  <c r="C346" i="7" s="1"/>
  <c r="C347" i="7" s="1"/>
  <c r="C348" i="7" s="1"/>
  <c r="C349" i="7" s="1"/>
  <c r="C350" i="7" s="1"/>
  <c r="C351" i="7" s="1"/>
  <c r="P29" i="7"/>
  <c r="K27" i="7"/>
  <c r="O27" i="7"/>
  <c r="P27" i="7" s="1"/>
  <c r="Q27" i="7" s="1"/>
  <c r="M26" i="7"/>
  <c r="L26" i="7"/>
  <c r="N26" i="7"/>
  <c r="J28" i="7"/>
  <c r="D28" i="7"/>
  <c r="I26" i="7" l="1"/>
  <c r="H26" i="7"/>
  <c r="E27" i="7"/>
  <c r="L27" i="7"/>
  <c r="M27" i="7"/>
  <c r="N27" i="7"/>
  <c r="K28" i="7"/>
  <c r="O28" i="7"/>
  <c r="B30" i="7"/>
  <c r="Q29" i="7"/>
  <c r="A30" i="7" l="1"/>
  <c r="D30" i="7" s="1"/>
  <c r="F30" i="7"/>
  <c r="G30" i="7" s="1"/>
  <c r="J30" i="7"/>
  <c r="L28" i="7"/>
  <c r="M28" i="7"/>
  <c r="N28" i="7"/>
  <c r="F27" i="7"/>
  <c r="G27" i="7" s="1"/>
  <c r="H27" i="7"/>
  <c r="E28" i="7" l="1"/>
  <c r="I27" i="7"/>
  <c r="K30" i="7"/>
  <c r="O30" i="7"/>
  <c r="P30" i="7" s="1"/>
  <c r="B31" i="7" l="1"/>
  <c r="Q30" i="7"/>
  <c r="L30" i="7"/>
  <c r="M30" i="7"/>
  <c r="N30" i="7"/>
  <c r="F28" i="7"/>
  <c r="G28" i="7" s="1"/>
  <c r="E29" i="7" s="1"/>
  <c r="H28" i="7"/>
  <c r="F31" i="7" l="1"/>
  <c r="G31" i="7" s="1"/>
  <c r="A31" i="7"/>
  <c r="E30" i="7"/>
  <c r="H29" i="7"/>
  <c r="I28" i="7"/>
  <c r="I29" i="7" s="1"/>
  <c r="I30" i="7" s="1"/>
  <c r="I31" i="7" l="1"/>
  <c r="J31" i="7"/>
  <c r="O31" i="7" s="1"/>
  <c r="P31" i="7" s="1"/>
  <c r="D31" i="7"/>
  <c r="H30" i="7"/>
  <c r="E31" i="7"/>
  <c r="K31" i="7" l="1"/>
  <c r="H31" i="7"/>
  <c r="E32" i="7"/>
  <c r="B32" i="7"/>
  <c r="Q31" i="7"/>
  <c r="M31" i="7" l="1"/>
  <c r="L31" i="7"/>
  <c r="N31" i="7"/>
  <c r="H32" i="7"/>
  <c r="F32" i="7"/>
  <c r="G32" i="7" s="1"/>
  <c r="I32" i="7" s="1"/>
  <c r="A32" i="7"/>
  <c r="J32" i="7" l="1"/>
  <c r="D32" i="7"/>
  <c r="E33" i="7"/>
  <c r="H33" i="7" l="1"/>
  <c r="K32" i="7"/>
  <c r="O32" i="7"/>
  <c r="P32" i="7" s="1"/>
  <c r="B33" i="7" l="1"/>
  <c r="Q32" i="7"/>
  <c r="M32" i="7"/>
  <c r="L32" i="7"/>
  <c r="N32" i="7"/>
  <c r="F33" i="7" l="1"/>
  <c r="G33" i="7" s="1"/>
  <c r="A33" i="7"/>
  <c r="J33" i="7" l="1"/>
  <c r="D33" i="7"/>
  <c r="I33" i="7"/>
  <c r="E34" i="7"/>
  <c r="H34" i="7" l="1"/>
  <c r="K33" i="7"/>
  <c r="O33" i="7"/>
  <c r="P33" i="7" s="1"/>
  <c r="B34" i="7" l="1"/>
  <c r="Q33" i="7"/>
  <c r="L33" i="7"/>
  <c r="N33" i="7"/>
  <c r="M33" i="7"/>
  <c r="F34" i="7" l="1"/>
  <c r="G34" i="7" s="1"/>
  <c r="A34" i="7"/>
  <c r="J34" i="7" l="1"/>
  <c r="O34" i="7" s="1"/>
  <c r="P34" i="7" s="1"/>
  <c r="D34" i="7"/>
  <c r="I34" i="7"/>
  <c r="E35" i="7"/>
  <c r="K34" i="7" l="1"/>
  <c r="H35" i="7"/>
  <c r="B35" i="7"/>
  <c r="Q34" i="7"/>
  <c r="M34" i="7" l="1"/>
  <c r="L34" i="7"/>
  <c r="N34" i="7"/>
  <c r="F35" i="7"/>
  <c r="G35" i="7" s="1"/>
  <c r="A35" i="7"/>
  <c r="J35" i="7" l="1"/>
  <c r="O35" i="7" s="1"/>
  <c r="P35" i="7" s="1"/>
  <c r="D35" i="7"/>
  <c r="E36" i="7"/>
  <c r="H36" i="7" s="1"/>
  <c r="I35" i="7"/>
  <c r="K35" i="7" l="1"/>
  <c r="M35" i="7" s="1"/>
  <c r="B36" i="7"/>
  <c r="Q35" i="7"/>
  <c r="N35" i="7" l="1"/>
  <c r="L35" i="7"/>
  <c r="F36" i="7"/>
  <c r="G36" i="7" s="1"/>
  <c r="A36" i="7"/>
  <c r="J36" i="7" l="1"/>
  <c r="O36" i="7" s="1"/>
  <c r="P36" i="7" s="1"/>
  <c r="D36" i="7"/>
  <c r="E37" i="7"/>
  <c r="H37" i="7" s="1"/>
  <c r="I36" i="7"/>
  <c r="K36" i="7" l="1"/>
  <c r="B37" i="7"/>
  <c r="Q36" i="7"/>
  <c r="M36" i="7" l="1"/>
  <c r="L36" i="7"/>
  <c r="N36" i="7"/>
  <c r="F37" i="7"/>
  <c r="G37" i="7" s="1"/>
  <c r="A37" i="7"/>
  <c r="J37" i="7" l="1"/>
  <c r="O37" i="7" s="1"/>
  <c r="P37" i="7" s="1"/>
  <c r="D37" i="7"/>
  <c r="E38" i="7"/>
  <c r="I37" i="7"/>
  <c r="K37" i="7" l="1"/>
  <c r="H38" i="7"/>
  <c r="B38" i="7"/>
  <c r="Q37" i="7"/>
  <c r="N37" i="7" l="1"/>
  <c r="M37" i="7"/>
  <c r="L37" i="7"/>
  <c r="A38" i="7"/>
  <c r="F38" i="7"/>
  <c r="G38" i="7" s="1"/>
  <c r="I38" i="7" l="1"/>
  <c r="E39" i="7"/>
  <c r="J38" i="7"/>
  <c r="D38" i="7"/>
  <c r="K38" i="7" l="1"/>
  <c r="O38" i="7"/>
  <c r="P38" i="7" s="1"/>
  <c r="H39" i="7"/>
  <c r="B39" i="7" l="1"/>
  <c r="Q38" i="7"/>
  <c r="L38" i="7"/>
  <c r="M38" i="7"/>
  <c r="N38" i="7"/>
  <c r="F39" i="7" l="1"/>
  <c r="G39" i="7" s="1"/>
  <c r="A39" i="7"/>
  <c r="J39" i="7" l="1"/>
  <c r="D39" i="7"/>
  <c r="E40" i="7"/>
  <c r="H40" i="7" s="1"/>
  <c r="I39" i="7"/>
  <c r="K39" i="7" l="1"/>
  <c r="O39" i="7"/>
  <c r="P39" i="7" s="1"/>
  <c r="B40" i="7" l="1"/>
  <c r="Q39" i="7"/>
  <c r="N39" i="7"/>
  <c r="M39" i="7"/>
  <c r="L39" i="7"/>
  <c r="F40" i="7" l="1"/>
  <c r="G40" i="7" s="1"/>
  <c r="A40" i="7"/>
  <c r="J40" i="7" l="1"/>
  <c r="D40" i="7"/>
  <c r="E41" i="7"/>
  <c r="H41" i="7" s="1"/>
  <c r="I40" i="7"/>
  <c r="K40" i="7" l="1"/>
  <c r="O40" i="7"/>
  <c r="P40" i="7" s="1"/>
  <c r="B41" i="7" l="1"/>
  <c r="Q40" i="7"/>
  <c r="M40" i="7"/>
  <c r="N40" i="7"/>
  <c r="L40" i="7"/>
  <c r="F41" i="7" l="1"/>
  <c r="G41" i="7" s="1"/>
  <c r="A41" i="7"/>
  <c r="J41" i="7" l="1"/>
  <c r="D41" i="7"/>
  <c r="E42" i="7"/>
  <c r="H42" i="7" s="1"/>
  <c r="I41" i="7"/>
  <c r="K41" i="7" l="1"/>
  <c r="O41" i="7"/>
  <c r="P41" i="7" s="1"/>
  <c r="B42" i="7" l="1"/>
  <c r="Q41" i="7"/>
  <c r="N41" i="7"/>
  <c r="M41" i="7"/>
  <c r="L41" i="7"/>
  <c r="F42" i="7" l="1"/>
  <c r="G42" i="7" s="1"/>
  <c r="A42" i="7"/>
  <c r="J42" i="7" l="1"/>
  <c r="D42" i="7"/>
  <c r="E43" i="7"/>
  <c r="I42" i="7"/>
  <c r="H43" i="7" l="1"/>
  <c r="K42" i="7"/>
  <c r="O42" i="7"/>
  <c r="P42" i="7" s="1"/>
  <c r="B43" i="7" l="1"/>
  <c r="Q42" i="7"/>
  <c r="L42" i="7"/>
  <c r="N42" i="7"/>
  <c r="M42" i="7"/>
  <c r="A43" i="7" l="1"/>
  <c r="F43" i="7"/>
  <c r="G43" i="7" s="1"/>
  <c r="P43" i="7"/>
  <c r="B44" i="7" l="1"/>
  <c r="Q43" i="7"/>
  <c r="I43" i="7"/>
  <c r="E44" i="7"/>
  <c r="J43" i="7"/>
  <c r="D43" i="7"/>
  <c r="O43" i="7" l="1"/>
  <c r="K43" i="7"/>
  <c r="M43" i="7" s="1"/>
  <c r="H44" i="7"/>
  <c r="F44" i="7"/>
  <c r="G44" i="7" s="1"/>
  <c r="I44" i="7" s="1"/>
  <c r="A44" i="7"/>
  <c r="N43" i="7" l="1"/>
  <c r="L43" i="7"/>
  <c r="J44" i="7"/>
  <c r="D44" i="7"/>
  <c r="E45" i="7"/>
  <c r="O44" i="7" l="1"/>
  <c r="P44" i="7" s="1"/>
  <c r="B45" i="7" s="1"/>
  <c r="K44" i="7"/>
  <c r="H45" i="7"/>
  <c r="Q44" i="7" l="1"/>
  <c r="M44" i="7"/>
  <c r="L44" i="7"/>
  <c r="N44" i="7"/>
  <c r="F45" i="7"/>
  <c r="G45" i="7" s="1"/>
  <c r="A45" i="7"/>
  <c r="J45" i="7" l="1"/>
  <c r="D45" i="7"/>
  <c r="I45" i="7"/>
  <c r="E46" i="7"/>
  <c r="O45" i="7" l="1"/>
  <c r="P45" i="7" s="1"/>
  <c r="Q45" i="7" s="1"/>
  <c r="K45" i="7"/>
  <c r="M45" i="7" s="1"/>
  <c r="H46" i="7"/>
  <c r="B46" i="7" l="1"/>
  <c r="F46" i="7" s="1"/>
  <c r="G46" i="7" s="1"/>
  <c r="N45" i="7"/>
  <c r="L45" i="7"/>
  <c r="A46" i="7"/>
  <c r="J46" i="7" l="1"/>
  <c r="D46" i="7"/>
  <c r="E47" i="7"/>
  <c r="I46" i="7"/>
  <c r="H47" i="7" l="1"/>
  <c r="K46" i="7"/>
  <c r="O46" i="7"/>
  <c r="P46" i="7" s="1"/>
  <c r="B47" i="7" l="1"/>
  <c r="Q46" i="7"/>
  <c r="L46" i="7"/>
  <c r="M46" i="7"/>
  <c r="N46" i="7"/>
  <c r="F47" i="7" l="1"/>
  <c r="G47" i="7" s="1"/>
  <c r="A47" i="7"/>
  <c r="J47" i="7" l="1"/>
  <c r="D47" i="7"/>
  <c r="I47" i="7"/>
  <c r="E48" i="7"/>
  <c r="H48" i="7" l="1"/>
  <c r="K47" i="7"/>
  <c r="O47" i="7"/>
  <c r="P47" i="7" s="1"/>
  <c r="B48" i="7" l="1"/>
  <c r="Q47" i="7"/>
  <c r="M47" i="7"/>
  <c r="L47" i="7"/>
  <c r="N47" i="7"/>
  <c r="F48" i="7" l="1"/>
  <c r="G48" i="7" s="1"/>
  <c r="A48" i="7"/>
  <c r="J48" i="7" l="1"/>
  <c r="D48" i="7"/>
  <c r="I48" i="7"/>
  <c r="E49" i="7"/>
  <c r="H49" i="7" l="1"/>
  <c r="K48" i="7"/>
  <c r="O48" i="7"/>
  <c r="P48" i="7" s="1"/>
  <c r="L48" i="7" l="1"/>
  <c r="M48" i="7"/>
  <c r="N48" i="7"/>
  <c r="B49" i="7"/>
  <c r="Q48" i="7"/>
  <c r="F49" i="7" l="1"/>
  <c r="G49" i="7" s="1"/>
  <c r="A49" i="7"/>
  <c r="J49" i="7" l="1"/>
  <c r="D49" i="7"/>
  <c r="I49" i="7"/>
  <c r="E50" i="7"/>
  <c r="O49" i="7" l="1"/>
  <c r="P49" i="7" s="1"/>
  <c r="B50" i="7" s="1"/>
  <c r="K49" i="7"/>
  <c r="H50" i="7"/>
  <c r="Q49" i="7" l="1"/>
  <c r="N49" i="7"/>
  <c r="M49" i="7"/>
  <c r="L49" i="7"/>
  <c r="F50" i="7"/>
  <c r="G50" i="7" s="1"/>
  <c r="A50" i="7"/>
  <c r="J50" i="7" l="1"/>
  <c r="D50" i="7"/>
  <c r="I50" i="7"/>
  <c r="E51" i="7"/>
  <c r="O50" i="7" l="1"/>
  <c r="P50" i="7" s="1"/>
  <c r="B51" i="7" s="1"/>
  <c r="K50" i="7"/>
  <c r="H51" i="7"/>
  <c r="Q50" i="7" l="1"/>
  <c r="N50" i="7"/>
  <c r="L50" i="7"/>
  <c r="M50" i="7"/>
  <c r="F51" i="7"/>
  <c r="G51" i="7" s="1"/>
  <c r="A51" i="7"/>
  <c r="J51" i="7" l="1"/>
  <c r="O51" i="7" s="1"/>
  <c r="P51" i="7" s="1"/>
  <c r="B52" i="7" s="1"/>
  <c r="D51" i="7"/>
  <c r="I51" i="7"/>
  <c r="E52" i="7"/>
  <c r="Q51" i="7" l="1"/>
  <c r="K51" i="7"/>
  <c r="M51" i="7" s="1"/>
  <c r="F52" i="7"/>
  <c r="G52" i="7" s="1"/>
  <c r="I52" i="7" s="1"/>
  <c r="A52" i="7"/>
  <c r="H52" i="7"/>
  <c r="N51" i="7" l="1"/>
  <c r="L51" i="7"/>
  <c r="E53" i="7"/>
  <c r="H53" i="7" s="1"/>
  <c r="J52" i="7"/>
  <c r="O52" i="7" s="1"/>
  <c r="P52" i="7" s="1"/>
  <c r="D52" i="7"/>
  <c r="K52" i="7" l="1"/>
  <c r="M52" i="7" s="1"/>
  <c r="B53" i="7"/>
  <c r="Q52" i="7"/>
  <c r="L52" i="7" l="1"/>
  <c r="N52" i="7"/>
  <c r="F53" i="7"/>
  <c r="G53" i="7" s="1"/>
  <c r="A53" i="7"/>
  <c r="P53" i="7"/>
  <c r="B54" i="7" l="1"/>
  <c r="Q53" i="7"/>
  <c r="J53" i="7"/>
  <c r="D53" i="7"/>
  <c r="E54" i="7"/>
  <c r="I53" i="7"/>
  <c r="O53" i="7" l="1"/>
  <c r="K53" i="7"/>
  <c r="M53" i="7" s="1"/>
  <c r="H54" i="7"/>
  <c r="F54" i="7"/>
  <c r="G54" i="7" s="1"/>
  <c r="I54" i="7" s="1"/>
  <c r="A54" i="7"/>
  <c r="N53" i="7" l="1"/>
  <c r="L53" i="7"/>
  <c r="J54" i="7"/>
  <c r="D54" i="7"/>
  <c r="E55" i="7"/>
  <c r="H55" i="7" l="1"/>
  <c r="K54" i="7"/>
  <c r="O54" i="7"/>
  <c r="P54" i="7" s="1"/>
  <c r="M54" i="7" l="1"/>
  <c r="L54" i="7"/>
  <c r="N54" i="7"/>
  <c r="B55" i="7"/>
  <c r="Q54" i="7"/>
  <c r="F55" i="7" l="1"/>
  <c r="G55" i="7" s="1"/>
  <c r="A55" i="7"/>
  <c r="J55" i="7" l="1"/>
  <c r="D55" i="7"/>
  <c r="I55" i="7"/>
  <c r="E56" i="7"/>
  <c r="H56" i="7" l="1"/>
  <c r="K55" i="7"/>
  <c r="O55" i="7"/>
  <c r="P55" i="7" s="1"/>
  <c r="B56" i="7" l="1"/>
  <c r="Q55" i="7"/>
  <c r="N55" i="7"/>
  <c r="M55" i="7"/>
  <c r="L55" i="7"/>
  <c r="F56" i="7" l="1"/>
  <c r="G56" i="7" s="1"/>
  <c r="A56" i="7"/>
  <c r="J56" i="7" l="1"/>
  <c r="D56" i="7"/>
  <c r="I56" i="7"/>
  <c r="E57" i="7"/>
  <c r="H57" i="7" l="1"/>
  <c r="K56" i="7"/>
  <c r="O56" i="7"/>
  <c r="P56" i="7" s="1"/>
  <c r="B57" i="7" l="1"/>
  <c r="Q56" i="7"/>
  <c r="M56" i="7"/>
  <c r="L56" i="7"/>
  <c r="N56" i="7"/>
  <c r="F57" i="7" l="1"/>
  <c r="G57" i="7" s="1"/>
  <c r="A57" i="7"/>
  <c r="J57" i="7" l="1"/>
  <c r="D57" i="7"/>
  <c r="I57" i="7"/>
  <c r="E58" i="7"/>
  <c r="H58" i="7" l="1"/>
  <c r="K57" i="7"/>
  <c r="O57" i="7"/>
  <c r="P57" i="7" s="1"/>
  <c r="B58" i="7" l="1"/>
  <c r="Q57" i="7"/>
  <c r="L57" i="7"/>
  <c r="N57" i="7"/>
  <c r="M57" i="7"/>
  <c r="F58" i="7" l="1"/>
  <c r="G58" i="7" s="1"/>
  <c r="A58" i="7"/>
  <c r="J58" i="7" l="1"/>
  <c r="D58" i="7"/>
  <c r="E59" i="7"/>
  <c r="I58" i="7"/>
  <c r="H59" i="7" l="1"/>
  <c r="K58" i="7"/>
  <c r="O58" i="7"/>
  <c r="P58" i="7" s="1"/>
  <c r="B59" i="7" l="1"/>
  <c r="Q58" i="7"/>
  <c r="N58" i="7"/>
  <c r="L58" i="7"/>
  <c r="M58" i="7"/>
  <c r="F59" i="7" l="1"/>
  <c r="G59" i="7" s="1"/>
  <c r="A59" i="7"/>
  <c r="J59" i="7" l="1"/>
  <c r="O59" i="7" s="1"/>
  <c r="P59" i="7" s="1"/>
  <c r="D59" i="7"/>
  <c r="E60" i="7"/>
  <c r="I59" i="7"/>
  <c r="K59" i="7" l="1"/>
  <c r="H60" i="7"/>
  <c r="B60" i="7"/>
  <c r="Q59" i="7"/>
  <c r="M59" i="7"/>
  <c r="L59" i="7" l="1"/>
  <c r="N59" i="7"/>
  <c r="F60" i="7"/>
  <c r="G60" i="7" s="1"/>
  <c r="A60" i="7"/>
  <c r="J60" i="7" l="1"/>
  <c r="D60" i="7"/>
  <c r="I60" i="7"/>
  <c r="E61" i="7"/>
  <c r="O60" i="7" l="1"/>
  <c r="P60" i="7" s="1"/>
  <c r="B61" i="7" s="1"/>
  <c r="K60" i="7"/>
  <c r="H61" i="7"/>
  <c r="Q60" i="7" l="1"/>
  <c r="L60" i="7"/>
  <c r="M60" i="7"/>
  <c r="N60" i="7"/>
  <c r="F61" i="7"/>
  <c r="G61" i="7" s="1"/>
  <c r="A61" i="7"/>
  <c r="J61" i="7" l="1"/>
  <c r="D61" i="7"/>
  <c r="I61" i="7"/>
  <c r="E62" i="7"/>
  <c r="O61" i="7" l="1"/>
  <c r="P61" i="7" s="1"/>
  <c r="B62" i="7" s="1"/>
  <c r="K61" i="7"/>
  <c r="M61" i="7" s="1"/>
  <c r="H62" i="7"/>
  <c r="Q61" i="7" l="1"/>
  <c r="N61" i="7"/>
  <c r="L61" i="7"/>
  <c r="F62" i="7"/>
  <c r="G62" i="7" s="1"/>
  <c r="A62" i="7"/>
  <c r="J62" i="7" l="1"/>
  <c r="D62" i="7"/>
  <c r="I62" i="7"/>
  <c r="E63" i="7"/>
  <c r="H63" i="7" l="1"/>
  <c r="K62" i="7"/>
  <c r="O62" i="7"/>
  <c r="P62" i="7" s="1"/>
  <c r="L62" i="7" l="1"/>
  <c r="M62" i="7"/>
  <c r="N62" i="7"/>
  <c r="B63" i="7"/>
  <c r="Q62" i="7"/>
  <c r="F63" i="7" l="1"/>
  <c r="G63" i="7" s="1"/>
  <c r="A63" i="7"/>
  <c r="J63" i="7" l="1"/>
  <c r="D63" i="7"/>
  <c r="I63" i="7"/>
  <c r="E64" i="7"/>
  <c r="H64" i="7" l="1"/>
  <c r="K63" i="7"/>
  <c r="O63" i="7"/>
  <c r="P63" i="7" s="1"/>
  <c r="L63" i="7" l="1"/>
  <c r="N63" i="7"/>
  <c r="M63" i="7"/>
  <c r="B64" i="7"/>
  <c r="Q63" i="7"/>
  <c r="F64" i="7" l="1"/>
  <c r="G64" i="7" s="1"/>
  <c r="A64" i="7"/>
  <c r="J64" i="7" l="1"/>
  <c r="D64" i="7"/>
  <c r="I64" i="7"/>
  <c r="E65" i="7"/>
  <c r="H65" i="7" l="1"/>
  <c r="K64" i="7"/>
  <c r="O64" i="7"/>
  <c r="P64" i="7" s="1"/>
  <c r="M64" i="7" l="1"/>
  <c r="N64" i="7"/>
  <c r="L64" i="7"/>
  <c r="B65" i="7"/>
  <c r="Q64" i="7"/>
  <c r="A65" i="7" l="1"/>
  <c r="F65" i="7"/>
  <c r="G65" i="7" s="1"/>
  <c r="E66" i="7" l="1"/>
  <c r="I65" i="7"/>
  <c r="J65" i="7"/>
  <c r="D65" i="7"/>
  <c r="O65" i="7" l="1"/>
  <c r="P65" i="7" s="1"/>
  <c r="B66" i="7" s="1"/>
  <c r="K65" i="7"/>
  <c r="H66" i="7"/>
  <c r="Q65" i="7" l="1"/>
  <c r="N65" i="7"/>
  <c r="L65" i="7"/>
  <c r="M65" i="7"/>
  <c r="F66" i="7"/>
  <c r="G66" i="7" s="1"/>
  <c r="A66" i="7"/>
  <c r="J66" i="7" l="1"/>
  <c r="D66" i="7"/>
  <c r="I66" i="7"/>
  <c r="E67" i="7"/>
  <c r="H67" i="7" l="1"/>
  <c r="K66" i="7"/>
  <c r="O66" i="7"/>
  <c r="P66" i="7" s="1"/>
  <c r="B67" i="7" l="1"/>
  <c r="Q66" i="7"/>
  <c r="L66" i="7"/>
  <c r="M66" i="7"/>
  <c r="N66" i="7"/>
  <c r="F67" i="7" l="1"/>
  <c r="G67" i="7" s="1"/>
  <c r="A67" i="7"/>
  <c r="J67" i="7" l="1"/>
  <c r="D67" i="7"/>
  <c r="I67" i="7"/>
  <c r="E68" i="7"/>
  <c r="H68" i="7" s="1"/>
  <c r="O67" i="7" l="1"/>
  <c r="P67" i="7" s="1"/>
  <c r="B68" i="7" s="1"/>
  <c r="K67" i="7"/>
  <c r="Q67" i="7" l="1"/>
  <c r="L67" i="7"/>
  <c r="N67" i="7"/>
  <c r="M67" i="7"/>
  <c r="F68" i="7"/>
  <c r="G68" i="7" s="1"/>
  <c r="A68" i="7"/>
  <c r="J68" i="7" l="1"/>
  <c r="D68" i="7"/>
  <c r="E69" i="7"/>
  <c r="H69" i="7" s="1"/>
  <c r="I68" i="7"/>
  <c r="K68" i="7" l="1"/>
  <c r="O68" i="7"/>
  <c r="P68" i="7" s="1"/>
  <c r="B69" i="7" l="1"/>
  <c r="Q68" i="7"/>
  <c r="L68" i="7"/>
  <c r="M68" i="7"/>
  <c r="N68" i="7"/>
  <c r="F69" i="7" l="1"/>
  <c r="G69" i="7" s="1"/>
  <c r="A69" i="7"/>
  <c r="J69" i="7" l="1"/>
  <c r="D69" i="7"/>
  <c r="E70" i="7"/>
  <c r="H70" i="7" s="1"/>
  <c r="I69" i="7"/>
  <c r="K69" i="7" l="1"/>
  <c r="O69" i="7"/>
  <c r="P69" i="7" s="1"/>
  <c r="B70" i="7" l="1"/>
  <c r="Q69" i="7"/>
  <c r="M69" i="7"/>
  <c r="L69" i="7"/>
  <c r="N69" i="7"/>
  <c r="F70" i="7" l="1"/>
  <c r="G70" i="7" s="1"/>
  <c r="A70" i="7"/>
  <c r="P70" i="7"/>
  <c r="B71" i="7" l="1"/>
  <c r="Q70" i="7"/>
  <c r="J70" i="7"/>
  <c r="D70" i="7"/>
  <c r="E71" i="7"/>
  <c r="I70" i="7"/>
  <c r="O70" i="7" l="1"/>
  <c r="K70" i="7"/>
  <c r="M70" i="7" s="1"/>
  <c r="H71" i="7"/>
  <c r="F71" i="7"/>
  <c r="G71" i="7" s="1"/>
  <c r="E72" i="7" s="1"/>
  <c r="A71" i="7"/>
  <c r="D71" i="7" s="1"/>
  <c r="J71" i="7"/>
  <c r="O71" i="7" s="1"/>
  <c r="P71" i="7" s="1"/>
  <c r="K71" i="7" l="1"/>
  <c r="L71" i="7" s="1"/>
  <c r="N70" i="7"/>
  <c r="L70" i="7"/>
  <c r="H72" i="7"/>
  <c r="M71" i="7"/>
  <c r="N71" i="7"/>
  <c r="Q71" i="7"/>
  <c r="B72" i="7"/>
  <c r="I71" i="7"/>
  <c r="A72" i="7" l="1"/>
  <c r="D72" i="7" s="1"/>
  <c r="F72" i="7"/>
  <c r="G72" i="7" s="1"/>
  <c r="E73" i="7" s="1"/>
  <c r="H73" i="7" s="1"/>
  <c r="J72" i="7" l="1"/>
  <c r="I72" i="7"/>
  <c r="O72" i="7" l="1"/>
  <c r="P72" i="7" s="1"/>
  <c r="K72" i="7"/>
  <c r="L72" i="7" l="1"/>
  <c r="N72" i="7"/>
  <c r="M72" i="7"/>
  <c r="Q72" i="7"/>
  <c r="B73" i="7"/>
  <c r="A73" i="7" l="1"/>
  <c r="D73" i="7" s="1"/>
  <c r="F73" i="7"/>
  <c r="G73" i="7" s="1"/>
  <c r="J73" i="7"/>
  <c r="O73" i="7" s="1"/>
  <c r="P73" i="7" s="1"/>
  <c r="E74" i="7" l="1"/>
  <c r="H74" i="7" s="1"/>
  <c r="I73" i="7"/>
  <c r="Q73" i="7"/>
  <c r="B74" i="7"/>
  <c r="K73" i="7"/>
  <c r="L73" i="7" l="1"/>
  <c r="N73" i="7"/>
  <c r="M73" i="7"/>
  <c r="F74" i="7"/>
  <c r="G74" i="7" s="1"/>
  <c r="A74" i="7"/>
  <c r="D74" i="7" s="1"/>
  <c r="E75" i="7" l="1"/>
  <c r="H75" i="7" s="1"/>
  <c r="I74" i="7"/>
  <c r="J74" i="7"/>
  <c r="O74" i="7" s="1"/>
  <c r="P74" i="7" s="1"/>
  <c r="K74" i="7" l="1"/>
  <c r="B75" i="7"/>
  <c r="Q74" i="7"/>
  <c r="F75" i="7" l="1"/>
  <c r="G75" i="7" s="1"/>
  <c r="A75" i="7"/>
  <c r="D75" i="7" s="1"/>
  <c r="N74" i="7"/>
  <c r="L74" i="7"/>
  <c r="M74" i="7"/>
  <c r="J75" i="7" l="1"/>
  <c r="E76" i="7"/>
  <c r="H76" i="7" s="1"/>
  <c r="I75" i="7"/>
  <c r="O75" i="7" l="1"/>
  <c r="P75" i="7" s="1"/>
  <c r="K75" i="7"/>
  <c r="B76" i="7" l="1"/>
  <c r="Q75" i="7"/>
  <c r="N75" i="7"/>
  <c r="L75" i="7"/>
  <c r="M75" i="7"/>
  <c r="A76" i="7" l="1"/>
  <c r="D76" i="7" s="1"/>
  <c r="J76" i="7"/>
  <c r="O76" i="7" s="1"/>
  <c r="P76" i="7" s="1"/>
  <c r="F76" i="7"/>
  <c r="G76" i="7" s="1"/>
  <c r="E77" i="7" l="1"/>
  <c r="H77" i="7" s="1"/>
  <c r="I76" i="7"/>
  <c r="Q76" i="7"/>
  <c r="B77" i="7"/>
  <c r="K76" i="7"/>
  <c r="N76" i="7" l="1"/>
  <c r="L76" i="7"/>
  <c r="M76" i="7"/>
  <c r="F77" i="7"/>
  <c r="G77" i="7" s="1"/>
  <c r="E78" i="7" s="1"/>
  <c r="H78" i="7" s="1"/>
  <c r="A77" i="7"/>
  <c r="D77" i="7" s="1"/>
  <c r="J77" i="7" l="1"/>
  <c r="I77" i="7"/>
  <c r="O77" i="7" l="1"/>
  <c r="P77" i="7" s="1"/>
  <c r="K77" i="7"/>
  <c r="Q77" i="7" l="1"/>
  <c r="B78" i="7"/>
  <c r="N77" i="7"/>
  <c r="L77" i="7"/>
  <c r="M77" i="7"/>
  <c r="A78" i="7" l="1"/>
  <c r="D78" i="7" s="1"/>
  <c r="F78" i="7"/>
  <c r="G78" i="7" s="1"/>
  <c r="E79" i="7" l="1"/>
  <c r="H79" i="7" s="1"/>
  <c r="I78" i="7"/>
  <c r="J78" i="7"/>
  <c r="O78" i="7" s="1"/>
  <c r="P78" i="7" s="1"/>
  <c r="K78" i="7"/>
  <c r="M78" i="7" l="1"/>
  <c r="N78" i="7"/>
  <c r="L78" i="7"/>
  <c r="Q78" i="7"/>
  <c r="B79" i="7"/>
  <c r="A79" i="7" l="1"/>
  <c r="D79" i="7" s="1"/>
  <c r="F79" i="7"/>
  <c r="G79" i="7" s="1"/>
  <c r="J79" i="7"/>
  <c r="O79" i="7" s="1"/>
  <c r="P79" i="7" s="1"/>
  <c r="Q79" i="7" l="1"/>
  <c r="B80" i="7"/>
  <c r="E80" i="7"/>
  <c r="I79" i="7"/>
  <c r="K79" i="7"/>
  <c r="H80" i="7" l="1"/>
  <c r="N79" i="7"/>
  <c r="L79" i="7"/>
  <c r="M79" i="7"/>
  <c r="A80" i="7"/>
  <c r="D80" i="7" s="1"/>
  <c r="J80" i="7"/>
  <c r="O80" i="7" s="1"/>
  <c r="P80" i="7" s="1"/>
  <c r="F80" i="7"/>
  <c r="G80" i="7" s="1"/>
  <c r="E81" i="7" s="1"/>
  <c r="I80" i="7" l="1"/>
  <c r="H81" i="7"/>
  <c r="B81" i="7"/>
  <c r="Q80" i="7"/>
  <c r="K80" i="7"/>
  <c r="L80" i="7" l="1"/>
  <c r="M80" i="7"/>
  <c r="N80" i="7"/>
  <c r="F81" i="7"/>
  <c r="G81" i="7" s="1"/>
  <c r="A81" i="7"/>
  <c r="D81" i="7" s="1"/>
  <c r="I81" i="7" l="1"/>
  <c r="E82" i="7"/>
  <c r="J81" i="7"/>
  <c r="O81" i="7" s="1"/>
  <c r="P81" i="7" s="1"/>
  <c r="B82" i="7" l="1"/>
  <c r="Q81" i="7"/>
  <c r="K81" i="7"/>
  <c r="H82" i="7"/>
  <c r="M81" i="7" l="1"/>
  <c r="N81" i="7"/>
  <c r="L81" i="7"/>
  <c r="F82" i="7"/>
  <c r="G82" i="7" s="1"/>
  <c r="A82" i="7"/>
  <c r="D82" i="7" s="1"/>
  <c r="C13" i="7" l="1"/>
  <c r="D13" i="7" s="1"/>
  <c r="E83" i="7"/>
  <c r="I82" i="7"/>
  <c r="J82" i="7"/>
  <c r="O82" i="7" l="1"/>
  <c r="P82" i="7" s="1"/>
  <c r="K82" i="7"/>
  <c r="H83" i="7"/>
  <c r="M82" i="7" l="1"/>
  <c r="L82" i="7"/>
  <c r="N82" i="7"/>
  <c r="B83" i="7"/>
  <c r="Q82" i="7"/>
  <c r="A83" i="7" l="1"/>
  <c r="D83" i="7" s="1"/>
  <c r="F83" i="7"/>
  <c r="G83" i="7" s="1"/>
  <c r="I83" i="7" l="1"/>
  <c r="E84" i="7"/>
  <c r="J83" i="7"/>
  <c r="H84" i="7" l="1"/>
  <c r="O83" i="7"/>
  <c r="P83" i="7" s="1"/>
  <c r="K83" i="7"/>
  <c r="M83" i="7" l="1"/>
  <c r="L83" i="7"/>
  <c r="N83" i="7"/>
  <c r="B84" i="7"/>
  <c r="Q83" i="7"/>
  <c r="A84" i="7" l="1"/>
  <c r="D84" i="7" s="1"/>
  <c r="F84" i="7"/>
  <c r="G84" i="7" s="1"/>
  <c r="J84" i="7"/>
  <c r="O84" i="7" s="1"/>
  <c r="P84" i="7" s="1"/>
  <c r="K84" i="7"/>
  <c r="N84" i="7" l="1"/>
  <c r="M84" i="7"/>
  <c r="L84" i="7"/>
  <c r="I84" i="7"/>
  <c r="E85" i="7"/>
  <c r="Q84" i="7"/>
  <c r="B85" i="7"/>
  <c r="A85" i="7" l="1"/>
  <c r="D85" i="7" s="1"/>
  <c r="J85" i="7"/>
  <c r="O85" i="7" s="1"/>
  <c r="P85" i="7" s="1"/>
  <c r="K85" i="7"/>
  <c r="F85" i="7"/>
  <c r="G85" i="7" s="1"/>
  <c r="E86" i="7" s="1"/>
  <c r="H86" i="7" s="1"/>
  <c r="H85" i="7"/>
  <c r="I85" i="7" l="1"/>
  <c r="Q85" i="7"/>
  <c r="B86" i="7"/>
  <c r="M85" i="7"/>
  <c r="N85" i="7"/>
  <c r="L85" i="7"/>
  <c r="F86" i="7" l="1"/>
  <c r="G86" i="7" s="1"/>
  <c r="A86" i="7"/>
  <c r="D86" i="7" s="1"/>
  <c r="J86" i="7" l="1"/>
  <c r="O86" i="7" s="1"/>
  <c r="P86" i="7" s="1"/>
  <c r="E87" i="7"/>
  <c r="H87" i="7" s="1"/>
  <c r="I86" i="7"/>
  <c r="K86" i="7"/>
  <c r="N86" i="7" l="1"/>
  <c r="L86" i="7"/>
  <c r="M86" i="7"/>
  <c r="Q86" i="7"/>
  <c r="B87" i="7"/>
  <c r="F87" i="7" l="1"/>
  <c r="G87" i="7" s="1"/>
  <c r="A87" i="7"/>
  <c r="D87" i="7" s="1"/>
  <c r="J87" i="7" l="1"/>
  <c r="O87" i="7" s="1"/>
  <c r="P87" i="7" s="1"/>
  <c r="K87" i="7"/>
  <c r="E88" i="7"/>
  <c r="H88" i="7" s="1"/>
  <c r="I87" i="7"/>
  <c r="L87" i="7" l="1"/>
  <c r="M87" i="7"/>
  <c r="N87" i="7"/>
  <c r="B88" i="7"/>
  <c r="Q87" i="7"/>
  <c r="A88" i="7" l="1"/>
  <c r="D88" i="7" s="1"/>
  <c r="F88" i="7"/>
  <c r="G88" i="7" s="1"/>
  <c r="J88" i="7"/>
  <c r="O88" i="7" s="1"/>
  <c r="P88" i="7" s="1"/>
  <c r="E89" i="7" l="1"/>
  <c r="I88" i="7"/>
  <c r="Q88" i="7"/>
  <c r="B89" i="7"/>
  <c r="K88" i="7"/>
  <c r="M88" i="7" l="1"/>
  <c r="N88" i="7"/>
  <c r="L88" i="7"/>
  <c r="F89" i="7"/>
  <c r="G89" i="7" s="1"/>
  <c r="E90" i="7" s="1"/>
  <c r="A89" i="7"/>
  <c r="D89" i="7" s="1"/>
  <c r="H89" i="7"/>
  <c r="H90" i="7" l="1"/>
  <c r="J89" i="7"/>
  <c r="I89" i="7"/>
  <c r="O89" i="7" l="1"/>
  <c r="P89" i="7" s="1"/>
  <c r="K89" i="7"/>
  <c r="M89" i="7" l="1"/>
  <c r="L89" i="7"/>
  <c r="N89" i="7"/>
  <c r="Q89" i="7"/>
  <c r="B90" i="7"/>
  <c r="F90" i="7" l="1"/>
  <c r="G90" i="7" s="1"/>
  <c r="A90" i="7"/>
  <c r="D90" i="7" s="1"/>
  <c r="E91" i="7" l="1"/>
  <c r="I90" i="7"/>
  <c r="J90" i="7"/>
  <c r="O90" i="7" s="1"/>
  <c r="P90" i="7" s="1"/>
  <c r="B91" i="7" l="1"/>
  <c r="Q90" i="7"/>
  <c r="K90" i="7"/>
  <c r="H91" i="7"/>
  <c r="N90" i="7" l="1"/>
  <c r="M90" i="7"/>
  <c r="L90" i="7"/>
  <c r="A91" i="7"/>
  <c r="D91" i="7" s="1"/>
  <c r="F91" i="7"/>
  <c r="G91" i="7" s="1"/>
  <c r="J91" i="7" l="1"/>
  <c r="O91" i="7" s="1"/>
  <c r="P91" i="7" s="1"/>
  <c r="Q91" i="7" s="1"/>
  <c r="B92" i="7"/>
  <c r="K91" i="7"/>
  <c r="I91" i="7"/>
  <c r="E92" i="7"/>
  <c r="A92" i="7" l="1"/>
  <c r="D92" i="7" s="1"/>
  <c r="J92" i="7"/>
  <c r="O92" i="7" s="1"/>
  <c r="P92" i="7" s="1"/>
  <c r="F92" i="7"/>
  <c r="G92" i="7" s="1"/>
  <c r="I92" i="7" s="1"/>
  <c r="H92" i="7"/>
  <c r="N91" i="7"/>
  <c r="M91" i="7"/>
  <c r="L91" i="7"/>
  <c r="K92" i="7" l="1"/>
  <c r="B93" i="7"/>
  <c r="Q92" i="7"/>
  <c r="E93" i="7"/>
  <c r="H93" i="7" l="1"/>
  <c r="A93" i="7"/>
  <c r="D93" i="7" s="1"/>
  <c r="F93" i="7"/>
  <c r="G93" i="7" s="1"/>
  <c r="I93" i="7" s="1"/>
  <c r="M92" i="7"/>
  <c r="N92" i="7"/>
  <c r="L92" i="7"/>
  <c r="E94" i="7" l="1"/>
  <c r="J93" i="7"/>
  <c r="O93" i="7" l="1"/>
  <c r="P93" i="7" s="1"/>
  <c r="K93" i="7"/>
  <c r="H94" i="7"/>
  <c r="L93" i="7" l="1"/>
  <c r="N93" i="7"/>
  <c r="M93" i="7"/>
  <c r="B94" i="7"/>
  <c r="Q93" i="7"/>
  <c r="A94" i="7" l="1"/>
  <c r="D94" i="7" s="1"/>
  <c r="F94" i="7"/>
  <c r="G94" i="7" s="1"/>
  <c r="I94" i="7" l="1"/>
  <c r="E95" i="7"/>
  <c r="J94" i="7"/>
  <c r="O94" i="7" l="1"/>
  <c r="P94" i="7" s="1"/>
  <c r="K94" i="7"/>
  <c r="H95" i="7"/>
  <c r="M94" i="7" l="1"/>
  <c r="L94" i="7"/>
  <c r="N94" i="7"/>
  <c r="Q94" i="7"/>
  <c r="B95" i="7"/>
  <c r="A95" i="7" l="1"/>
  <c r="D95" i="7" s="1"/>
  <c r="J95" i="7"/>
  <c r="O95" i="7" s="1"/>
  <c r="P95" i="7" s="1"/>
  <c r="K95" i="7"/>
  <c r="F95" i="7"/>
  <c r="G95" i="7" s="1"/>
  <c r="I95" i="7" l="1"/>
  <c r="E96" i="7"/>
  <c r="B96" i="7"/>
  <c r="Q95" i="7"/>
  <c r="M95" i="7"/>
  <c r="L95" i="7"/>
  <c r="N95" i="7"/>
  <c r="F96" i="7" l="1"/>
  <c r="G96" i="7" s="1"/>
  <c r="I96" i="7" s="1"/>
  <c r="A96" i="7"/>
  <c r="D96" i="7" s="1"/>
  <c r="H96" i="7"/>
  <c r="E97" i="7" l="1"/>
  <c r="H97" i="7" s="1"/>
  <c r="J96" i="7"/>
  <c r="O96" i="7" s="1"/>
  <c r="P96" i="7" s="1"/>
  <c r="K96" i="7" l="1"/>
  <c r="Q96" i="7"/>
  <c r="B97" i="7"/>
  <c r="A97" i="7" l="1"/>
  <c r="D97" i="7" s="1"/>
  <c r="J97" i="7"/>
  <c r="O97" i="7" s="1"/>
  <c r="P97" i="7" s="1"/>
  <c r="F97" i="7"/>
  <c r="G97" i="7" s="1"/>
  <c r="N96" i="7"/>
  <c r="M96" i="7"/>
  <c r="L96" i="7"/>
  <c r="K97" i="7" l="1"/>
  <c r="N97" i="7" s="1"/>
  <c r="L97" i="7"/>
  <c r="M97" i="7"/>
  <c r="Q97" i="7"/>
  <c r="B98" i="7"/>
  <c r="I97" i="7"/>
  <c r="E98" i="7"/>
  <c r="H98" i="7" l="1"/>
  <c r="F98" i="7"/>
  <c r="G98" i="7" s="1"/>
  <c r="I98" i="7" s="1"/>
  <c r="A98" i="7"/>
  <c r="D98" i="7" s="1"/>
  <c r="J98" i="7" l="1"/>
  <c r="O98" i="7" s="1"/>
  <c r="P98" i="7" s="1"/>
  <c r="E99" i="7"/>
  <c r="H99" i="7" s="1"/>
  <c r="Q98" i="7" l="1"/>
  <c r="B99" i="7"/>
  <c r="K98" i="7"/>
  <c r="F99" i="7" l="1"/>
  <c r="G99" i="7" s="1"/>
  <c r="A99" i="7"/>
  <c r="D99" i="7" s="1"/>
  <c r="N98" i="7"/>
  <c r="L98" i="7"/>
  <c r="M98" i="7"/>
  <c r="J99" i="7" l="1"/>
  <c r="O99" i="7" s="1"/>
  <c r="P99" i="7" s="1"/>
  <c r="Q99" i="7" s="1"/>
  <c r="B100" i="7"/>
  <c r="K99" i="7"/>
  <c r="E100" i="7"/>
  <c r="H100" i="7" s="1"/>
  <c r="I99" i="7"/>
  <c r="A100" i="7" l="1"/>
  <c r="D100" i="7" s="1"/>
  <c r="F100" i="7"/>
  <c r="G100" i="7" s="1"/>
  <c r="E101" i="7" s="1"/>
  <c r="H101" i="7" s="1"/>
  <c r="M99" i="7"/>
  <c r="L99" i="7"/>
  <c r="N99" i="7"/>
  <c r="I100" i="7" l="1"/>
  <c r="J100" i="7"/>
  <c r="O100" i="7" s="1"/>
  <c r="P100" i="7" s="1"/>
  <c r="Q100" i="7" l="1"/>
  <c r="B101" i="7"/>
  <c r="K100" i="7"/>
  <c r="L100" i="7" l="1"/>
  <c r="N100" i="7"/>
  <c r="M100" i="7"/>
  <c r="F101" i="7"/>
  <c r="G101" i="7" s="1"/>
  <c r="A101" i="7"/>
  <c r="D101" i="7" s="1"/>
  <c r="J101" i="7" l="1"/>
  <c r="O101" i="7" s="1"/>
  <c r="P101" i="7" s="1"/>
  <c r="B102" i="7" s="1"/>
  <c r="Q101" i="7"/>
  <c r="K101" i="7"/>
  <c r="E102" i="7"/>
  <c r="H102" i="7" s="1"/>
  <c r="I101" i="7"/>
  <c r="N101" i="7" l="1"/>
  <c r="L101" i="7"/>
  <c r="M101" i="7"/>
  <c r="F102" i="7"/>
  <c r="G102" i="7" s="1"/>
  <c r="E103" i="7" s="1"/>
  <c r="A102" i="7"/>
  <c r="D102" i="7" s="1"/>
  <c r="J102" i="7" l="1"/>
  <c r="O102" i="7" s="1"/>
  <c r="P102" i="7" s="1"/>
  <c r="K102" i="7"/>
  <c r="Q102" i="7"/>
  <c r="B103" i="7"/>
  <c r="H103" i="7"/>
  <c r="I102" i="7"/>
  <c r="A103" i="7" l="1"/>
  <c r="D103" i="7" s="1"/>
  <c r="F103" i="7"/>
  <c r="G103" i="7" s="1"/>
  <c r="E104" i="7" s="1"/>
  <c r="H104" i="7" s="1"/>
  <c r="N102" i="7"/>
  <c r="M102" i="7"/>
  <c r="L102" i="7"/>
  <c r="J103" i="7" l="1"/>
  <c r="I103" i="7"/>
  <c r="O103" i="7" l="1"/>
  <c r="P103" i="7" s="1"/>
  <c r="K103" i="7"/>
  <c r="Q103" i="7" l="1"/>
  <c r="B104" i="7"/>
  <c r="L103" i="7"/>
  <c r="M103" i="7"/>
  <c r="N103" i="7"/>
  <c r="F104" i="7" l="1"/>
  <c r="G104" i="7" s="1"/>
  <c r="A104" i="7"/>
  <c r="D104" i="7" s="1"/>
  <c r="E105" i="7" l="1"/>
  <c r="H105" i="7" s="1"/>
  <c r="I104" i="7"/>
  <c r="J104" i="7"/>
  <c r="O104" i="7" s="1"/>
  <c r="P104" i="7" s="1"/>
  <c r="B105" i="7" l="1"/>
  <c r="Q104" i="7"/>
  <c r="K104" i="7"/>
  <c r="M104" i="7" l="1"/>
  <c r="L104" i="7"/>
  <c r="N104" i="7"/>
  <c r="A105" i="7"/>
  <c r="D105" i="7" s="1"/>
  <c r="F105" i="7"/>
  <c r="G105" i="7" s="1"/>
  <c r="E106" i="7" l="1"/>
  <c r="H106" i="7" s="1"/>
  <c r="I105" i="7"/>
  <c r="J105" i="7"/>
  <c r="O105" i="7" s="1"/>
  <c r="P105" i="7" s="1"/>
  <c r="K105" i="7"/>
  <c r="N105" i="7" l="1"/>
  <c r="L105" i="7"/>
  <c r="M105" i="7"/>
  <c r="B106" i="7"/>
  <c r="Q105" i="7"/>
  <c r="F106" i="7" l="1"/>
  <c r="G106" i="7" s="1"/>
  <c r="A106" i="7"/>
  <c r="D106" i="7" s="1"/>
  <c r="J106" i="7" l="1"/>
  <c r="E107" i="7"/>
  <c r="H107" i="7" s="1"/>
  <c r="I106" i="7"/>
  <c r="O106" i="7" l="1"/>
  <c r="P106" i="7" s="1"/>
  <c r="K106" i="7"/>
  <c r="B107" i="7" l="1"/>
  <c r="Q106" i="7"/>
  <c r="M106" i="7"/>
  <c r="N106" i="7"/>
  <c r="L106" i="7"/>
  <c r="F107" i="7" l="1"/>
  <c r="G107" i="7" s="1"/>
  <c r="A107" i="7"/>
  <c r="D107" i="7" s="1"/>
  <c r="E108" i="7" l="1"/>
  <c r="H108" i="7" s="1"/>
  <c r="I107" i="7"/>
  <c r="J107" i="7"/>
  <c r="O107" i="7" s="1"/>
  <c r="P107" i="7" s="1"/>
  <c r="K107" i="7"/>
  <c r="M107" i="7" l="1"/>
  <c r="N107" i="7"/>
  <c r="L107" i="7"/>
  <c r="B108" i="7"/>
  <c r="Q107" i="7"/>
  <c r="F108" i="7" l="1"/>
  <c r="G108" i="7" s="1"/>
  <c r="A108" i="7"/>
  <c r="D108" i="7" s="1"/>
  <c r="J108" i="7"/>
  <c r="O108" i="7" s="1"/>
  <c r="P108" i="7" s="1"/>
  <c r="Q108" i="7" l="1"/>
  <c r="B109" i="7"/>
  <c r="K108" i="7"/>
  <c r="E109" i="7"/>
  <c r="H109" i="7" s="1"/>
  <c r="I108" i="7"/>
  <c r="A109" i="7" l="1"/>
  <c r="D109" i="7" s="1"/>
  <c r="J109" i="7"/>
  <c r="O109" i="7" s="1"/>
  <c r="P109" i="7" s="1"/>
  <c r="F109" i="7"/>
  <c r="G109" i="7" s="1"/>
  <c r="E110" i="7" s="1"/>
  <c r="H110" i="7" s="1"/>
  <c r="L108" i="7"/>
  <c r="N108" i="7"/>
  <c r="M108" i="7"/>
  <c r="Q109" i="7" l="1"/>
  <c r="B110" i="7"/>
  <c r="K109" i="7"/>
  <c r="I109" i="7"/>
  <c r="F110" i="7" l="1"/>
  <c r="G110" i="7" s="1"/>
  <c r="E111" i="7" s="1"/>
  <c r="H111" i="7" s="1"/>
  <c r="A110" i="7"/>
  <c r="D110" i="7" s="1"/>
  <c r="L109" i="7"/>
  <c r="M109" i="7"/>
  <c r="N109" i="7"/>
  <c r="J110" i="7" l="1"/>
  <c r="O110" i="7" s="1"/>
  <c r="P110" i="7" s="1"/>
  <c r="I110" i="7"/>
  <c r="Q110" i="7"/>
  <c r="B111" i="7"/>
  <c r="K110" i="7"/>
  <c r="A111" i="7" l="1"/>
  <c r="D111" i="7" s="1"/>
  <c r="J111" i="7"/>
  <c r="O111" i="7" s="1"/>
  <c r="P111" i="7" s="1"/>
  <c r="F111" i="7"/>
  <c r="G111" i="7" s="1"/>
  <c r="N110" i="7"/>
  <c r="M110" i="7"/>
  <c r="L110" i="7"/>
  <c r="Q111" i="7" l="1"/>
  <c r="B112" i="7"/>
  <c r="K111" i="7"/>
  <c r="E112" i="7"/>
  <c r="H112" i="7" s="1"/>
  <c r="I111" i="7"/>
  <c r="F112" i="7" l="1"/>
  <c r="G112" i="7" s="1"/>
  <c r="E113" i="7" s="1"/>
  <c r="H113" i="7" s="1"/>
  <c r="A112" i="7"/>
  <c r="D112" i="7" s="1"/>
  <c r="L111" i="7"/>
  <c r="M111" i="7"/>
  <c r="N111" i="7"/>
  <c r="J112" i="7" l="1"/>
  <c r="O112" i="7" s="1"/>
  <c r="P112" i="7" s="1"/>
  <c r="B113" i="7" s="1"/>
  <c r="Q112" i="7"/>
  <c r="K112" i="7"/>
  <c r="I112" i="7"/>
  <c r="L112" i="7" l="1"/>
  <c r="M112" i="7"/>
  <c r="N112" i="7"/>
  <c r="A113" i="7"/>
  <c r="D113" i="7" s="1"/>
  <c r="J113" i="7"/>
  <c r="O113" i="7" s="1"/>
  <c r="P113" i="7" s="1"/>
  <c r="F113" i="7"/>
  <c r="G113" i="7" s="1"/>
  <c r="E114" i="7" s="1"/>
  <c r="H114" i="7" s="1"/>
  <c r="Q113" i="7" l="1"/>
  <c r="B114" i="7"/>
  <c r="K113" i="7"/>
  <c r="I113" i="7"/>
  <c r="A114" i="7" l="1"/>
  <c r="D114" i="7" s="1"/>
  <c r="F114" i="7"/>
  <c r="G114" i="7" s="1"/>
  <c r="E115" i="7" s="1"/>
  <c r="H115" i="7" s="1"/>
  <c r="N113" i="7"/>
  <c r="L113" i="7"/>
  <c r="M113" i="7"/>
  <c r="I114" i="7" l="1"/>
  <c r="J114" i="7"/>
  <c r="O114" i="7" l="1"/>
  <c r="P114" i="7" s="1"/>
  <c r="K114" i="7"/>
  <c r="L114" i="7" l="1"/>
  <c r="N114" i="7"/>
  <c r="M114" i="7"/>
  <c r="B115" i="7"/>
  <c r="Q114" i="7"/>
  <c r="A115" i="7" l="1"/>
  <c r="D115" i="7" s="1"/>
  <c r="F115" i="7"/>
  <c r="G115" i="7" s="1"/>
  <c r="E116" i="7" l="1"/>
  <c r="H116" i="7" s="1"/>
  <c r="I115" i="7"/>
  <c r="J115" i="7"/>
  <c r="O115" i="7" s="1"/>
  <c r="P115" i="7" s="1"/>
  <c r="K115" i="7"/>
  <c r="L115" i="7" l="1"/>
  <c r="M115" i="7"/>
  <c r="N115" i="7"/>
  <c r="B116" i="7"/>
  <c r="Q115" i="7"/>
  <c r="F116" i="7" l="1"/>
  <c r="G116" i="7" s="1"/>
  <c r="A116" i="7"/>
  <c r="D116" i="7" s="1"/>
  <c r="J116" i="7"/>
  <c r="O116" i="7" s="1"/>
  <c r="P116" i="7" s="1"/>
  <c r="K116" i="7" l="1"/>
  <c r="L116" i="7"/>
  <c r="N116" i="7"/>
  <c r="M116" i="7"/>
  <c r="Q116" i="7"/>
  <c r="B117" i="7"/>
  <c r="E117" i="7"/>
  <c r="H117" i="7" s="1"/>
  <c r="I116" i="7"/>
  <c r="F117" i="7" l="1"/>
  <c r="G117" i="7" s="1"/>
  <c r="E118" i="7" s="1"/>
  <c r="H118" i="7" s="1"/>
  <c r="A117" i="7"/>
  <c r="D117" i="7" s="1"/>
  <c r="J117" i="7" l="1"/>
  <c r="I117" i="7"/>
  <c r="O117" i="7" l="1"/>
  <c r="P117" i="7" s="1"/>
  <c r="K117" i="7"/>
  <c r="Q117" i="7" l="1"/>
  <c r="B118" i="7"/>
  <c r="M117" i="7"/>
  <c r="L117" i="7"/>
  <c r="N117" i="7"/>
  <c r="F118" i="7" l="1"/>
  <c r="G118" i="7" s="1"/>
  <c r="A118" i="7"/>
  <c r="D118" i="7" s="1"/>
  <c r="J118" i="7"/>
  <c r="O118" i="7" s="1"/>
  <c r="P118" i="7" s="1"/>
  <c r="Q118" i="7" l="1"/>
  <c r="B119" i="7"/>
  <c r="K118" i="7"/>
  <c r="E119" i="7"/>
  <c r="H119" i="7" s="1"/>
  <c r="I118" i="7"/>
  <c r="A119" i="7" l="1"/>
  <c r="D119" i="7" s="1"/>
  <c r="F119" i="7"/>
  <c r="G119" i="7" s="1"/>
  <c r="E120" i="7" s="1"/>
  <c r="H120" i="7" s="1"/>
  <c r="M118" i="7"/>
  <c r="L118" i="7"/>
  <c r="N118" i="7"/>
  <c r="J119" i="7" l="1"/>
  <c r="I119" i="7"/>
  <c r="O119" i="7" l="1"/>
  <c r="P119" i="7" s="1"/>
  <c r="K119" i="7"/>
  <c r="Q119" i="7" l="1"/>
  <c r="B120" i="7"/>
  <c r="M119" i="7"/>
  <c r="L119" i="7"/>
  <c r="N119" i="7"/>
  <c r="F120" i="7" l="1"/>
  <c r="G120" i="7" s="1"/>
  <c r="A120" i="7"/>
  <c r="D120" i="7" s="1"/>
  <c r="E121" i="7" l="1"/>
  <c r="I120" i="7"/>
  <c r="J120" i="7"/>
  <c r="O120" i="7" s="1"/>
  <c r="P120" i="7" s="1"/>
  <c r="H121" i="7" l="1"/>
  <c r="Q120" i="7"/>
  <c r="B121" i="7"/>
  <c r="K120" i="7"/>
  <c r="L120" i="7" l="1"/>
  <c r="N120" i="7"/>
  <c r="M120" i="7"/>
  <c r="F121" i="7"/>
  <c r="G121" i="7" s="1"/>
  <c r="A121" i="7"/>
  <c r="D121" i="7" s="1"/>
  <c r="J121" i="7" l="1"/>
  <c r="O121" i="7" s="1"/>
  <c r="P121" i="7" s="1"/>
  <c r="Q121" i="7" s="1"/>
  <c r="K121" i="7"/>
  <c r="E122" i="7"/>
  <c r="I121" i="7"/>
  <c r="B122" i="7" l="1"/>
  <c r="H122" i="7"/>
  <c r="A122" i="7"/>
  <c r="D122" i="7" s="1"/>
  <c r="J122" i="7"/>
  <c r="O122" i="7" s="1"/>
  <c r="P122" i="7" s="1"/>
  <c r="F122" i="7"/>
  <c r="G122" i="7" s="1"/>
  <c r="I122" i="7" s="1"/>
  <c r="L121" i="7"/>
  <c r="N121" i="7"/>
  <c r="M121" i="7"/>
  <c r="Q122" i="7" l="1"/>
  <c r="B123" i="7"/>
  <c r="E123" i="7"/>
  <c r="K122" i="7"/>
  <c r="A123" i="7" l="1"/>
  <c r="D123" i="7" s="1"/>
  <c r="F123" i="7"/>
  <c r="G123" i="7" s="1"/>
  <c r="I123" i="7" s="1"/>
  <c r="N122" i="7"/>
  <c r="M122" i="7"/>
  <c r="L122" i="7"/>
  <c r="H123" i="7"/>
  <c r="E124" i="7" l="1"/>
  <c r="H124" i="7" s="1"/>
  <c r="J123" i="7"/>
  <c r="O123" i="7" s="1"/>
  <c r="P123" i="7" s="1"/>
  <c r="K123" i="7" l="1"/>
  <c r="L123" i="7"/>
  <c r="N123" i="7"/>
  <c r="M123" i="7"/>
  <c r="Q123" i="7"/>
  <c r="B124" i="7"/>
  <c r="F124" i="7" l="1"/>
  <c r="G124" i="7" s="1"/>
  <c r="A124" i="7"/>
  <c r="D124" i="7" s="1"/>
  <c r="J124" i="7" l="1"/>
  <c r="O124" i="7" s="1"/>
  <c r="P124" i="7" s="1"/>
  <c r="K124" i="7"/>
  <c r="L124" i="7" s="1"/>
  <c r="N124" i="7"/>
  <c r="B125" i="7"/>
  <c r="Q124" i="7"/>
  <c r="I124" i="7"/>
  <c r="E125" i="7"/>
  <c r="H125" i="7" s="1"/>
  <c r="M124" i="7" l="1"/>
  <c r="F125" i="7"/>
  <c r="G125" i="7" s="1"/>
  <c r="E126" i="7" s="1"/>
  <c r="H126" i="7" s="1"/>
  <c r="A125" i="7"/>
  <c r="D125" i="7" s="1"/>
  <c r="J125" i="7"/>
  <c r="O125" i="7" s="1"/>
  <c r="P125" i="7" s="1"/>
  <c r="B126" i="7" l="1"/>
  <c r="Q125" i="7"/>
  <c r="K125" i="7"/>
  <c r="I125" i="7"/>
  <c r="L125" i="7" l="1"/>
  <c r="M125" i="7"/>
  <c r="N125" i="7"/>
  <c r="F126" i="7"/>
  <c r="G126" i="7" s="1"/>
  <c r="E127" i="7" s="1"/>
  <c r="H127" i="7" s="1"/>
  <c r="A126" i="7"/>
  <c r="D126" i="7" s="1"/>
  <c r="J126" i="7" l="1"/>
  <c r="O126" i="7" s="1"/>
  <c r="P126" i="7" s="1"/>
  <c r="K126" i="7"/>
  <c r="I126" i="7"/>
  <c r="N126" i="7" l="1"/>
  <c r="L126" i="7"/>
  <c r="M126" i="7"/>
  <c r="Q126" i="7"/>
  <c r="B127" i="7"/>
  <c r="A127" i="7" l="1"/>
  <c r="D127" i="7" s="1"/>
  <c r="J127" i="7"/>
  <c r="O127" i="7" s="1"/>
  <c r="P127" i="7" s="1"/>
  <c r="F127" i="7"/>
  <c r="G127" i="7" s="1"/>
  <c r="E128" i="7" l="1"/>
  <c r="H128" i="7" s="1"/>
  <c r="I127" i="7"/>
  <c r="K127" i="7"/>
  <c r="B128" i="7"/>
  <c r="Q127" i="7"/>
  <c r="M127" i="7" l="1"/>
  <c r="N127" i="7"/>
  <c r="L127" i="7"/>
  <c r="F128" i="7"/>
  <c r="G128" i="7" s="1"/>
  <c r="E129" i="7" s="1"/>
  <c r="H129" i="7" s="1"/>
  <c r="A128" i="7"/>
  <c r="D128" i="7" s="1"/>
  <c r="J128" i="7"/>
  <c r="O128" i="7" s="1"/>
  <c r="P128" i="7" s="1"/>
  <c r="I128" i="7" l="1"/>
  <c r="B129" i="7"/>
  <c r="Q128" i="7"/>
  <c r="K128" i="7"/>
  <c r="L128" i="7" l="1"/>
  <c r="M128" i="7"/>
  <c r="N128" i="7"/>
  <c r="F129" i="7"/>
  <c r="G129" i="7" s="1"/>
  <c r="A129" i="7"/>
  <c r="D129" i="7" s="1"/>
  <c r="J129" i="7" l="1"/>
  <c r="O129" i="7" s="1"/>
  <c r="P129" i="7" s="1"/>
  <c r="B130" i="7" s="1"/>
  <c r="K129" i="7"/>
  <c r="E130" i="7"/>
  <c r="H130" i="7" s="1"/>
  <c r="I129" i="7"/>
  <c r="Q129" i="7" l="1"/>
  <c r="M129" i="7"/>
  <c r="L129" i="7"/>
  <c r="N129" i="7"/>
  <c r="F130" i="7"/>
  <c r="G130" i="7" s="1"/>
  <c r="E131" i="7" s="1"/>
  <c r="H131" i="7" s="1"/>
  <c r="A130" i="7"/>
  <c r="D130" i="7" s="1"/>
  <c r="J130" i="7"/>
  <c r="O130" i="7" s="1"/>
  <c r="P130" i="7" s="1"/>
  <c r="B131" i="7" l="1"/>
  <c r="Q130" i="7"/>
  <c r="K130" i="7"/>
  <c r="I130" i="7"/>
  <c r="L130" i="7" l="1"/>
  <c r="N130" i="7"/>
  <c r="M130" i="7"/>
  <c r="F131" i="7"/>
  <c r="G131" i="7" s="1"/>
  <c r="E132" i="7" s="1"/>
  <c r="H132" i="7" s="1"/>
  <c r="A131" i="7"/>
  <c r="D131" i="7" s="1"/>
  <c r="J131" i="7"/>
  <c r="O131" i="7" s="1"/>
  <c r="P131" i="7" s="1"/>
  <c r="Q131" i="7" l="1"/>
  <c r="B132" i="7"/>
  <c r="K131" i="7"/>
  <c r="I131" i="7"/>
  <c r="F132" i="7" l="1"/>
  <c r="G132" i="7" s="1"/>
  <c r="E133" i="7" s="1"/>
  <c r="H133" i="7" s="1"/>
  <c r="A132" i="7"/>
  <c r="D132" i="7" s="1"/>
  <c r="L131" i="7"/>
  <c r="M131" i="7"/>
  <c r="N131" i="7"/>
  <c r="I132" i="7" l="1"/>
  <c r="J132" i="7"/>
  <c r="O132" i="7" s="1"/>
  <c r="P132" i="7" s="1"/>
  <c r="Q132" i="7" l="1"/>
  <c r="B133" i="7"/>
  <c r="K132" i="7"/>
  <c r="M132" i="7" l="1"/>
  <c r="N132" i="7"/>
  <c r="L132" i="7"/>
  <c r="A133" i="7"/>
  <c r="D133" i="7" s="1"/>
  <c r="F133" i="7"/>
  <c r="G133" i="7" s="1"/>
  <c r="J133" i="7" l="1"/>
  <c r="E134" i="7"/>
  <c r="H134" i="7" s="1"/>
  <c r="I133" i="7"/>
  <c r="O133" i="7" l="1"/>
  <c r="P133" i="7" s="1"/>
  <c r="K133" i="7"/>
  <c r="L133" i="7" l="1"/>
  <c r="N133" i="7"/>
  <c r="M133" i="7"/>
  <c r="B134" i="7"/>
  <c r="Q133" i="7"/>
  <c r="A134" i="7" l="1"/>
  <c r="J134" i="7"/>
  <c r="O134" i="7" s="1"/>
  <c r="P134" i="7" s="1"/>
  <c r="F134" i="7"/>
  <c r="G134" i="7" s="1"/>
  <c r="E135" i="7" l="1"/>
  <c r="H135" i="7" s="1"/>
  <c r="I134" i="7"/>
  <c r="Q134" i="7"/>
  <c r="B135" i="7"/>
  <c r="D134" i="7"/>
  <c r="K134" i="7"/>
  <c r="M134" i="7" l="1"/>
  <c r="L134" i="7"/>
  <c r="N134" i="7"/>
  <c r="J135" i="7"/>
  <c r="O135" i="7" s="1"/>
  <c r="P135" i="7" s="1"/>
  <c r="A135" i="7"/>
  <c r="F135" i="7"/>
  <c r="G135" i="7" s="1"/>
  <c r="E136" i="7" s="1"/>
  <c r="H136" i="7" s="1"/>
  <c r="D135" i="7" l="1"/>
  <c r="K135" i="7"/>
  <c r="Q135" i="7"/>
  <c r="B136" i="7"/>
  <c r="I135" i="7"/>
  <c r="A136" i="7" l="1"/>
  <c r="F136" i="7"/>
  <c r="G136" i="7" s="1"/>
  <c r="N135" i="7"/>
  <c r="L135" i="7"/>
  <c r="M135" i="7"/>
  <c r="E137" i="7" l="1"/>
  <c r="H137" i="7" s="1"/>
  <c r="I136" i="7"/>
  <c r="D136" i="7"/>
  <c r="J136" i="7"/>
  <c r="O136" i="7" l="1"/>
  <c r="P136" i="7" s="1"/>
  <c r="K136" i="7"/>
  <c r="N136" i="7" l="1"/>
  <c r="M136" i="7"/>
  <c r="L136" i="7"/>
  <c r="Q136" i="7"/>
  <c r="B137" i="7"/>
  <c r="A137" i="7" l="1"/>
  <c r="D137" i="7" s="1"/>
  <c r="F137" i="7"/>
  <c r="G137" i="7" s="1"/>
  <c r="J137" i="7"/>
  <c r="O137" i="7" s="1"/>
  <c r="P137" i="7" s="1"/>
  <c r="K137" i="7" l="1"/>
  <c r="E138" i="7"/>
  <c r="I137" i="7"/>
  <c r="B138" i="7"/>
  <c r="Q137" i="7"/>
  <c r="H138" i="7" l="1"/>
  <c r="F138" i="7"/>
  <c r="G138" i="7" s="1"/>
  <c r="E139" i="7" s="1"/>
  <c r="H139" i="7" s="1"/>
  <c r="A138" i="7"/>
  <c r="D138" i="7" s="1"/>
  <c r="J138" i="7"/>
  <c r="O138" i="7" s="1"/>
  <c r="P138" i="7" s="1"/>
  <c r="K138" i="7"/>
  <c r="N137" i="7"/>
  <c r="L137" i="7"/>
  <c r="M137" i="7"/>
  <c r="I138" i="7" l="1"/>
  <c r="M138" i="7"/>
  <c r="L138" i="7"/>
  <c r="N138" i="7"/>
  <c r="B139" i="7"/>
  <c r="Q138" i="7"/>
  <c r="F139" i="7" l="1"/>
  <c r="G139" i="7" s="1"/>
  <c r="A139" i="7"/>
  <c r="D139" i="7" l="1"/>
  <c r="J139" i="7"/>
  <c r="O139" i="7" s="1"/>
  <c r="P139" i="7" s="1"/>
  <c r="E140" i="7"/>
  <c r="H140" i="7" s="1"/>
  <c r="I139" i="7"/>
  <c r="B140" i="7" l="1"/>
  <c r="Q139" i="7"/>
  <c r="K139" i="7"/>
  <c r="M139" i="7" l="1"/>
  <c r="N139" i="7"/>
  <c r="L139" i="7"/>
  <c r="F140" i="7"/>
  <c r="G140" i="7" s="1"/>
  <c r="A140" i="7"/>
  <c r="D140" i="7" l="1"/>
  <c r="J140" i="7"/>
  <c r="E141" i="7"/>
  <c r="H141" i="7" s="1"/>
  <c r="I140" i="7"/>
  <c r="O140" i="7" l="1"/>
  <c r="P140" i="7" s="1"/>
  <c r="K140" i="7"/>
  <c r="L140" i="7" l="1"/>
  <c r="N140" i="7"/>
  <c r="M140" i="7"/>
  <c r="B141" i="7"/>
  <c r="Q140" i="7"/>
  <c r="F141" i="7" l="1"/>
  <c r="G141" i="7" s="1"/>
  <c r="A141" i="7"/>
  <c r="D141" i="7" s="1"/>
  <c r="E142" i="7" l="1"/>
  <c r="H142" i="7" s="1"/>
  <c r="I141" i="7"/>
  <c r="J141" i="7"/>
  <c r="O141" i="7" s="1"/>
  <c r="P141" i="7" s="1"/>
  <c r="B142" i="7" l="1"/>
  <c r="Q141" i="7"/>
  <c r="K141" i="7"/>
  <c r="F142" i="7" l="1"/>
  <c r="G142" i="7" s="1"/>
  <c r="A142" i="7"/>
  <c r="D142" i="7" s="1"/>
  <c r="N141" i="7"/>
  <c r="M141" i="7"/>
  <c r="L141" i="7"/>
  <c r="J142" i="7" l="1"/>
  <c r="E143" i="7"/>
  <c r="H143" i="7" s="1"/>
  <c r="I142" i="7"/>
  <c r="O142" i="7" l="1"/>
  <c r="P142" i="7" s="1"/>
  <c r="K142" i="7"/>
  <c r="N142" i="7" l="1"/>
  <c r="M142" i="7"/>
  <c r="L142" i="7"/>
  <c r="Q142" i="7"/>
  <c r="B143" i="7"/>
  <c r="A143" i="7" l="1"/>
  <c r="D143" i="7" s="1"/>
  <c r="F143" i="7"/>
  <c r="G143" i="7" s="1"/>
  <c r="J143" i="7"/>
  <c r="O143" i="7" s="1"/>
  <c r="P143" i="7" s="1"/>
  <c r="K143" i="7"/>
  <c r="E144" i="7" l="1"/>
  <c r="H144" i="7" s="1"/>
  <c r="I143" i="7"/>
  <c r="L143" i="7"/>
  <c r="N143" i="7"/>
  <c r="M143" i="7"/>
  <c r="B144" i="7"/>
  <c r="Q143" i="7"/>
  <c r="A144" i="7" l="1"/>
  <c r="D144" i="7" s="1"/>
  <c r="F144" i="7"/>
  <c r="G144" i="7" s="1"/>
  <c r="E145" i="7" s="1"/>
  <c r="H145" i="7" s="1"/>
  <c r="J144" i="7" l="1"/>
  <c r="O144" i="7" s="1"/>
  <c r="P144" i="7" s="1"/>
  <c r="I144" i="7"/>
  <c r="Q144" i="7" l="1"/>
  <c r="B145" i="7"/>
  <c r="K144" i="7"/>
  <c r="N144" i="7" l="1"/>
  <c r="L144" i="7"/>
  <c r="M144" i="7"/>
  <c r="F145" i="7"/>
  <c r="G145" i="7" s="1"/>
  <c r="A145" i="7"/>
  <c r="D145" i="7" s="1"/>
  <c r="E146" i="7" l="1"/>
  <c r="I145" i="7"/>
  <c r="J145" i="7"/>
  <c r="O145" i="7" s="1"/>
  <c r="P145" i="7" s="1"/>
  <c r="B146" i="7" l="1"/>
  <c r="Q145" i="7"/>
  <c r="K145" i="7"/>
  <c r="H146" i="7"/>
  <c r="F146" i="7" l="1"/>
  <c r="G146" i="7" s="1"/>
  <c r="J146" i="7"/>
  <c r="O146" i="7" s="1"/>
  <c r="P146" i="7" s="1"/>
  <c r="A146" i="7"/>
  <c r="D146" i="7" s="1"/>
  <c r="K146" i="7"/>
  <c r="L145" i="7"/>
  <c r="N145" i="7"/>
  <c r="M145" i="7"/>
  <c r="Q146" i="7" l="1"/>
  <c r="B147" i="7"/>
  <c r="N146" i="7"/>
  <c r="M146" i="7"/>
  <c r="L146" i="7"/>
  <c r="I146" i="7"/>
  <c r="E147" i="7"/>
  <c r="H147" i="7" s="1"/>
  <c r="F147" i="7" l="1"/>
  <c r="G147" i="7" s="1"/>
  <c r="E148" i="7" s="1"/>
  <c r="H148" i="7" s="1"/>
  <c r="A147" i="7"/>
  <c r="D147" i="7" s="1"/>
  <c r="J147" i="7"/>
  <c r="O147" i="7" s="1"/>
  <c r="P147" i="7" s="1"/>
  <c r="B148" i="7" l="1"/>
  <c r="Q147" i="7"/>
  <c r="K147" i="7"/>
  <c r="I147" i="7"/>
  <c r="N147" i="7" l="1"/>
  <c r="M147" i="7"/>
  <c r="L147" i="7"/>
  <c r="F148" i="7"/>
  <c r="G148" i="7" s="1"/>
  <c r="E149" i="7" s="1"/>
  <c r="H149" i="7" s="1"/>
  <c r="A148" i="7"/>
  <c r="J148" i="7"/>
  <c r="O148" i="7" s="1"/>
  <c r="P148" i="7" s="1"/>
  <c r="Q148" i="7" s="1"/>
  <c r="D148" i="7" l="1"/>
  <c r="K148" i="7"/>
  <c r="B149" i="7"/>
  <c r="I148" i="7"/>
  <c r="F149" i="7"/>
  <c r="G149" i="7" s="1"/>
  <c r="A149" i="7"/>
  <c r="D149" i="7" s="1"/>
  <c r="J149" i="7" l="1"/>
  <c r="O149" i="7" s="1"/>
  <c r="P149" i="7" s="1"/>
  <c r="K149" i="7"/>
  <c r="N148" i="7"/>
  <c r="M148" i="7"/>
  <c r="L148" i="7"/>
  <c r="L149" i="7"/>
  <c r="N149" i="7"/>
  <c r="M149" i="7"/>
  <c r="Q149" i="7"/>
  <c r="B150" i="7"/>
  <c r="I149" i="7"/>
  <c r="E150" i="7"/>
  <c r="H150" i="7" l="1"/>
  <c r="F150" i="7"/>
  <c r="G150" i="7" s="1"/>
  <c r="I150" i="7" s="1"/>
  <c r="A150" i="7"/>
  <c r="D150" i="7" s="1"/>
  <c r="J150" i="7" l="1"/>
  <c r="O150" i="7" s="1"/>
  <c r="P150" i="7" s="1"/>
  <c r="K150" i="7"/>
  <c r="E151" i="7"/>
  <c r="N150" i="7" l="1"/>
  <c r="M150" i="7"/>
  <c r="L150" i="7"/>
  <c r="H151" i="7"/>
  <c r="Q150" i="7"/>
  <c r="B151" i="7"/>
  <c r="A151" i="7" l="1"/>
  <c r="D151" i="7" s="1"/>
  <c r="J151" i="7"/>
  <c r="O151" i="7" s="1"/>
  <c r="P151" i="7" s="1"/>
  <c r="F151" i="7"/>
  <c r="G151" i="7" s="1"/>
  <c r="B152" i="7" l="1"/>
  <c r="Q151" i="7"/>
  <c r="K151" i="7"/>
  <c r="I151" i="7"/>
  <c r="E152" i="7"/>
  <c r="H152" i="7" l="1"/>
  <c r="L151" i="7"/>
  <c r="M151" i="7"/>
  <c r="N151" i="7"/>
  <c r="F152" i="7"/>
  <c r="G152" i="7" s="1"/>
  <c r="I152" i="7" s="1"/>
  <c r="A152" i="7"/>
  <c r="D152" i="7" s="1"/>
  <c r="J152" i="7" l="1"/>
  <c r="O152" i="7" s="1"/>
  <c r="P152" i="7" s="1"/>
  <c r="E153" i="7"/>
  <c r="Q152" i="7"/>
  <c r="B153" i="7"/>
  <c r="K152" i="7"/>
  <c r="L152" i="7" l="1"/>
  <c r="N152" i="7"/>
  <c r="M152" i="7"/>
  <c r="F153" i="7"/>
  <c r="G153" i="7" s="1"/>
  <c r="I153" i="7" s="1"/>
  <c r="A153" i="7"/>
  <c r="D153" i="7" s="1"/>
  <c r="J153" i="7"/>
  <c r="O153" i="7" s="1"/>
  <c r="P153" i="7" s="1"/>
  <c r="H153" i="7"/>
  <c r="B154" i="7" l="1"/>
  <c r="Q153" i="7"/>
  <c r="K153" i="7"/>
  <c r="E154" i="7"/>
  <c r="N153" i="7" l="1"/>
  <c r="L153" i="7"/>
  <c r="M153" i="7"/>
  <c r="H154" i="7"/>
  <c r="A154" i="7"/>
  <c r="F154" i="7"/>
  <c r="G154" i="7" s="1"/>
  <c r="I154" i="7" s="1"/>
  <c r="J154" i="7"/>
  <c r="O154" i="7" s="1"/>
  <c r="P154" i="7" s="1"/>
  <c r="B155" i="7" s="1"/>
  <c r="Q154" i="7" l="1"/>
  <c r="D154" i="7"/>
  <c r="K154" i="7"/>
  <c r="E155" i="7"/>
  <c r="H155" i="7" s="1"/>
  <c r="F155" i="7"/>
  <c r="G155" i="7" s="1"/>
  <c r="A155" i="7"/>
  <c r="D155" i="7" s="1"/>
  <c r="N154" i="7" l="1"/>
  <c r="M154" i="7"/>
  <c r="L154" i="7"/>
  <c r="J155" i="7"/>
  <c r="I155" i="7"/>
  <c r="E156" i="7"/>
  <c r="H156" i="7" s="1"/>
  <c r="O155" i="7" l="1"/>
  <c r="P155" i="7" s="1"/>
  <c r="K155" i="7"/>
  <c r="B156" i="7" l="1"/>
  <c r="Q155" i="7"/>
  <c r="N155" i="7"/>
  <c r="M155" i="7"/>
  <c r="L155" i="7"/>
  <c r="F156" i="7" l="1"/>
  <c r="G156" i="7" s="1"/>
  <c r="A156" i="7"/>
  <c r="D156" i="7" s="1"/>
  <c r="I156" i="7" l="1"/>
  <c r="E157" i="7"/>
  <c r="J156" i="7"/>
  <c r="O156" i="7" l="1"/>
  <c r="P156" i="7" s="1"/>
  <c r="K156" i="7"/>
  <c r="H157" i="7"/>
  <c r="L156" i="7" l="1"/>
  <c r="M156" i="7"/>
  <c r="N156" i="7"/>
  <c r="Q156" i="7"/>
  <c r="B157" i="7"/>
  <c r="F157" i="7" l="1"/>
  <c r="G157" i="7" s="1"/>
  <c r="A157" i="7"/>
  <c r="D157" i="7" s="1"/>
  <c r="J157" i="7" l="1"/>
  <c r="O157" i="7" s="1"/>
  <c r="P157" i="7" s="1"/>
  <c r="K157" i="7"/>
  <c r="N157" i="7" s="1"/>
  <c r="B158" i="7"/>
  <c r="Q157" i="7"/>
  <c r="I157" i="7"/>
  <c r="E158" i="7"/>
  <c r="L157" i="7" l="1"/>
  <c r="M157" i="7"/>
  <c r="A158" i="7"/>
  <c r="D158" i="7" s="1"/>
  <c r="F158" i="7"/>
  <c r="G158" i="7" s="1"/>
  <c r="I158" i="7" s="1"/>
  <c r="J158" i="7"/>
  <c r="O158" i="7" s="1"/>
  <c r="P158" i="7" s="1"/>
  <c r="H158" i="7"/>
  <c r="E159" i="7" l="1"/>
  <c r="H159" i="7" s="1"/>
  <c r="K158" i="7"/>
  <c r="L158" i="7"/>
  <c r="N158" i="7"/>
  <c r="M158" i="7"/>
  <c r="Q158" i="7"/>
  <c r="B159" i="7"/>
  <c r="F159" i="7" l="1"/>
  <c r="G159" i="7" s="1"/>
  <c r="A159" i="7"/>
  <c r="D159" i="7" s="1"/>
  <c r="J159" i="7" l="1"/>
  <c r="E160" i="7"/>
  <c r="I159" i="7"/>
  <c r="O159" i="7" l="1"/>
  <c r="P159" i="7" s="1"/>
  <c r="K159" i="7"/>
  <c r="H160" i="7"/>
  <c r="M159" i="7" l="1"/>
  <c r="L159" i="7"/>
  <c r="N159" i="7"/>
  <c r="Q159" i="7"/>
  <c r="B160" i="7"/>
  <c r="F160" i="7" l="1"/>
  <c r="G160" i="7" s="1"/>
  <c r="A160" i="7"/>
  <c r="D160" i="7" l="1"/>
  <c r="J160" i="7"/>
  <c r="I160" i="7"/>
  <c r="E161" i="7"/>
  <c r="H161" i="7" s="1"/>
  <c r="O160" i="7" l="1"/>
  <c r="P160" i="7" s="1"/>
  <c r="K160" i="7"/>
  <c r="L160" i="7" l="1"/>
  <c r="M160" i="7"/>
  <c r="N160" i="7"/>
  <c r="B161" i="7"/>
  <c r="Q160" i="7"/>
  <c r="A161" i="7" l="1"/>
  <c r="F161" i="7"/>
  <c r="G161" i="7" s="1"/>
  <c r="I161" i="7" l="1"/>
  <c r="E162" i="7"/>
  <c r="H162" i="7" s="1"/>
  <c r="D161" i="7"/>
  <c r="J161" i="7"/>
  <c r="K161" i="7" l="1"/>
  <c r="O161" i="7"/>
  <c r="P161" i="7" s="1"/>
  <c r="Q161" i="7" l="1"/>
  <c r="B162" i="7"/>
  <c r="N161" i="7"/>
  <c r="L161" i="7"/>
  <c r="M161" i="7"/>
  <c r="F162" i="7" l="1"/>
  <c r="G162" i="7" s="1"/>
  <c r="A162" i="7"/>
  <c r="D162" i="7" s="1"/>
  <c r="J162" i="7" l="1"/>
  <c r="E163" i="7"/>
  <c r="I162" i="7"/>
  <c r="H163" i="7" l="1"/>
  <c r="O162" i="7"/>
  <c r="P162" i="7" s="1"/>
  <c r="K162" i="7"/>
  <c r="N162" i="7" l="1"/>
  <c r="M162" i="7"/>
  <c r="L162" i="7"/>
  <c r="B163" i="7"/>
  <c r="Q162" i="7"/>
  <c r="A163" i="7" l="1"/>
  <c r="D163" i="7" s="1"/>
  <c r="F163" i="7"/>
  <c r="G163" i="7" s="1"/>
  <c r="J163" i="7"/>
  <c r="O163" i="7" s="1"/>
  <c r="P163" i="7" s="1"/>
  <c r="K163" i="7" l="1"/>
  <c r="B164" i="7"/>
  <c r="Q163" i="7"/>
  <c r="I163" i="7"/>
  <c r="E164" i="7"/>
  <c r="H164" i="7" l="1"/>
  <c r="F164" i="7"/>
  <c r="G164" i="7" s="1"/>
  <c r="E165" i="7" s="1"/>
  <c r="A164" i="7"/>
  <c r="D164" i="7" s="1"/>
  <c r="N163" i="7"/>
  <c r="L163" i="7"/>
  <c r="M163" i="7"/>
  <c r="J164" i="7" l="1"/>
  <c r="O164" i="7" s="1"/>
  <c r="P164" i="7" s="1"/>
  <c r="H165" i="7"/>
  <c r="Q164" i="7"/>
  <c r="B165" i="7"/>
  <c r="K164" i="7"/>
  <c r="I164" i="7"/>
  <c r="M164" i="7" l="1"/>
  <c r="N164" i="7"/>
  <c r="L164" i="7"/>
  <c r="A165" i="7"/>
  <c r="D165" i="7" s="1"/>
  <c r="F165" i="7"/>
  <c r="G165" i="7" s="1"/>
  <c r="J165" i="7" l="1"/>
  <c r="O165" i="7" s="1"/>
  <c r="P165" i="7" s="1"/>
  <c r="B166" i="7"/>
  <c r="Q165" i="7"/>
  <c r="K165" i="7"/>
  <c r="I165" i="7"/>
  <c r="E166" i="7"/>
  <c r="H166" i="7" l="1"/>
  <c r="M165" i="7"/>
  <c r="L165" i="7"/>
  <c r="N165" i="7"/>
  <c r="F166" i="7"/>
  <c r="G166" i="7" s="1"/>
  <c r="I166" i="7" s="1"/>
  <c r="A166" i="7"/>
  <c r="D166" i="7" s="1"/>
  <c r="J166" i="7" l="1"/>
  <c r="O166" i="7" s="1"/>
  <c r="P166" i="7" s="1"/>
  <c r="B167" i="7" s="1"/>
  <c r="Q166" i="7"/>
  <c r="E167" i="7"/>
  <c r="H167" i="7" s="1"/>
  <c r="K166" i="7"/>
  <c r="M166" i="7" l="1"/>
  <c r="N166" i="7"/>
  <c r="L166" i="7"/>
  <c r="A167" i="7"/>
  <c r="D167" i="7" s="1"/>
  <c r="F167" i="7"/>
  <c r="G167" i="7" s="1"/>
  <c r="J167" i="7"/>
  <c r="O167" i="7" s="1"/>
  <c r="P167" i="7" s="1"/>
  <c r="B168" i="7" l="1"/>
  <c r="Q167" i="7"/>
  <c r="K167" i="7"/>
  <c r="E168" i="7"/>
  <c r="H168" i="7" s="1"/>
  <c r="I167" i="7"/>
  <c r="N167" i="7" l="1"/>
  <c r="L167" i="7"/>
  <c r="M167" i="7"/>
  <c r="F168" i="7"/>
  <c r="G168" i="7" s="1"/>
  <c r="E169" i="7" s="1"/>
  <c r="H169" i="7" s="1"/>
  <c r="A168" i="7"/>
  <c r="D168" i="7" s="1"/>
  <c r="J168" i="7" l="1"/>
  <c r="O168" i="7" s="1"/>
  <c r="P168" i="7" s="1"/>
  <c r="I168" i="7"/>
  <c r="B169" i="7" l="1"/>
  <c r="Q168" i="7"/>
  <c r="K168" i="7"/>
  <c r="A169" i="7" l="1"/>
  <c r="D169" i="7" s="1"/>
  <c r="F169" i="7"/>
  <c r="G169" i="7" s="1"/>
  <c r="J169" i="7"/>
  <c r="O169" i="7" s="1"/>
  <c r="P169" i="7" s="1"/>
  <c r="M168" i="7"/>
  <c r="L168" i="7"/>
  <c r="N168" i="7"/>
  <c r="K169" i="7" l="1"/>
  <c r="L169" i="7"/>
  <c r="N169" i="7"/>
  <c r="M169" i="7"/>
  <c r="E170" i="7"/>
  <c r="H170" i="7" s="1"/>
  <c r="I169" i="7"/>
  <c r="B170" i="7"/>
  <c r="Q169" i="7"/>
  <c r="A170" i="7" l="1"/>
  <c r="F170" i="7"/>
  <c r="G170" i="7" s="1"/>
  <c r="E171" i="7" s="1"/>
  <c r="H171" i="7" s="1"/>
  <c r="D170" i="7" l="1"/>
  <c r="J170" i="7"/>
  <c r="I170" i="7"/>
  <c r="O170" i="7" l="1"/>
  <c r="P170" i="7" s="1"/>
  <c r="K170" i="7"/>
  <c r="M170" i="7" l="1"/>
  <c r="L170" i="7"/>
  <c r="N170" i="7"/>
  <c r="Q170" i="7"/>
  <c r="B171" i="7"/>
  <c r="A171" i="7" l="1"/>
  <c r="D171" i="7" s="1"/>
  <c r="F171" i="7"/>
  <c r="G171" i="7" s="1"/>
  <c r="J171" i="7"/>
  <c r="O171" i="7" s="1"/>
  <c r="P171" i="7" s="1"/>
  <c r="K171" i="7" l="1"/>
  <c r="I171" i="7"/>
  <c r="E172" i="7"/>
  <c r="Q171" i="7"/>
  <c r="B172" i="7"/>
  <c r="F172" i="7" l="1"/>
  <c r="G172" i="7" s="1"/>
  <c r="I172" i="7" s="1"/>
  <c r="A172" i="7"/>
  <c r="D172" i="7" s="1"/>
  <c r="H172" i="7"/>
  <c r="E173" i="7"/>
  <c r="H173" i="7" s="1"/>
  <c r="L171" i="7"/>
  <c r="M171" i="7"/>
  <c r="N171" i="7"/>
  <c r="J172" i="7" l="1"/>
  <c r="O172" i="7" l="1"/>
  <c r="P172" i="7" s="1"/>
  <c r="K172" i="7"/>
  <c r="L172" i="7" l="1"/>
  <c r="N172" i="7"/>
  <c r="M172" i="7"/>
  <c r="Q172" i="7"/>
  <c r="B173" i="7"/>
  <c r="F173" i="7" l="1"/>
  <c r="G173" i="7" s="1"/>
  <c r="A173" i="7"/>
  <c r="D173" i="7" s="1"/>
  <c r="J173" i="7" l="1"/>
  <c r="O173" i="7" s="1"/>
  <c r="P173" i="7" s="1"/>
  <c r="E174" i="7"/>
  <c r="H174" i="7" s="1"/>
  <c r="I173" i="7"/>
  <c r="B174" i="7" l="1"/>
  <c r="Q173" i="7"/>
  <c r="K173" i="7"/>
  <c r="N173" i="7" l="1"/>
  <c r="M173" i="7"/>
  <c r="L173" i="7"/>
  <c r="F174" i="7"/>
  <c r="G174" i="7" s="1"/>
  <c r="A174" i="7"/>
  <c r="D174" i="7" s="1"/>
  <c r="J174" i="7" l="1"/>
  <c r="E175" i="7"/>
  <c r="I174" i="7"/>
  <c r="O174" i="7" l="1"/>
  <c r="P174" i="7" s="1"/>
  <c r="K174" i="7"/>
  <c r="H175" i="7"/>
  <c r="M174" i="7" l="1"/>
  <c r="N174" i="7"/>
  <c r="L174" i="7"/>
  <c r="B175" i="7"/>
  <c r="Q174" i="7"/>
  <c r="A175" i="7" l="1"/>
  <c r="D175" i="7" s="1"/>
  <c r="J175" i="7"/>
  <c r="O175" i="7" s="1"/>
  <c r="P175" i="7" s="1"/>
  <c r="F175" i="7"/>
  <c r="G175" i="7" s="1"/>
  <c r="B176" i="7" l="1"/>
  <c r="Q175" i="7"/>
  <c r="K175" i="7"/>
  <c r="I175" i="7"/>
  <c r="E176" i="7"/>
  <c r="H176" i="7" s="1"/>
  <c r="L175" i="7" l="1"/>
  <c r="M175" i="7"/>
  <c r="N175" i="7"/>
  <c r="A176" i="7"/>
  <c r="J176" i="7"/>
  <c r="O176" i="7" s="1"/>
  <c r="P176" i="7" s="1"/>
  <c r="F176" i="7"/>
  <c r="G176" i="7" s="1"/>
  <c r="I176" i="7" s="1"/>
  <c r="B177" i="7" l="1"/>
  <c r="Q176" i="7"/>
  <c r="D176" i="7"/>
  <c r="K176" i="7"/>
  <c r="E177" i="7"/>
  <c r="H177" i="7" s="1"/>
  <c r="M176" i="7" l="1"/>
  <c r="L176" i="7"/>
  <c r="N176" i="7"/>
  <c r="F177" i="7"/>
  <c r="G177" i="7" s="1"/>
  <c r="A177" i="7"/>
  <c r="D177" i="7" l="1"/>
  <c r="J177" i="7"/>
  <c r="I177" i="7"/>
  <c r="E178" i="7"/>
  <c r="H178" i="7" s="1"/>
  <c r="O177" i="7" l="1"/>
  <c r="P177" i="7" s="1"/>
  <c r="K177" i="7"/>
  <c r="L177" i="7" l="1"/>
  <c r="N177" i="7"/>
  <c r="M177" i="7"/>
  <c r="Q177" i="7"/>
  <c r="B178" i="7"/>
  <c r="F178" i="7" l="1"/>
  <c r="G178" i="7" s="1"/>
  <c r="A178" i="7"/>
  <c r="D178" i="7" s="1"/>
  <c r="J178" i="7" l="1"/>
  <c r="O178" i="7" s="1"/>
  <c r="P178" i="7" s="1"/>
  <c r="E179" i="7"/>
  <c r="H179" i="7" s="1"/>
  <c r="I178" i="7"/>
  <c r="Q178" i="7" l="1"/>
  <c r="B179" i="7"/>
  <c r="K178" i="7"/>
  <c r="F179" i="7" l="1"/>
  <c r="G179" i="7" s="1"/>
  <c r="A179" i="7"/>
  <c r="D179" i="7" s="1"/>
  <c r="L178" i="7"/>
  <c r="M178" i="7"/>
  <c r="N178" i="7"/>
  <c r="J179" i="7" l="1"/>
  <c r="O179" i="7" s="1"/>
  <c r="P179" i="7" s="1"/>
  <c r="B180" i="7" s="1"/>
  <c r="Q179" i="7"/>
  <c r="E180" i="7"/>
  <c r="H180" i="7" s="1"/>
  <c r="I179" i="7"/>
  <c r="K179" i="7"/>
  <c r="L179" i="7" l="1"/>
  <c r="M179" i="7"/>
  <c r="N179" i="7"/>
  <c r="A180" i="7"/>
  <c r="F180" i="7"/>
  <c r="G180" i="7" s="1"/>
  <c r="E181" i="7" s="1"/>
  <c r="H181" i="7" s="1"/>
  <c r="J180" i="7" l="1"/>
  <c r="D180" i="7"/>
  <c r="I180" i="7"/>
  <c r="O180" i="7" l="1"/>
  <c r="P180" i="7" s="1"/>
  <c r="K180" i="7"/>
  <c r="M180" i="7" l="1"/>
  <c r="L180" i="7"/>
  <c r="N180" i="7"/>
  <c r="Q180" i="7"/>
  <c r="B181" i="7"/>
  <c r="A181" i="7" l="1"/>
  <c r="D181" i="7" s="1"/>
  <c r="F181" i="7"/>
  <c r="G181" i="7" s="1"/>
  <c r="J181" i="7"/>
  <c r="O181" i="7" s="1"/>
  <c r="P181" i="7" s="1"/>
  <c r="B182" i="7" l="1"/>
  <c r="Q181" i="7"/>
  <c r="K181" i="7"/>
  <c r="E182" i="7"/>
  <c r="I181" i="7"/>
  <c r="H182" i="7" l="1"/>
  <c r="L181" i="7"/>
  <c r="N181" i="7"/>
  <c r="M181" i="7"/>
  <c r="F182" i="7"/>
  <c r="G182" i="7" s="1"/>
  <c r="E183" i="7" s="1"/>
  <c r="H183" i="7" s="1"/>
  <c r="A182" i="7"/>
  <c r="D182" i="7" s="1"/>
  <c r="I182" i="7" l="1"/>
  <c r="J182" i="7"/>
  <c r="O182" i="7" s="1"/>
  <c r="P182" i="7" s="1"/>
  <c r="Q182" i="7" l="1"/>
  <c r="B183" i="7"/>
  <c r="K182" i="7"/>
  <c r="M182" i="7" l="1"/>
  <c r="L182" i="7"/>
  <c r="N182" i="7"/>
  <c r="F183" i="7"/>
  <c r="G183" i="7" s="1"/>
  <c r="A183" i="7"/>
  <c r="D183" i="7" s="1"/>
  <c r="E184" i="7" l="1"/>
  <c r="I183" i="7"/>
  <c r="J183" i="7"/>
  <c r="O183" i="7" l="1"/>
  <c r="P183" i="7" s="1"/>
  <c r="K183" i="7"/>
  <c r="H184" i="7"/>
  <c r="M183" i="7" l="1"/>
  <c r="L183" i="7"/>
  <c r="N183" i="7"/>
  <c r="B184" i="7"/>
  <c r="Q183" i="7"/>
  <c r="A184" i="7" l="1"/>
  <c r="D184" i="7" s="1"/>
  <c r="J184" i="7"/>
  <c r="O184" i="7" s="1"/>
  <c r="P184" i="7" s="1"/>
  <c r="F184" i="7"/>
  <c r="G184" i="7" s="1"/>
  <c r="K184" i="7" l="1"/>
  <c r="B185" i="7"/>
  <c r="Q184" i="7"/>
  <c r="L184" i="7"/>
  <c r="N184" i="7"/>
  <c r="M184" i="7"/>
  <c r="I184" i="7"/>
  <c r="E185" i="7"/>
  <c r="H185" i="7" l="1"/>
  <c r="F185" i="7"/>
  <c r="G185" i="7" s="1"/>
  <c r="I185" i="7" s="1"/>
  <c r="A185" i="7"/>
  <c r="D185" i="7" s="1"/>
  <c r="J185" i="7" l="1"/>
  <c r="E186" i="7"/>
  <c r="O185" i="7" l="1"/>
  <c r="P185" i="7" s="1"/>
  <c r="K185" i="7"/>
  <c r="H186" i="7"/>
  <c r="M185" i="7" l="1"/>
  <c r="L185" i="7"/>
  <c r="N185" i="7"/>
  <c r="B186" i="7"/>
  <c r="Q185" i="7"/>
  <c r="A186" i="7" l="1"/>
  <c r="F186" i="7"/>
  <c r="G186" i="7" s="1"/>
  <c r="I186" i="7" l="1"/>
  <c r="E187" i="7"/>
  <c r="H187" i="7" s="1"/>
  <c r="D186" i="7"/>
  <c r="J186" i="7"/>
  <c r="O186" i="7" s="1"/>
  <c r="P186" i="7" s="1"/>
  <c r="K186" i="7" l="1"/>
  <c r="L186" i="7" s="1"/>
  <c r="M186" i="7"/>
  <c r="N186" i="7"/>
  <c r="Q186" i="7"/>
  <c r="B187" i="7"/>
  <c r="A187" i="7" l="1"/>
  <c r="F187" i="7"/>
  <c r="G187" i="7" s="1"/>
  <c r="I187" i="7" l="1"/>
  <c r="E188" i="7"/>
  <c r="H188" i="7" s="1"/>
  <c r="D187" i="7"/>
  <c r="J187" i="7"/>
  <c r="O187" i="7" l="1"/>
  <c r="P187" i="7" s="1"/>
  <c r="K187" i="7"/>
  <c r="L187" i="7" l="1"/>
  <c r="N187" i="7"/>
  <c r="M187" i="7"/>
  <c r="B188" i="7"/>
  <c r="Q187" i="7"/>
  <c r="A188" i="7" l="1"/>
  <c r="D188" i="7" s="1"/>
  <c r="F188" i="7"/>
  <c r="G188" i="7" s="1"/>
  <c r="J188" i="7"/>
  <c r="O188" i="7" s="1"/>
  <c r="P188" i="7" s="1"/>
  <c r="K188" i="7" l="1"/>
  <c r="L188" i="7"/>
  <c r="M188" i="7"/>
  <c r="N188" i="7"/>
  <c r="I188" i="7"/>
  <c r="E189" i="7"/>
  <c r="H189" i="7" s="1"/>
  <c r="Q188" i="7"/>
  <c r="B189" i="7"/>
  <c r="A189" i="7" l="1"/>
  <c r="D189" i="7" s="1"/>
  <c r="J189" i="7"/>
  <c r="O189" i="7" s="1"/>
  <c r="P189" i="7" s="1"/>
  <c r="F189" i="7"/>
  <c r="G189" i="7" s="1"/>
  <c r="E190" i="7" s="1"/>
  <c r="H190" i="7" s="1"/>
  <c r="I189" i="7" l="1"/>
  <c r="B190" i="7"/>
  <c r="Q189" i="7"/>
  <c r="K189" i="7"/>
  <c r="M189" i="7" l="1"/>
  <c r="L189" i="7"/>
  <c r="N189" i="7"/>
  <c r="A190" i="7"/>
  <c r="F190" i="7"/>
  <c r="G190" i="7" s="1"/>
  <c r="J190" i="7"/>
  <c r="O190" i="7" s="1"/>
  <c r="P190" i="7" s="1"/>
  <c r="D190" i="7" l="1"/>
  <c r="K190" i="7"/>
  <c r="Q190" i="7"/>
  <c r="B191" i="7"/>
  <c r="E191" i="7"/>
  <c r="H191" i="7" s="1"/>
  <c r="I190" i="7"/>
  <c r="N190" i="7" l="1"/>
  <c r="L190" i="7"/>
  <c r="M190" i="7"/>
  <c r="A191" i="7"/>
  <c r="D191" i="7" s="1"/>
  <c r="F191" i="7"/>
  <c r="G191" i="7" s="1"/>
  <c r="I191" i="7" s="1"/>
  <c r="J191" i="7"/>
  <c r="O191" i="7" s="1"/>
  <c r="P191" i="7" s="1"/>
  <c r="K191" i="7"/>
  <c r="M191" i="7" l="1"/>
  <c r="L191" i="7"/>
  <c r="N191" i="7"/>
  <c r="B192" i="7"/>
  <c r="Q191" i="7"/>
  <c r="E192" i="7"/>
  <c r="H192" i="7" s="1"/>
  <c r="F192" i="7" l="1"/>
  <c r="G192" i="7" s="1"/>
  <c r="A192" i="7"/>
  <c r="D192" i="7" l="1"/>
  <c r="J192" i="7"/>
  <c r="O192" i="7" s="1"/>
  <c r="P192" i="7" s="1"/>
  <c r="E193" i="7"/>
  <c r="H193" i="7" s="1"/>
  <c r="I192" i="7"/>
  <c r="K192" i="7" l="1"/>
  <c r="L192" i="7"/>
  <c r="M192" i="7"/>
  <c r="N192" i="7"/>
  <c r="Q192" i="7"/>
  <c r="B193" i="7"/>
  <c r="F193" i="7" l="1"/>
  <c r="G193" i="7" s="1"/>
  <c r="A193" i="7"/>
  <c r="D193" i="7" s="1"/>
  <c r="J193" i="7" l="1"/>
  <c r="O193" i="7" s="1"/>
  <c r="P193" i="7" s="1"/>
  <c r="E194" i="7"/>
  <c r="H194" i="7" s="1"/>
  <c r="I193" i="7"/>
  <c r="Q193" i="7" l="1"/>
  <c r="B194" i="7"/>
  <c r="K193" i="7"/>
  <c r="L193" i="7" l="1"/>
  <c r="N193" i="7"/>
  <c r="M193" i="7"/>
  <c r="A194" i="7"/>
  <c r="D194" i="7" s="1"/>
  <c r="F194" i="7"/>
  <c r="G194" i="7" s="1"/>
  <c r="J194" i="7"/>
  <c r="O194" i="7" s="1"/>
  <c r="P194" i="7" s="1"/>
  <c r="Q194" i="7" l="1"/>
  <c r="B195" i="7"/>
  <c r="K194" i="7"/>
  <c r="E195" i="7"/>
  <c r="H195" i="7" s="1"/>
  <c r="I194" i="7"/>
  <c r="M194" i="7" l="1"/>
  <c r="L194" i="7"/>
  <c r="N194" i="7"/>
  <c r="F195" i="7"/>
  <c r="G195" i="7" s="1"/>
  <c r="A195" i="7"/>
  <c r="D195" i="7" s="1"/>
  <c r="J195" i="7" l="1"/>
  <c r="O195" i="7" s="1"/>
  <c r="P195" i="7" s="1"/>
  <c r="I195" i="7"/>
  <c r="E196" i="7"/>
  <c r="H196" i="7" s="1"/>
  <c r="Q195" i="7" l="1"/>
  <c r="B196" i="7"/>
  <c r="K195" i="7"/>
  <c r="N195" i="7" l="1"/>
  <c r="L195" i="7"/>
  <c r="M195" i="7"/>
  <c r="F196" i="7"/>
  <c r="G196" i="7" s="1"/>
  <c r="A196" i="7"/>
  <c r="D196" i="7" s="1"/>
  <c r="I196" i="7" l="1"/>
  <c r="E197" i="7"/>
  <c r="H197" i="7" s="1"/>
  <c r="J196" i="7"/>
  <c r="O196" i="7" s="1"/>
  <c r="P196" i="7" s="1"/>
  <c r="K196" i="7" l="1"/>
  <c r="N196" i="7"/>
  <c r="M196" i="7"/>
  <c r="L196" i="7"/>
  <c r="B197" i="7"/>
  <c r="Q196" i="7"/>
  <c r="F197" i="7" l="1"/>
  <c r="G197" i="7" s="1"/>
  <c r="A197" i="7"/>
  <c r="D197" i="7" s="1"/>
  <c r="J197" i="7" l="1"/>
  <c r="O197" i="7" s="1"/>
  <c r="P197" i="7" s="1"/>
  <c r="Q197" i="7"/>
  <c r="B198" i="7"/>
  <c r="K197" i="7"/>
  <c r="E198" i="7"/>
  <c r="H198" i="7" s="1"/>
  <c r="I197" i="7"/>
  <c r="L197" i="7" l="1"/>
  <c r="M197" i="7"/>
  <c r="N197" i="7"/>
  <c r="F198" i="7"/>
  <c r="G198" i="7" s="1"/>
  <c r="I198" i="7" s="1"/>
  <c r="A198" i="7"/>
  <c r="D198" i="7" s="1"/>
  <c r="J198" i="7" l="1"/>
  <c r="O198" i="7" s="1"/>
  <c r="P198" i="7" s="1"/>
  <c r="E199" i="7"/>
  <c r="H199" i="7" s="1"/>
  <c r="K198" i="7"/>
  <c r="N198" i="7" l="1"/>
  <c r="L198" i="7"/>
  <c r="M198" i="7"/>
  <c r="B199" i="7"/>
  <c r="Q198" i="7"/>
  <c r="A199" i="7" l="1"/>
  <c r="F199" i="7"/>
  <c r="G199" i="7" s="1"/>
  <c r="J199" i="7"/>
  <c r="O199" i="7" s="1"/>
  <c r="P199" i="7" s="1"/>
  <c r="B200" i="7" s="1"/>
  <c r="Q199" i="7" l="1"/>
  <c r="I199" i="7"/>
  <c r="E200" i="7"/>
  <c r="H200" i="7" s="1"/>
  <c r="D199" i="7"/>
  <c r="K199" i="7"/>
  <c r="F200" i="7"/>
  <c r="G200" i="7" s="1"/>
  <c r="A200" i="7"/>
  <c r="D200" i="7" s="1"/>
  <c r="J200" i="7" l="1"/>
  <c r="O200" i="7" s="1"/>
  <c r="P200" i="7" s="1"/>
  <c r="M199" i="7"/>
  <c r="N199" i="7"/>
  <c r="L199" i="7"/>
  <c r="Q200" i="7"/>
  <c r="B201" i="7"/>
  <c r="K200" i="7"/>
  <c r="E201" i="7"/>
  <c r="I200" i="7"/>
  <c r="M200" i="7" l="1"/>
  <c r="N200" i="7"/>
  <c r="L200" i="7"/>
  <c r="H201" i="7"/>
  <c r="F201" i="7"/>
  <c r="G201" i="7" s="1"/>
  <c r="I201" i="7" s="1"/>
  <c r="A201" i="7"/>
  <c r="D201" i="7" s="1"/>
  <c r="E202" i="7" l="1"/>
  <c r="J201" i="7"/>
  <c r="O201" i="7" s="1"/>
  <c r="P201" i="7" s="1"/>
  <c r="Q201" i="7" l="1"/>
  <c r="B202" i="7"/>
  <c r="H202" i="7"/>
  <c r="K201" i="7"/>
  <c r="N201" i="7" l="1"/>
  <c r="L201" i="7"/>
  <c r="M201" i="7"/>
  <c r="A202" i="7"/>
  <c r="D202" i="7" s="1"/>
  <c r="F202" i="7"/>
  <c r="G202" i="7" s="1"/>
  <c r="J202" i="7"/>
  <c r="O202" i="7" s="1"/>
  <c r="P202" i="7" s="1"/>
  <c r="I202" i="7" l="1"/>
  <c r="E203" i="7"/>
  <c r="H203" i="7" s="1"/>
  <c r="B203" i="7"/>
  <c r="Q202" i="7"/>
  <c r="K202" i="7"/>
  <c r="A203" i="7" l="1"/>
  <c r="D203" i="7" s="1"/>
  <c r="F203" i="7"/>
  <c r="G203" i="7" s="1"/>
  <c r="E204" i="7" s="1"/>
  <c r="J203" i="7"/>
  <c r="O203" i="7" s="1"/>
  <c r="P203" i="7" s="1"/>
  <c r="N202" i="7"/>
  <c r="L202" i="7"/>
  <c r="M202" i="7"/>
  <c r="I203" i="7"/>
  <c r="H204" i="7" l="1"/>
  <c r="B204" i="7"/>
  <c r="Q203" i="7"/>
  <c r="K203" i="7"/>
  <c r="M203" i="7" l="1"/>
  <c r="N203" i="7"/>
  <c r="L203" i="7"/>
  <c r="F204" i="7"/>
  <c r="G204" i="7" s="1"/>
  <c r="A204" i="7"/>
  <c r="D204" i="7" s="1"/>
  <c r="I204" i="7" l="1"/>
  <c r="E205" i="7"/>
  <c r="H205" i="7" s="1"/>
  <c r="J204" i="7"/>
  <c r="O204" i="7" l="1"/>
  <c r="P204" i="7" s="1"/>
  <c r="K204" i="7"/>
  <c r="N204" i="7" l="1"/>
  <c r="M204" i="7"/>
  <c r="L204" i="7"/>
  <c r="Q204" i="7"/>
  <c r="B205" i="7"/>
  <c r="F205" i="7" l="1"/>
  <c r="G205" i="7" s="1"/>
  <c r="A205" i="7"/>
  <c r="D205" i="7" s="1"/>
  <c r="J205" i="7"/>
  <c r="O205" i="7" s="1"/>
  <c r="P205" i="7" s="1"/>
  <c r="B206" i="7" l="1"/>
  <c r="Q205" i="7"/>
  <c r="K205" i="7"/>
  <c r="E206" i="7"/>
  <c r="I205" i="7"/>
  <c r="H206" i="7" l="1"/>
  <c r="L205" i="7"/>
  <c r="N205" i="7"/>
  <c r="M205" i="7"/>
  <c r="F206" i="7"/>
  <c r="G206" i="7" s="1"/>
  <c r="I206" i="7" s="1"/>
  <c r="A206" i="7"/>
  <c r="D206" i="7" s="1"/>
  <c r="E207" i="7" l="1"/>
  <c r="H207" i="7" s="1"/>
  <c r="J206" i="7"/>
  <c r="O206" i="7" s="1"/>
  <c r="P206" i="7" s="1"/>
  <c r="Q206" i="7" l="1"/>
  <c r="B207" i="7"/>
  <c r="K206" i="7"/>
  <c r="L206" i="7" l="1"/>
  <c r="M206" i="7"/>
  <c r="N206" i="7"/>
  <c r="A207" i="7"/>
  <c r="D207" i="7" s="1"/>
  <c r="F207" i="7"/>
  <c r="G207" i="7" s="1"/>
  <c r="J207" i="7" l="1"/>
  <c r="O207" i="7" s="1"/>
  <c r="P207" i="7" s="1"/>
  <c r="K207" i="7"/>
  <c r="L207" i="7" s="1"/>
  <c r="E208" i="7"/>
  <c r="I207" i="7"/>
  <c r="B208" i="7"/>
  <c r="Q207" i="7"/>
  <c r="M207" i="7" l="1"/>
  <c r="N207" i="7"/>
  <c r="F208" i="7"/>
  <c r="G208" i="7" s="1"/>
  <c r="I208" i="7" s="1"/>
  <c r="A208" i="7"/>
  <c r="D208" i="7" s="1"/>
  <c r="H208" i="7"/>
  <c r="E209" i="7"/>
  <c r="J208" i="7" l="1"/>
  <c r="O208" i="7" s="1"/>
  <c r="P208" i="7" s="1"/>
  <c r="Q208" i="7" s="1"/>
  <c r="K208" i="7"/>
  <c r="N208" i="7" s="1"/>
  <c r="H209" i="7"/>
  <c r="L208" i="7"/>
  <c r="B209" i="7" l="1"/>
  <c r="A209" i="7" s="1"/>
  <c r="D209" i="7" s="1"/>
  <c r="M208" i="7"/>
  <c r="F209" i="7"/>
  <c r="G209" i="7" s="1"/>
  <c r="J209" i="7"/>
  <c r="O209" i="7" s="1"/>
  <c r="P209" i="7" s="1"/>
  <c r="K209" i="7"/>
  <c r="M209" i="7" l="1"/>
  <c r="L209" i="7"/>
  <c r="N209" i="7"/>
  <c r="I209" i="7"/>
  <c r="E210" i="7"/>
  <c r="B210" i="7"/>
  <c r="Q209" i="7"/>
  <c r="A210" i="7" l="1"/>
  <c r="D210" i="7" s="1"/>
  <c r="F210" i="7"/>
  <c r="G210" i="7" s="1"/>
  <c r="I210" i="7" s="1"/>
  <c r="H210" i="7"/>
  <c r="E211" i="7" l="1"/>
  <c r="H211" i="7" s="1"/>
  <c r="J210" i="7"/>
  <c r="O210" i="7" l="1"/>
  <c r="P210" i="7" s="1"/>
  <c r="K210" i="7"/>
  <c r="M210" i="7" l="1"/>
  <c r="N210" i="7"/>
  <c r="L210" i="7"/>
  <c r="Q210" i="7"/>
  <c r="B211" i="7"/>
  <c r="A211" i="7" l="1"/>
  <c r="D211" i="7" s="1"/>
  <c r="J211" i="7"/>
  <c r="O211" i="7" s="1"/>
  <c r="P211" i="7" s="1"/>
  <c r="F211" i="7"/>
  <c r="G211" i="7" s="1"/>
  <c r="K211" i="7" l="1"/>
  <c r="N211" i="7"/>
  <c r="L211" i="7"/>
  <c r="M211" i="7"/>
  <c r="B212" i="7"/>
  <c r="Q211" i="7"/>
  <c r="E212" i="7"/>
  <c r="H212" i="7" s="1"/>
  <c r="I211" i="7"/>
  <c r="A212" i="7" l="1"/>
  <c r="D212" i="7" s="1"/>
  <c r="F212" i="7"/>
  <c r="G212" i="7" s="1"/>
  <c r="E213" i="7" s="1"/>
  <c r="J212" i="7"/>
  <c r="O212" i="7" s="1"/>
  <c r="P212" i="7" s="1"/>
  <c r="I212" i="7" l="1"/>
  <c r="K212" i="7"/>
  <c r="N212" i="7"/>
  <c r="L212" i="7"/>
  <c r="M212" i="7"/>
  <c r="H213" i="7"/>
  <c r="B213" i="7"/>
  <c r="Q212" i="7"/>
  <c r="A213" i="7" l="1"/>
  <c r="D213" i="7" s="1"/>
  <c r="F213" i="7"/>
  <c r="G213" i="7" s="1"/>
  <c r="J213" i="7"/>
  <c r="O213" i="7" s="1"/>
  <c r="P213" i="7" s="1"/>
  <c r="B214" i="7" l="1"/>
  <c r="Q213" i="7"/>
  <c r="K213" i="7"/>
  <c r="I213" i="7"/>
  <c r="E214" i="7"/>
  <c r="H214" i="7" s="1"/>
  <c r="M213" i="7" l="1"/>
  <c r="L213" i="7"/>
  <c r="N213" i="7"/>
  <c r="F214" i="7"/>
  <c r="G214" i="7" s="1"/>
  <c r="E215" i="7" s="1"/>
  <c r="A214" i="7"/>
  <c r="D214" i="7" s="1"/>
  <c r="J214" i="7" l="1"/>
  <c r="O214" i="7" s="1"/>
  <c r="P214" i="7" s="1"/>
  <c r="Q214" i="7" s="1"/>
  <c r="H215" i="7"/>
  <c r="I214" i="7"/>
  <c r="B215" i="7" l="1"/>
  <c r="K214" i="7"/>
  <c r="F215" i="7"/>
  <c r="G215" i="7" s="1"/>
  <c r="E216" i="7" s="1"/>
  <c r="H216" i="7" s="1"/>
  <c r="A215" i="7"/>
  <c r="D215" i="7" s="1"/>
  <c r="J215" i="7" l="1"/>
  <c r="O215" i="7" s="1"/>
  <c r="P215" i="7" s="1"/>
  <c r="B216" i="7" s="1"/>
  <c r="M214" i="7"/>
  <c r="N214" i="7"/>
  <c r="L214" i="7"/>
  <c r="I215" i="7"/>
  <c r="Q215" i="7" l="1"/>
  <c r="K215" i="7"/>
  <c r="A216" i="7"/>
  <c r="D216" i="7" s="1"/>
  <c r="F216" i="7"/>
  <c r="G216" i="7" s="1"/>
  <c r="E217" i="7" s="1"/>
  <c r="H217" i="7" s="1"/>
  <c r="J216" i="7" l="1"/>
  <c r="N215" i="7"/>
  <c r="L215" i="7"/>
  <c r="M215" i="7"/>
  <c r="I216" i="7"/>
  <c r="O216" i="7" l="1"/>
  <c r="P216" i="7" s="1"/>
  <c r="K216" i="7"/>
  <c r="N216" i="7" l="1"/>
  <c r="M216" i="7"/>
  <c r="L216" i="7"/>
  <c r="Q216" i="7"/>
  <c r="B217" i="7"/>
  <c r="F217" i="7" l="1"/>
  <c r="G217" i="7" s="1"/>
  <c r="A217" i="7"/>
  <c r="D217" i="7" l="1"/>
  <c r="J217" i="7"/>
  <c r="E218" i="7"/>
  <c r="H218" i="7" s="1"/>
  <c r="I217" i="7"/>
  <c r="O217" i="7" l="1"/>
  <c r="P217" i="7" s="1"/>
  <c r="K217" i="7"/>
  <c r="L217" i="7" l="1"/>
  <c r="N217" i="7"/>
  <c r="M217" i="7"/>
  <c r="B218" i="7"/>
  <c r="Q217" i="7"/>
  <c r="F218" i="7" l="1"/>
  <c r="G218" i="7" s="1"/>
  <c r="A218" i="7"/>
  <c r="D218" i="7" s="1"/>
  <c r="J218" i="7" l="1"/>
  <c r="O218" i="7" s="1"/>
  <c r="P218" i="7" s="1"/>
  <c r="B219" i="7" s="1"/>
  <c r="K218" i="7"/>
  <c r="I218" i="7"/>
  <c r="E219" i="7"/>
  <c r="H219" i="7" s="1"/>
  <c r="Q218" i="7" l="1"/>
  <c r="M218" i="7"/>
  <c r="N218" i="7"/>
  <c r="L218" i="7"/>
  <c r="F219" i="7"/>
  <c r="G219" i="7" s="1"/>
  <c r="E220" i="7" s="1"/>
  <c r="H220" i="7" s="1"/>
  <c r="A219" i="7"/>
  <c r="J219" i="7" s="1"/>
  <c r="O219" i="7" s="1"/>
  <c r="P219" i="7" s="1"/>
  <c r="Q219" i="7" s="1"/>
  <c r="D219" i="7" l="1"/>
  <c r="K219" i="7"/>
  <c r="B220" i="7"/>
  <c r="A220" i="7" s="1"/>
  <c r="I219" i="7"/>
  <c r="F220" i="7" l="1"/>
  <c r="G220" i="7" s="1"/>
  <c r="I220" i="7" s="1"/>
  <c r="L219" i="7"/>
  <c r="M219" i="7"/>
  <c r="N219" i="7"/>
  <c r="D220" i="7"/>
  <c r="J220" i="7"/>
  <c r="E221" i="7" l="1"/>
  <c r="H221" i="7" s="1"/>
  <c r="O220" i="7"/>
  <c r="P220" i="7" s="1"/>
  <c r="K220" i="7"/>
  <c r="M220" i="7" l="1"/>
  <c r="N220" i="7"/>
  <c r="L220" i="7"/>
  <c r="Q220" i="7"/>
  <c r="B221" i="7"/>
  <c r="A221" i="7" l="1"/>
  <c r="F221" i="7"/>
  <c r="G221" i="7" s="1"/>
  <c r="E222" i="7" l="1"/>
  <c r="I221" i="7"/>
  <c r="J221" i="7"/>
  <c r="D221" i="7"/>
  <c r="O221" i="7" l="1"/>
  <c r="P221" i="7" s="1"/>
  <c r="K221" i="7"/>
  <c r="H222" i="7"/>
  <c r="L221" i="7" l="1"/>
  <c r="N221" i="7"/>
  <c r="M221" i="7"/>
  <c r="Q221" i="7"/>
  <c r="B222" i="7"/>
  <c r="A222" i="7" l="1"/>
  <c r="D222" i="7" s="1"/>
  <c r="F222" i="7"/>
  <c r="G222" i="7" s="1"/>
  <c r="J222" i="7"/>
  <c r="O222" i="7" s="1"/>
  <c r="P222" i="7" s="1"/>
  <c r="K222" i="7" l="1"/>
  <c r="M222" i="7"/>
  <c r="L222" i="7"/>
  <c r="N222" i="7"/>
  <c r="Q222" i="7"/>
  <c r="B223" i="7"/>
  <c r="I222" i="7"/>
  <c r="E223" i="7"/>
  <c r="H223" i="7" l="1"/>
  <c r="F223" i="7"/>
  <c r="G223" i="7" s="1"/>
  <c r="E224" i="7" s="1"/>
  <c r="A223" i="7"/>
  <c r="D223" i="7" s="1"/>
  <c r="J223" i="7" l="1"/>
  <c r="H224" i="7"/>
  <c r="I223" i="7"/>
  <c r="O223" i="7" l="1"/>
  <c r="P223" i="7" s="1"/>
  <c r="K223" i="7"/>
  <c r="L223" i="7" l="1"/>
  <c r="M223" i="7"/>
  <c r="N223" i="7"/>
  <c r="B224" i="7"/>
  <c r="Q223" i="7"/>
  <c r="F224" i="7" l="1"/>
  <c r="G224" i="7" s="1"/>
  <c r="A224" i="7"/>
  <c r="D224" i="7" l="1"/>
  <c r="J224" i="7"/>
  <c r="E225" i="7"/>
  <c r="H225" i="7" s="1"/>
  <c r="I224" i="7"/>
  <c r="O224" i="7" l="1"/>
  <c r="P224" i="7" s="1"/>
  <c r="K224" i="7"/>
  <c r="N224" i="7" l="1"/>
  <c r="M224" i="7"/>
  <c r="L224" i="7"/>
  <c r="B225" i="7"/>
  <c r="Q224" i="7"/>
  <c r="A225" i="7" l="1"/>
  <c r="D225" i="7" s="1"/>
  <c r="F225" i="7"/>
  <c r="G225" i="7" s="1"/>
  <c r="J225" i="7"/>
  <c r="O225" i="7" s="1"/>
  <c r="P225" i="7" s="1"/>
  <c r="K225" i="7" l="1"/>
  <c r="L225" i="7"/>
  <c r="M225" i="7"/>
  <c r="N225" i="7"/>
  <c r="E226" i="7"/>
  <c r="I225" i="7"/>
  <c r="B226" i="7"/>
  <c r="Q225" i="7"/>
  <c r="H226" i="7" l="1"/>
  <c r="A226" i="7"/>
  <c r="D226" i="7" s="1"/>
  <c r="F226" i="7"/>
  <c r="G226" i="7" s="1"/>
  <c r="E227" i="7" s="1"/>
  <c r="H227" i="7" s="1"/>
  <c r="J226" i="7"/>
  <c r="O226" i="7" s="1"/>
  <c r="P226" i="7" s="1"/>
  <c r="Q226" i="7" l="1"/>
  <c r="B227" i="7"/>
  <c r="I226" i="7"/>
  <c r="K226" i="7"/>
  <c r="M226" i="7" l="1"/>
  <c r="L226" i="7"/>
  <c r="N226" i="7"/>
  <c r="F227" i="7"/>
  <c r="G227" i="7" s="1"/>
  <c r="A227" i="7"/>
  <c r="D227" i="7" s="1"/>
  <c r="E228" i="7" l="1"/>
  <c r="H228" i="7" s="1"/>
  <c r="I227" i="7"/>
  <c r="J227" i="7"/>
  <c r="O227" i="7" s="1"/>
  <c r="P227" i="7" s="1"/>
  <c r="Q227" i="7" l="1"/>
  <c r="B228" i="7"/>
  <c r="K227" i="7"/>
  <c r="L227" i="7" l="1"/>
  <c r="N227" i="7"/>
  <c r="M227" i="7"/>
  <c r="A228" i="7"/>
  <c r="D228" i="7" s="1"/>
  <c r="J228" i="7"/>
  <c r="O228" i="7" s="1"/>
  <c r="P228" i="7" s="1"/>
  <c r="F228" i="7"/>
  <c r="G228" i="7" s="1"/>
  <c r="K228" i="7" l="1"/>
  <c r="E229" i="7"/>
  <c r="I228" i="7"/>
  <c r="B229" i="7"/>
  <c r="Q228" i="7"/>
  <c r="N228" i="7"/>
  <c r="L228" i="7"/>
  <c r="M228" i="7"/>
  <c r="F229" i="7" l="1"/>
  <c r="G229" i="7" s="1"/>
  <c r="I229" i="7" s="1"/>
  <c r="A229" i="7"/>
  <c r="D229" i="7" s="1"/>
  <c r="H229" i="7"/>
  <c r="E230" i="7" l="1"/>
  <c r="H230" i="7" s="1"/>
  <c r="J229" i="7"/>
  <c r="O229" i="7" s="1"/>
  <c r="P229" i="7" s="1"/>
  <c r="B230" i="7" l="1"/>
  <c r="Q229" i="7"/>
  <c r="K229" i="7"/>
  <c r="M229" i="7" l="1"/>
  <c r="N229" i="7"/>
  <c r="L229" i="7"/>
  <c r="F230" i="7"/>
  <c r="G230" i="7" s="1"/>
  <c r="A230" i="7"/>
  <c r="D230" i="7" s="1"/>
  <c r="J230" i="7" l="1"/>
  <c r="O230" i="7" s="1"/>
  <c r="P230" i="7" s="1"/>
  <c r="Q230" i="7" s="1"/>
  <c r="K230" i="7"/>
  <c r="B231" i="7"/>
  <c r="I230" i="7"/>
  <c r="E231" i="7"/>
  <c r="H231" i="7" l="1"/>
  <c r="F231" i="7"/>
  <c r="G231" i="7" s="1"/>
  <c r="E232" i="7" s="1"/>
  <c r="A231" i="7"/>
  <c r="N230" i="7"/>
  <c r="L230" i="7"/>
  <c r="M230" i="7"/>
  <c r="H232" i="7" l="1"/>
  <c r="J231" i="7"/>
  <c r="D231" i="7"/>
  <c r="I231" i="7"/>
  <c r="O231" i="7" l="1"/>
  <c r="P231" i="7" s="1"/>
  <c r="K231" i="7"/>
  <c r="L231" i="7" l="1"/>
  <c r="N231" i="7"/>
  <c r="M231" i="7"/>
  <c r="B232" i="7"/>
  <c r="Q231" i="7"/>
  <c r="A232" i="7" l="1"/>
  <c r="D232" i="7" s="1"/>
  <c r="F232" i="7"/>
  <c r="G232" i="7" s="1"/>
  <c r="J232" i="7"/>
  <c r="O232" i="7" s="1"/>
  <c r="P232" i="7" s="1"/>
  <c r="K232" i="7" l="1"/>
  <c r="E233" i="7"/>
  <c r="I232" i="7"/>
  <c r="N232" i="7"/>
  <c r="L232" i="7"/>
  <c r="M232" i="7"/>
  <c r="B233" i="7"/>
  <c r="Q232" i="7"/>
  <c r="A233" i="7" l="1"/>
  <c r="D233" i="7" s="1"/>
  <c r="F233" i="7"/>
  <c r="G233" i="7" s="1"/>
  <c r="I233" i="7" s="1"/>
  <c r="J233" i="7"/>
  <c r="O233" i="7" s="1"/>
  <c r="P233" i="7" s="1"/>
  <c r="H233" i="7"/>
  <c r="E234" i="7"/>
  <c r="H234" i="7" s="1"/>
  <c r="K233" i="7" l="1"/>
  <c r="M233" i="7"/>
  <c r="N233" i="7"/>
  <c r="L233" i="7"/>
  <c r="B234" i="7"/>
  <c r="Q233" i="7"/>
  <c r="A234" i="7" l="1"/>
  <c r="F234" i="7"/>
  <c r="G234" i="7" s="1"/>
  <c r="J234" i="7"/>
  <c r="O234" i="7" s="1"/>
  <c r="P234" i="7" s="1"/>
  <c r="B235" i="7" l="1"/>
  <c r="Q234" i="7"/>
  <c r="I234" i="7"/>
  <c r="E235" i="7"/>
  <c r="H235" i="7" s="1"/>
  <c r="D234" i="7"/>
  <c r="K234" i="7"/>
  <c r="M234" i="7" l="1"/>
  <c r="L234" i="7"/>
  <c r="N234" i="7"/>
  <c r="F235" i="7"/>
  <c r="G235" i="7" s="1"/>
  <c r="E236" i="7" s="1"/>
  <c r="H236" i="7" s="1"/>
  <c r="A235" i="7"/>
  <c r="D235" i="7" l="1"/>
  <c r="J235" i="7"/>
  <c r="I235" i="7"/>
  <c r="O235" i="7" l="1"/>
  <c r="P235" i="7" s="1"/>
  <c r="K235" i="7"/>
  <c r="N235" i="7" l="1"/>
  <c r="M235" i="7"/>
  <c r="L235" i="7"/>
  <c r="B236" i="7"/>
  <c r="Q235" i="7"/>
  <c r="F236" i="7" l="1"/>
  <c r="G236" i="7" s="1"/>
  <c r="A236" i="7"/>
  <c r="D236" i="7" s="1"/>
  <c r="J236" i="7"/>
  <c r="O236" i="7" s="1"/>
  <c r="P236" i="7" s="1"/>
  <c r="B237" i="7" l="1"/>
  <c r="Q236" i="7"/>
  <c r="K236" i="7"/>
  <c r="I236" i="7"/>
  <c r="E237" i="7"/>
  <c r="H237" i="7" s="1"/>
  <c r="L236" i="7" l="1"/>
  <c r="M236" i="7"/>
  <c r="N236" i="7"/>
  <c r="F237" i="7"/>
  <c r="G237" i="7" s="1"/>
  <c r="A237" i="7"/>
  <c r="D237" i="7" l="1"/>
  <c r="J237" i="7"/>
  <c r="O237" i="7" s="1"/>
  <c r="P237" i="7" s="1"/>
  <c r="E238" i="7"/>
  <c r="H238" i="7" s="1"/>
  <c r="I237" i="7"/>
  <c r="K237" i="7" l="1"/>
  <c r="M237" i="7"/>
  <c r="Q237" i="7"/>
  <c r="B238" i="7"/>
  <c r="L237" i="7" l="1"/>
  <c r="N237" i="7"/>
  <c r="A238" i="7"/>
  <c r="D238" i="7" s="1"/>
  <c r="F238" i="7"/>
  <c r="G238" i="7" s="1"/>
  <c r="J238" i="7"/>
  <c r="O238" i="7" s="1"/>
  <c r="P238" i="7" s="1"/>
  <c r="K238" i="7" l="1"/>
  <c r="E239" i="7"/>
  <c r="H239" i="7" s="1"/>
  <c r="I238" i="7"/>
  <c r="M238" i="7"/>
  <c r="N238" i="7"/>
  <c r="L238" i="7"/>
  <c r="B239" i="7"/>
  <c r="Q238" i="7"/>
  <c r="F239" i="7" l="1"/>
  <c r="G239" i="7" s="1"/>
  <c r="E240" i="7" s="1"/>
  <c r="H240" i="7" s="1"/>
  <c r="A239" i="7"/>
  <c r="J239" i="7" s="1"/>
  <c r="O239" i="7" s="1"/>
  <c r="P239" i="7" s="1"/>
  <c r="Q239" i="7" l="1"/>
  <c r="B240" i="7"/>
  <c r="D239" i="7"/>
  <c r="K239" i="7"/>
  <c r="I239" i="7"/>
  <c r="F240" i="7" l="1"/>
  <c r="G240" i="7" s="1"/>
  <c r="E241" i="7" s="1"/>
  <c r="H241" i="7" s="1"/>
  <c r="A240" i="7"/>
  <c r="M239" i="7"/>
  <c r="N239" i="7"/>
  <c r="L239" i="7"/>
  <c r="I240" i="7" l="1"/>
  <c r="J240" i="7"/>
  <c r="O240" i="7" s="1"/>
  <c r="P240" i="7" s="1"/>
  <c r="D240" i="7"/>
  <c r="K240" i="7"/>
  <c r="M240" i="7" l="1"/>
  <c r="N240" i="7"/>
  <c r="L240" i="7"/>
  <c r="B241" i="7"/>
  <c r="Q240" i="7"/>
  <c r="F241" i="7" l="1"/>
  <c r="G241" i="7" s="1"/>
  <c r="A241" i="7"/>
  <c r="D241" i="7" s="1"/>
  <c r="J241" i="7" l="1"/>
  <c r="O241" i="7" s="1"/>
  <c r="P241" i="7" s="1"/>
  <c r="E242" i="7"/>
  <c r="H242" i="7" s="1"/>
  <c r="I241" i="7"/>
  <c r="Q241" i="7" l="1"/>
  <c r="B242" i="7"/>
  <c r="K241" i="7"/>
  <c r="N241" i="7" l="1"/>
  <c r="M241" i="7"/>
  <c r="L241" i="7"/>
  <c r="A242" i="7"/>
  <c r="D242" i="7" s="1"/>
  <c r="F242" i="7"/>
  <c r="G242" i="7" s="1"/>
  <c r="J242" i="7"/>
  <c r="O242" i="7" s="1"/>
  <c r="P242" i="7" s="1"/>
  <c r="K242" i="7" l="1"/>
  <c r="I242" i="7"/>
  <c r="E243" i="7"/>
  <c r="B243" i="7"/>
  <c r="Q242" i="7"/>
  <c r="H243" i="7" l="1"/>
  <c r="A243" i="7"/>
  <c r="F243" i="7"/>
  <c r="G243" i="7" s="1"/>
  <c r="E244" i="7" s="1"/>
  <c r="H244" i="7" s="1"/>
  <c r="J243" i="7"/>
  <c r="O243" i="7" s="1"/>
  <c r="P243" i="7" s="1"/>
  <c r="B244" i="7" s="1"/>
  <c r="M242" i="7"/>
  <c r="L242" i="7"/>
  <c r="N242" i="7"/>
  <c r="I243" i="7" l="1"/>
  <c r="Q243" i="7"/>
  <c r="D243" i="7"/>
  <c r="K243" i="7"/>
  <c r="A244" i="7"/>
  <c r="D244" i="7" s="1"/>
  <c r="F244" i="7"/>
  <c r="G244" i="7" s="1"/>
  <c r="M243" i="7" l="1"/>
  <c r="L243" i="7"/>
  <c r="N243" i="7"/>
  <c r="J244" i="7"/>
  <c r="O244" i="7" s="1"/>
  <c r="P244" i="7" s="1"/>
  <c r="Q244" i="7" s="1"/>
  <c r="I244" i="7"/>
  <c r="E245" i="7"/>
  <c r="H245" i="7" s="1"/>
  <c r="B245" i="7"/>
  <c r="K244" i="7" l="1"/>
  <c r="N244" i="7" s="1"/>
  <c r="L244" i="7"/>
  <c r="M244" i="7"/>
  <c r="F245" i="7"/>
  <c r="G245" i="7" s="1"/>
  <c r="E246" i="7" s="1"/>
  <c r="A245" i="7"/>
  <c r="D245" i="7" s="1"/>
  <c r="I245" i="7" l="1"/>
  <c r="H246" i="7"/>
  <c r="J245" i="7"/>
  <c r="O245" i="7" l="1"/>
  <c r="P245" i="7" s="1"/>
  <c r="K245" i="7"/>
  <c r="L245" i="7" l="1"/>
  <c r="M245" i="7"/>
  <c r="N245" i="7"/>
  <c r="B246" i="7"/>
  <c r="Q245" i="7"/>
  <c r="A246" i="7" l="1"/>
  <c r="D246" i="7" s="1"/>
  <c r="F246" i="7"/>
  <c r="G246" i="7" s="1"/>
  <c r="J246" i="7"/>
  <c r="O246" i="7" s="1"/>
  <c r="P246" i="7" s="1"/>
  <c r="K246" i="7" l="1"/>
  <c r="M246" i="7" s="1"/>
  <c r="B247" i="7"/>
  <c r="Q246" i="7"/>
  <c r="I246" i="7"/>
  <c r="E247" i="7"/>
  <c r="L246" i="7" l="1"/>
  <c r="N246" i="7"/>
  <c r="H247" i="7"/>
  <c r="A247" i="7"/>
  <c r="D247" i="7" s="1"/>
  <c r="F247" i="7"/>
  <c r="G247" i="7" s="1"/>
  <c r="I247" i="7" s="1"/>
  <c r="J247" i="7" l="1"/>
  <c r="E248" i="7"/>
  <c r="H248" i="7" l="1"/>
  <c r="O247" i="7"/>
  <c r="P247" i="7" s="1"/>
  <c r="K247" i="7"/>
  <c r="M247" i="7" l="1"/>
  <c r="L247" i="7"/>
  <c r="N247" i="7"/>
  <c r="Q247" i="7"/>
  <c r="B248" i="7"/>
  <c r="A248" i="7" l="1"/>
  <c r="D248" i="7" s="1"/>
  <c r="F248" i="7"/>
  <c r="G248" i="7" s="1"/>
  <c r="J248" i="7" l="1"/>
  <c r="I248" i="7"/>
  <c r="E249" i="7"/>
  <c r="O248" i="7" l="1"/>
  <c r="P248" i="7" s="1"/>
  <c r="K248" i="7"/>
  <c r="H249" i="7"/>
  <c r="N248" i="7" l="1"/>
  <c r="M248" i="7"/>
  <c r="L248" i="7"/>
  <c r="B249" i="7"/>
  <c r="Q248" i="7"/>
  <c r="F249" i="7" l="1"/>
  <c r="G249" i="7" s="1"/>
  <c r="A249" i="7"/>
  <c r="D249" i="7" l="1"/>
  <c r="J249" i="7"/>
  <c r="O249" i="7" s="1"/>
  <c r="P249" i="7" s="1"/>
  <c r="E250" i="7"/>
  <c r="H250" i="7" s="1"/>
  <c r="I249" i="7"/>
  <c r="K249" i="7" l="1"/>
  <c r="M249" i="7" s="1"/>
  <c r="Q249" i="7"/>
  <c r="B250" i="7"/>
  <c r="N249" i="7" l="1"/>
  <c r="L249" i="7"/>
  <c r="A250" i="7"/>
  <c r="D250" i="7" s="1"/>
  <c r="F250" i="7"/>
  <c r="G250" i="7" s="1"/>
  <c r="J250" i="7"/>
  <c r="O250" i="7" s="1"/>
  <c r="P250" i="7" s="1"/>
  <c r="K250" i="7" l="1"/>
  <c r="N250" i="7" s="1"/>
  <c r="I250" i="7"/>
  <c r="E251" i="7"/>
  <c r="B251" i="7"/>
  <c r="Q250" i="7"/>
  <c r="M250" i="7" l="1"/>
  <c r="L250" i="7"/>
  <c r="A251" i="7"/>
  <c r="D251" i="7" s="1"/>
  <c r="F251" i="7"/>
  <c r="G251" i="7" s="1"/>
  <c r="I251" i="7" s="1"/>
  <c r="H251" i="7"/>
  <c r="E252" i="7" l="1"/>
  <c r="H252" i="7" s="1"/>
  <c r="J251" i="7"/>
  <c r="O251" i="7" s="1"/>
  <c r="P251" i="7" s="1"/>
  <c r="Q251" i="7" s="1"/>
  <c r="B252" i="7" l="1"/>
  <c r="K251" i="7"/>
  <c r="M251" i="7" s="1"/>
  <c r="F252" i="7"/>
  <c r="G252" i="7" s="1"/>
  <c r="A252" i="7"/>
  <c r="J252" i="7" s="1"/>
  <c r="O252" i="7" s="1"/>
  <c r="P252" i="7" s="1"/>
  <c r="Q252" i="7" s="1"/>
  <c r="N251" i="7" l="1"/>
  <c r="L251" i="7"/>
  <c r="B253" i="7"/>
  <c r="A253" i="7" s="1"/>
  <c r="D253" i="7" s="1"/>
  <c r="D252" i="7"/>
  <c r="K252" i="7"/>
  <c r="E253" i="7"/>
  <c r="H253" i="7" s="1"/>
  <c r="I252" i="7"/>
  <c r="F253" i="7" l="1"/>
  <c r="G253" i="7" s="1"/>
  <c r="E254" i="7" s="1"/>
  <c r="N252" i="7"/>
  <c r="M252" i="7"/>
  <c r="L252" i="7"/>
  <c r="J253" i="7"/>
  <c r="O253" i="7" s="1"/>
  <c r="P253" i="7" s="1"/>
  <c r="Q253" i="7" s="1"/>
  <c r="B254" i="7" l="1"/>
  <c r="K253" i="7"/>
  <c r="L253" i="7" s="1"/>
  <c r="I253" i="7"/>
  <c r="H254" i="7"/>
  <c r="F254" i="7"/>
  <c r="G254" i="7" s="1"/>
  <c r="I254" i="7" s="1"/>
  <c r="A254" i="7"/>
  <c r="D254" i="7" s="1"/>
  <c r="M253" i="7" l="1"/>
  <c r="N253" i="7"/>
  <c r="J254" i="7"/>
  <c r="O254" i="7" s="1"/>
  <c r="P254" i="7" s="1"/>
  <c r="E255" i="7"/>
  <c r="H255" i="7" l="1"/>
  <c r="Q254" i="7"/>
  <c r="B255" i="7"/>
  <c r="K254" i="7"/>
  <c r="N254" i="7" l="1"/>
  <c r="L254" i="7"/>
  <c r="M254" i="7"/>
  <c r="A255" i="7"/>
  <c r="D255" i="7" s="1"/>
  <c r="F255" i="7"/>
  <c r="G255" i="7" s="1"/>
  <c r="J255" i="7" l="1"/>
  <c r="O255" i="7" s="1"/>
  <c r="P255" i="7" s="1"/>
  <c r="Q255" i="7" s="1"/>
  <c r="I255" i="7"/>
  <c r="E256" i="7"/>
  <c r="B256" i="7" l="1"/>
  <c r="F256" i="7" s="1"/>
  <c r="G256" i="7" s="1"/>
  <c r="E257" i="7" s="1"/>
  <c r="K255" i="7"/>
  <c r="N255" i="7" s="1"/>
  <c r="H256" i="7"/>
  <c r="A256" i="7" l="1"/>
  <c r="D256" i="7" s="1"/>
  <c r="L255" i="7"/>
  <c r="M255" i="7"/>
  <c r="H257" i="7"/>
  <c r="J256" i="7"/>
  <c r="I256" i="7"/>
  <c r="O256" i="7" l="1"/>
  <c r="P256" i="7" s="1"/>
  <c r="K256" i="7"/>
  <c r="Q256" i="7" l="1"/>
  <c r="B257" i="7"/>
  <c r="M256" i="7"/>
  <c r="N256" i="7"/>
  <c r="L256" i="7"/>
  <c r="F257" i="7" l="1"/>
  <c r="G257" i="7" s="1"/>
  <c r="A257" i="7"/>
  <c r="D257" i="7" s="1"/>
  <c r="J257" i="7" l="1"/>
  <c r="E258" i="7"/>
  <c r="I257" i="7"/>
  <c r="O257" i="7" l="1"/>
  <c r="P257" i="7" s="1"/>
  <c r="K257" i="7"/>
  <c r="H258" i="7"/>
  <c r="L257" i="7" l="1"/>
  <c r="N257" i="7"/>
  <c r="M257" i="7"/>
  <c r="Q257" i="7"/>
  <c r="B258" i="7"/>
  <c r="A258" i="7" l="1"/>
  <c r="D258" i="7" s="1"/>
  <c r="F258" i="7"/>
  <c r="G258" i="7" s="1"/>
  <c r="J258" i="7" l="1"/>
  <c r="O258" i="7" s="1"/>
  <c r="P258" i="7" s="1"/>
  <c r="Q258" i="7" s="1"/>
  <c r="I258" i="7"/>
  <c r="E259" i="7"/>
  <c r="H259" i="7" s="1"/>
  <c r="B259" i="7" l="1"/>
  <c r="A259" i="7" s="1"/>
  <c r="D259" i="7" s="1"/>
  <c r="K258" i="7"/>
  <c r="N258" i="7" s="1"/>
  <c r="F259" i="7" l="1"/>
  <c r="G259" i="7" s="1"/>
  <c r="I259" i="7" s="1"/>
  <c r="L258" i="7"/>
  <c r="M258" i="7"/>
  <c r="J259" i="7"/>
  <c r="E260" i="7" l="1"/>
  <c r="H260" i="7" s="1"/>
  <c r="O259" i="7"/>
  <c r="P259" i="7" s="1"/>
  <c r="K259" i="7"/>
  <c r="L259" i="7" l="1"/>
  <c r="M259" i="7"/>
  <c r="N259" i="7"/>
  <c r="Q259" i="7"/>
  <c r="B260" i="7"/>
  <c r="A260" i="7" l="1"/>
  <c r="D260" i="7" s="1"/>
  <c r="F260" i="7"/>
  <c r="G260" i="7" s="1"/>
  <c r="I260" i="7" l="1"/>
  <c r="E261" i="7"/>
  <c r="J260" i="7"/>
  <c r="O260" i="7" l="1"/>
  <c r="P260" i="7" s="1"/>
  <c r="K260" i="7"/>
  <c r="H261" i="7"/>
  <c r="L260" i="7" l="1"/>
  <c r="M260" i="7"/>
  <c r="N260" i="7"/>
  <c r="Q260" i="7"/>
  <c r="B261" i="7"/>
  <c r="A261" i="7" l="1"/>
  <c r="D261" i="7" s="1"/>
  <c r="F261" i="7"/>
  <c r="G261" i="7" s="1"/>
  <c r="J261" i="7"/>
  <c r="O261" i="7" s="1"/>
  <c r="P261" i="7" s="1"/>
  <c r="K261" i="7" l="1"/>
  <c r="N261" i="7" s="1"/>
  <c r="I261" i="7"/>
  <c r="E262" i="7"/>
  <c r="Q261" i="7"/>
  <c r="B262" i="7"/>
  <c r="L261" i="7" l="1"/>
  <c r="M261" i="7"/>
  <c r="H262" i="7"/>
  <c r="A262" i="7"/>
  <c r="D262" i="7" s="1"/>
  <c r="F262" i="7"/>
  <c r="G262" i="7" s="1"/>
  <c r="E263" i="7" s="1"/>
  <c r="J262" i="7"/>
  <c r="O262" i="7" s="1"/>
  <c r="P262" i="7" s="1"/>
  <c r="I262" i="7" l="1"/>
  <c r="H263" i="7"/>
  <c r="Q262" i="7"/>
  <c r="B263" i="7"/>
  <c r="K262" i="7"/>
  <c r="L262" i="7" l="1"/>
  <c r="N262" i="7"/>
  <c r="M262" i="7"/>
  <c r="A263" i="7"/>
  <c r="D263" i="7" s="1"/>
  <c r="F263" i="7"/>
  <c r="G263" i="7" s="1"/>
  <c r="J263" i="7"/>
  <c r="O263" i="7" s="1"/>
  <c r="P263" i="7" s="1"/>
  <c r="K263" i="7" l="1"/>
  <c r="I263" i="7"/>
  <c r="E264" i="7"/>
  <c r="Q263" i="7"/>
  <c r="B264" i="7"/>
  <c r="F264" i="7" l="1"/>
  <c r="G264" i="7" s="1"/>
  <c r="I264" i="7" s="1"/>
  <c r="A264" i="7"/>
  <c r="D264" i="7" s="1"/>
  <c r="H264" i="7"/>
  <c r="M263" i="7"/>
  <c r="L263" i="7"/>
  <c r="N263" i="7"/>
  <c r="E265" i="7" l="1"/>
  <c r="H265" i="7" s="1"/>
  <c r="J264" i="7"/>
  <c r="O264" i="7" l="1"/>
  <c r="P264" i="7" s="1"/>
  <c r="K264" i="7"/>
  <c r="L264" i="7" l="1"/>
  <c r="M264" i="7"/>
  <c r="N264" i="7"/>
  <c r="B265" i="7"/>
  <c r="Q264" i="7"/>
  <c r="F265" i="7" l="1"/>
  <c r="G265" i="7" s="1"/>
  <c r="A265" i="7"/>
  <c r="D265" i="7" s="1"/>
  <c r="J265" i="7" l="1"/>
  <c r="E266" i="7"/>
  <c r="H266" i="7" s="1"/>
  <c r="I265" i="7"/>
  <c r="O265" i="7" l="1"/>
  <c r="P265" i="7" s="1"/>
  <c r="K265" i="7"/>
  <c r="M265" i="7" l="1"/>
  <c r="N265" i="7"/>
  <c r="L265" i="7"/>
  <c r="Q265" i="7"/>
  <c r="B266" i="7"/>
  <c r="F266" i="7" l="1"/>
  <c r="G266" i="7" s="1"/>
  <c r="A266" i="7"/>
  <c r="D266" i="7" s="1"/>
  <c r="J266" i="7" l="1"/>
  <c r="O266" i="7" s="1"/>
  <c r="P266" i="7" s="1"/>
  <c r="Q266" i="7" s="1"/>
  <c r="E267" i="7"/>
  <c r="H267" i="7" s="1"/>
  <c r="I266" i="7"/>
  <c r="K266" i="7" l="1"/>
  <c r="B267" i="7"/>
  <c r="F267" i="7" s="1"/>
  <c r="G267" i="7" s="1"/>
  <c r="M266" i="7"/>
  <c r="N266" i="7"/>
  <c r="L266" i="7"/>
  <c r="A267" i="7" l="1"/>
  <c r="D267" i="7" s="1"/>
  <c r="J267" i="7"/>
  <c r="E268" i="7"/>
  <c r="H268" i="7" s="1"/>
  <c r="I267" i="7"/>
  <c r="O267" i="7" l="1"/>
  <c r="P267" i="7" s="1"/>
  <c r="K267" i="7"/>
  <c r="L267" i="7" l="1"/>
  <c r="M267" i="7"/>
  <c r="N267" i="7"/>
  <c r="B268" i="7"/>
  <c r="Q267" i="7"/>
  <c r="A268" i="7" l="1"/>
  <c r="D268" i="7" s="1"/>
  <c r="F268" i="7"/>
  <c r="G268" i="7" s="1"/>
  <c r="J268" i="7"/>
  <c r="O268" i="7" s="1"/>
  <c r="P268" i="7" s="1"/>
  <c r="Q268" i="7" l="1"/>
  <c r="B269" i="7"/>
  <c r="E269" i="7"/>
  <c r="H269" i="7" s="1"/>
  <c r="I268" i="7"/>
  <c r="K268" i="7"/>
  <c r="M268" i="7" l="1"/>
  <c r="L268" i="7"/>
  <c r="N268" i="7"/>
  <c r="A269" i="7"/>
  <c r="F269" i="7"/>
  <c r="G269" i="7" s="1"/>
  <c r="I269" i="7" l="1"/>
  <c r="E270" i="7"/>
  <c r="H270" i="7" s="1"/>
  <c r="D269" i="7"/>
  <c r="J269" i="7"/>
  <c r="O269" i="7" s="1"/>
  <c r="P269" i="7" s="1"/>
  <c r="K269" i="7" l="1"/>
  <c r="M269" i="7" s="1"/>
  <c r="Q269" i="7"/>
  <c r="B270" i="7"/>
  <c r="N269" i="7" l="1"/>
  <c r="L269" i="7"/>
  <c r="A270" i="7"/>
  <c r="J270" i="7"/>
  <c r="O270" i="7" s="1"/>
  <c r="P270" i="7" s="1"/>
  <c r="F270" i="7"/>
  <c r="G270" i="7" s="1"/>
  <c r="B271" i="7" l="1"/>
  <c r="Q270" i="7"/>
  <c r="E271" i="7"/>
  <c r="I270" i="7"/>
  <c r="D270" i="7"/>
  <c r="K270" i="7"/>
  <c r="M270" i="7" l="1"/>
  <c r="L270" i="7"/>
  <c r="N270" i="7"/>
  <c r="H271" i="7"/>
  <c r="F271" i="7"/>
  <c r="G271" i="7" s="1"/>
  <c r="I271" i="7" s="1"/>
  <c r="A271" i="7"/>
  <c r="D271" i="7" s="1"/>
  <c r="E272" i="7" l="1"/>
  <c r="H272" i="7" s="1"/>
  <c r="J271" i="7"/>
  <c r="O271" i="7" s="1"/>
  <c r="P271" i="7" s="1"/>
  <c r="K271" i="7" l="1"/>
  <c r="B272" i="7"/>
  <c r="Q271" i="7"/>
  <c r="A272" i="7" l="1"/>
  <c r="D272" i="7" s="1"/>
  <c r="F272" i="7"/>
  <c r="G272" i="7" s="1"/>
  <c r="J272" i="7"/>
  <c r="O272" i="7" s="1"/>
  <c r="P272" i="7" s="1"/>
  <c r="M271" i="7"/>
  <c r="L271" i="7"/>
  <c r="N271" i="7"/>
  <c r="K272" i="7" l="1"/>
  <c r="E273" i="7"/>
  <c r="H273" i="7" s="1"/>
  <c r="I272" i="7"/>
  <c r="Q272" i="7"/>
  <c r="B273" i="7"/>
  <c r="F273" i="7" l="1"/>
  <c r="G273" i="7" s="1"/>
  <c r="E274" i="7" s="1"/>
  <c r="H274" i="7" s="1"/>
  <c r="A273" i="7"/>
  <c r="D273" i="7" s="1"/>
  <c r="L272" i="7"/>
  <c r="M272" i="7"/>
  <c r="N272" i="7"/>
  <c r="I273" i="7" l="1"/>
  <c r="J273" i="7"/>
  <c r="O273" i="7" s="1"/>
  <c r="P273" i="7" s="1"/>
  <c r="B274" i="7" s="1"/>
  <c r="K273" i="7" l="1"/>
  <c r="Q273" i="7"/>
  <c r="M273" i="7"/>
  <c r="L273" i="7"/>
  <c r="N273" i="7"/>
  <c r="A274" i="7"/>
  <c r="D274" i="7" s="1"/>
  <c r="F274" i="7"/>
  <c r="G274" i="7" s="1"/>
  <c r="J274" i="7" l="1"/>
  <c r="O274" i="7" s="1"/>
  <c r="P274" i="7" s="1"/>
  <c r="B275" i="7" s="1"/>
  <c r="E275" i="7"/>
  <c r="H275" i="7" s="1"/>
  <c r="I274" i="7"/>
  <c r="K274" i="7" l="1"/>
  <c r="N274" i="7" s="1"/>
  <c r="Q274" i="7"/>
  <c r="L274" i="7"/>
  <c r="M274" i="7"/>
  <c r="A275" i="7"/>
  <c r="D275" i="7" s="1"/>
  <c r="F275" i="7"/>
  <c r="G275" i="7" s="1"/>
  <c r="E276" i="7" s="1"/>
  <c r="H276" i="7" s="1"/>
  <c r="J275" i="7" l="1"/>
  <c r="O275" i="7" s="1"/>
  <c r="P275" i="7" s="1"/>
  <c r="Q275" i="7"/>
  <c r="B276" i="7"/>
  <c r="K275" i="7"/>
  <c r="I275" i="7"/>
  <c r="A276" i="7" l="1"/>
  <c r="D276" i="7" s="1"/>
  <c r="F276" i="7"/>
  <c r="G276" i="7" s="1"/>
  <c r="E277" i="7" s="1"/>
  <c r="J276" i="7"/>
  <c r="O276" i="7" s="1"/>
  <c r="P276" i="7" s="1"/>
  <c r="L275" i="7"/>
  <c r="N275" i="7"/>
  <c r="M275" i="7"/>
  <c r="I276" i="7" l="1"/>
  <c r="H277" i="7"/>
  <c r="Q276" i="7"/>
  <c r="B277" i="7"/>
  <c r="K276" i="7"/>
  <c r="F277" i="7" l="1"/>
  <c r="G277" i="7" s="1"/>
  <c r="A277" i="7"/>
  <c r="D277" i="7" s="1"/>
  <c r="N276" i="7"/>
  <c r="M276" i="7"/>
  <c r="L276" i="7"/>
  <c r="J277" i="7" l="1"/>
  <c r="I277" i="7"/>
  <c r="E278" i="7"/>
  <c r="O277" i="7" l="1"/>
  <c r="P277" i="7" s="1"/>
  <c r="K277" i="7"/>
  <c r="H278" i="7"/>
  <c r="L277" i="7" l="1"/>
  <c r="M277" i="7"/>
  <c r="N277" i="7"/>
  <c r="Q277" i="7"/>
  <c r="B278" i="7"/>
  <c r="A278" i="7" l="1"/>
  <c r="J278" i="7" s="1"/>
  <c r="O278" i="7" s="1"/>
  <c r="P278" i="7" s="1"/>
  <c r="F278" i="7"/>
  <c r="G278" i="7" s="1"/>
  <c r="B279" i="7" l="1"/>
  <c r="Q278" i="7"/>
  <c r="I278" i="7"/>
  <c r="E279" i="7"/>
  <c r="H279" i="7" s="1"/>
  <c r="D278" i="7"/>
  <c r="K278" i="7"/>
  <c r="L278" i="7" l="1"/>
  <c r="M278" i="7"/>
  <c r="N278" i="7"/>
  <c r="F279" i="7"/>
  <c r="G279" i="7" s="1"/>
  <c r="I279" i="7" s="1"/>
  <c r="A279" i="7"/>
  <c r="D279" i="7" l="1"/>
  <c r="J279" i="7"/>
  <c r="O279" i="7" s="1"/>
  <c r="P279" i="7" s="1"/>
  <c r="E280" i="7"/>
  <c r="H280" i="7" s="1"/>
  <c r="B280" i="7" l="1"/>
  <c r="Q279" i="7"/>
  <c r="K279" i="7"/>
  <c r="L279" i="7" l="1"/>
  <c r="M279" i="7"/>
  <c r="N279" i="7"/>
  <c r="A280" i="7"/>
  <c r="F280" i="7"/>
  <c r="G280" i="7" s="1"/>
  <c r="D280" i="7" l="1"/>
  <c r="J280" i="7"/>
  <c r="E281" i="7"/>
  <c r="H281" i="7" s="1"/>
  <c r="I280" i="7"/>
  <c r="O280" i="7" l="1"/>
  <c r="P280" i="7" s="1"/>
  <c r="K280" i="7"/>
  <c r="N280" i="7" l="1"/>
  <c r="M280" i="7"/>
  <c r="L280" i="7"/>
  <c r="Q280" i="7"/>
  <c r="B281" i="7"/>
  <c r="F281" i="7" l="1"/>
  <c r="G281" i="7" s="1"/>
  <c r="A281" i="7"/>
  <c r="J281" i="7" s="1"/>
  <c r="O281" i="7" s="1"/>
  <c r="P281" i="7" s="1"/>
  <c r="B282" i="7" s="1"/>
  <c r="Q281" i="7" l="1"/>
  <c r="D281" i="7"/>
  <c r="K281" i="7"/>
  <c r="I281" i="7"/>
  <c r="E282" i="7"/>
  <c r="H282" i="7" s="1"/>
  <c r="A282" i="7"/>
  <c r="D282" i="7" s="1"/>
  <c r="F282" i="7"/>
  <c r="G282" i="7" s="1"/>
  <c r="J282" i="7" l="1"/>
  <c r="O282" i="7" s="1"/>
  <c r="P282" i="7" s="1"/>
  <c r="B283" i="7" s="1"/>
  <c r="M281" i="7"/>
  <c r="N281" i="7"/>
  <c r="L281" i="7"/>
  <c r="K282" i="7"/>
  <c r="N282" i="7" s="1"/>
  <c r="I282" i="7"/>
  <c r="E283" i="7"/>
  <c r="Q282" i="7" l="1"/>
  <c r="M282" i="7"/>
  <c r="L282" i="7"/>
  <c r="F283" i="7"/>
  <c r="G283" i="7" s="1"/>
  <c r="E284" i="7" s="1"/>
  <c r="A283" i="7"/>
  <c r="D283" i="7" s="1"/>
  <c r="H283" i="7"/>
  <c r="I283" i="7" l="1"/>
  <c r="J283" i="7"/>
  <c r="H284" i="7"/>
  <c r="O283" i="7" l="1"/>
  <c r="P283" i="7" s="1"/>
  <c r="K283" i="7"/>
  <c r="N283" i="7" l="1"/>
  <c r="L283" i="7"/>
  <c r="M283" i="7"/>
  <c r="B284" i="7"/>
  <c r="Q283" i="7"/>
  <c r="F284" i="7" l="1"/>
  <c r="G284" i="7" s="1"/>
  <c r="A284" i="7"/>
  <c r="D284" i="7" l="1"/>
  <c r="J284" i="7"/>
  <c r="I284" i="7"/>
  <c r="E285" i="7"/>
  <c r="H285" i="7" s="1"/>
  <c r="O284" i="7" l="1"/>
  <c r="P284" i="7" s="1"/>
  <c r="K284" i="7"/>
  <c r="M284" i="7" l="1"/>
  <c r="L284" i="7"/>
  <c r="N284" i="7"/>
  <c r="Q284" i="7"/>
  <c r="B285" i="7"/>
  <c r="F285" i="7" l="1"/>
  <c r="G285" i="7" s="1"/>
  <c r="A285" i="7"/>
  <c r="D285" i="7" s="1"/>
  <c r="J285" i="7" l="1"/>
  <c r="I285" i="7"/>
  <c r="E286" i="7"/>
  <c r="H286" i="7" s="1"/>
  <c r="O285" i="7" l="1"/>
  <c r="P285" i="7" s="1"/>
  <c r="K285" i="7"/>
  <c r="L285" i="7" l="1"/>
  <c r="M285" i="7"/>
  <c r="N285" i="7"/>
  <c r="Q285" i="7"/>
  <c r="B286" i="7"/>
  <c r="F286" i="7" l="1"/>
  <c r="G286" i="7" s="1"/>
  <c r="A286" i="7"/>
  <c r="J286" i="7" l="1"/>
  <c r="O286" i="7" s="1"/>
  <c r="P286" i="7" s="1"/>
  <c r="D286" i="7"/>
  <c r="I286" i="7"/>
  <c r="E287" i="7"/>
  <c r="K286" i="7" l="1"/>
  <c r="M286" i="7" s="1"/>
  <c r="H287" i="7"/>
  <c r="B287" i="7"/>
  <c r="Q286" i="7"/>
  <c r="L286" i="7" l="1"/>
  <c r="N286" i="7"/>
  <c r="A287" i="7"/>
  <c r="D287" i="7" s="1"/>
  <c r="F287" i="7"/>
  <c r="G287" i="7" s="1"/>
  <c r="J287" i="7" l="1"/>
  <c r="O287" i="7" s="1"/>
  <c r="P287" i="7" s="1"/>
  <c r="B288" i="7" s="1"/>
  <c r="K287" i="7"/>
  <c r="I287" i="7"/>
  <c r="E288" i="7"/>
  <c r="Q287" i="7" l="1"/>
  <c r="M287" i="7"/>
  <c r="L287" i="7"/>
  <c r="N287" i="7"/>
  <c r="H288" i="7"/>
  <c r="F288" i="7"/>
  <c r="G288" i="7" s="1"/>
  <c r="I288" i="7" s="1"/>
  <c r="A288" i="7"/>
  <c r="D288" i="7" s="1"/>
  <c r="J288" i="7" l="1"/>
  <c r="O288" i="7" s="1"/>
  <c r="P288" i="7" s="1"/>
  <c r="E289" i="7"/>
  <c r="H289" i="7" s="1"/>
  <c r="B289" i="7" l="1"/>
  <c r="Q288" i="7"/>
  <c r="K288" i="7"/>
  <c r="N288" i="7" l="1"/>
  <c r="L288" i="7"/>
  <c r="M288" i="7"/>
  <c r="A289" i="7"/>
  <c r="D289" i="7" s="1"/>
  <c r="F289" i="7"/>
  <c r="G289" i="7" s="1"/>
  <c r="J289" i="7"/>
  <c r="O289" i="7" s="1"/>
  <c r="P289" i="7" s="1"/>
  <c r="B290" i="7" l="1"/>
  <c r="Q289" i="7"/>
  <c r="E290" i="7"/>
  <c r="H290" i="7" s="1"/>
  <c r="I289" i="7"/>
  <c r="K289" i="7"/>
  <c r="M289" i="7" l="1"/>
  <c r="N289" i="7"/>
  <c r="L289" i="7"/>
  <c r="F290" i="7"/>
  <c r="G290" i="7" s="1"/>
  <c r="E291" i="7" s="1"/>
  <c r="H291" i="7" s="1"/>
  <c r="A290" i="7"/>
  <c r="D290" i="7" l="1"/>
  <c r="J290" i="7"/>
  <c r="O290" i="7" s="1"/>
  <c r="P290" i="7" s="1"/>
  <c r="I290" i="7"/>
  <c r="K290" i="7" l="1"/>
  <c r="M290" i="7" s="1"/>
  <c r="Q290" i="7"/>
  <c r="B291" i="7"/>
  <c r="L290" i="7" l="1"/>
  <c r="N290" i="7"/>
  <c r="A291" i="7"/>
  <c r="D291" i="7" s="1"/>
  <c r="F291" i="7"/>
  <c r="G291" i="7" s="1"/>
  <c r="J291" i="7"/>
  <c r="O291" i="7" s="1"/>
  <c r="P291" i="7" s="1"/>
  <c r="K291" i="7" l="1"/>
  <c r="I291" i="7"/>
  <c r="E292" i="7"/>
  <c r="H292" i="7" s="1"/>
  <c r="Q291" i="7"/>
  <c r="B292" i="7"/>
  <c r="F292" i="7" l="1"/>
  <c r="G292" i="7" s="1"/>
  <c r="A292" i="7"/>
  <c r="D292" i="7" s="1"/>
  <c r="N291" i="7"/>
  <c r="M291" i="7"/>
  <c r="L291" i="7"/>
  <c r="J292" i="7" l="1"/>
  <c r="I292" i="7"/>
  <c r="E293" i="7"/>
  <c r="H293" i="7" l="1"/>
  <c r="O292" i="7"/>
  <c r="P292" i="7" s="1"/>
  <c r="K292" i="7"/>
  <c r="M292" i="7" l="1"/>
  <c r="L292" i="7"/>
  <c r="N292" i="7"/>
  <c r="Q292" i="7"/>
  <c r="B293" i="7"/>
  <c r="A293" i="7" l="1"/>
  <c r="D293" i="7" s="1"/>
  <c r="F293" i="7"/>
  <c r="G293" i="7" s="1"/>
  <c r="J293" i="7"/>
  <c r="O293" i="7" s="1"/>
  <c r="P293" i="7" s="1"/>
  <c r="K293" i="7" l="1"/>
  <c r="N293" i="7" s="1"/>
  <c r="I293" i="7"/>
  <c r="E294" i="7"/>
  <c r="B294" i="7"/>
  <c r="Q293" i="7"/>
  <c r="M293" i="7" l="1"/>
  <c r="L293" i="7"/>
  <c r="A294" i="7"/>
  <c r="D294" i="7" s="1"/>
  <c r="F294" i="7"/>
  <c r="G294" i="7" s="1"/>
  <c r="I294" i="7" s="1"/>
  <c r="J294" i="7"/>
  <c r="O294" i="7" s="1"/>
  <c r="P294" i="7" s="1"/>
  <c r="H294" i="7"/>
  <c r="E295" i="7" l="1"/>
  <c r="H295" i="7" s="1"/>
  <c r="Q294" i="7"/>
  <c r="B295" i="7"/>
  <c r="K294" i="7"/>
  <c r="M294" i="7" l="1"/>
  <c r="L294" i="7"/>
  <c r="N294" i="7"/>
  <c r="A295" i="7"/>
  <c r="D295" i="7" s="1"/>
  <c r="F295" i="7"/>
  <c r="G295" i="7" s="1"/>
  <c r="J295" i="7" l="1"/>
  <c r="O295" i="7" s="1"/>
  <c r="P295" i="7" s="1"/>
  <c r="Q295" i="7" s="1"/>
  <c r="I295" i="7"/>
  <c r="E296" i="7"/>
  <c r="H296" i="7" s="1"/>
  <c r="K295" i="7" l="1"/>
  <c r="B296" i="7"/>
  <c r="A296" i="7" s="1"/>
  <c r="D296" i="7" s="1"/>
  <c r="N295" i="7"/>
  <c r="L295" i="7"/>
  <c r="M295" i="7"/>
  <c r="J296" i="7" l="1"/>
  <c r="O296" i="7" s="1"/>
  <c r="P296" i="7" s="1"/>
  <c r="B297" i="7" s="1"/>
  <c r="F296" i="7"/>
  <c r="G296" i="7" s="1"/>
  <c r="E297" i="7" s="1"/>
  <c r="H297" i="7" s="1"/>
  <c r="K296" i="7"/>
  <c r="I296" i="7" l="1"/>
  <c r="Q296" i="7"/>
  <c r="M296" i="7"/>
  <c r="N296" i="7"/>
  <c r="L296" i="7"/>
  <c r="F297" i="7"/>
  <c r="G297" i="7" s="1"/>
  <c r="E298" i="7" s="1"/>
  <c r="H298" i="7" s="1"/>
  <c r="A297" i="7"/>
  <c r="D297" i="7" l="1"/>
  <c r="J297" i="7"/>
  <c r="O297" i="7" s="1"/>
  <c r="P297" i="7" s="1"/>
  <c r="I297" i="7"/>
  <c r="K297" i="7" l="1"/>
  <c r="Q297" i="7"/>
  <c r="B298" i="7"/>
  <c r="M297" i="7" l="1"/>
  <c r="N297" i="7"/>
  <c r="L297" i="7"/>
  <c r="F298" i="7"/>
  <c r="G298" i="7" s="1"/>
  <c r="A298" i="7"/>
  <c r="D298" i="7" s="1"/>
  <c r="J298" i="7" l="1"/>
  <c r="E299" i="7"/>
  <c r="I298" i="7"/>
  <c r="O298" i="7" l="1"/>
  <c r="P298" i="7" s="1"/>
  <c r="K298" i="7"/>
  <c r="H299" i="7"/>
  <c r="M298" i="7" l="1"/>
  <c r="N298" i="7"/>
  <c r="L298" i="7"/>
  <c r="Q298" i="7"/>
  <c r="B299" i="7"/>
  <c r="F299" i="7" l="1"/>
  <c r="G299" i="7" s="1"/>
  <c r="A299" i="7"/>
  <c r="J299" i="7" l="1"/>
  <c r="O299" i="7" s="1"/>
  <c r="P299" i="7" s="1"/>
  <c r="D299" i="7"/>
  <c r="K299" i="7"/>
  <c r="I299" i="7"/>
  <c r="E300" i="7"/>
  <c r="H300" i="7" s="1"/>
  <c r="L299" i="7" l="1"/>
  <c r="N299" i="7"/>
  <c r="M299" i="7"/>
  <c r="Q299" i="7"/>
  <c r="B300" i="7"/>
  <c r="A300" i="7" l="1"/>
  <c r="D300" i="7" s="1"/>
  <c r="F300" i="7"/>
  <c r="G300" i="7" s="1"/>
  <c r="I300" i="7" l="1"/>
  <c r="E301" i="7"/>
  <c r="J300" i="7"/>
  <c r="O300" i="7" l="1"/>
  <c r="P300" i="7" s="1"/>
  <c r="K300" i="7"/>
  <c r="H301" i="7"/>
  <c r="M300" i="7" l="1"/>
  <c r="N300" i="7"/>
  <c r="L300" i="7"/>
  <c r="Q300" i="7"/>
  <c r="B301" i="7"/>
  <c r="F301" i="7" l="1"/>
  <c r="G301" i="7" s="1"/>
  <c r="A301" i="7"/>
  <c r="D301" i="7" s="1"/>
  <c r="J301" i="7" l="1"/>
  <c r="O301" i="7" s="1"/>
  <c r="P301" i="7" s="1"/>
  <c r="I301" i="7"/>
  <c r="E302" i="7"/>
  <c r="B302" i="7" l="1"/>
  <c r="Q301" i="7"/>
  <c r="H302" i="7"/>
  <c r="K301" i="7"/>
  <c r="N301" i="7" l="1"/>
  <c r="M301" i="7"/>
  <c r="L301" i="7"/>
  <c r="A302" i="7"/>
  <c r="D302" i="7" s="1"/>
  <c r="F302" i="7"/>
  <c r="G302" i="7" s="1"/>
  <c r="J302" i="7" l="1"/>
  <c r="O302" i="7" s="1"/>
  <c r="P302" i="7" s="1"/>
  <c r="Q302" i="7" s="1"/>
  <c r="E303" i="7"/>
  <c r="I302" i="7"/>
  <c r="K302" i="7" l="1"/>
  <c r="B303" i="7"/>
  <c r="F303" i="7" s="1"/>
  <c r="G303" i="7" s="1"/>
  <c r="I303" i="7" s="1"/>
  <c r="N302" i="7"/>
  <c r="M302" i="7"/>
  <c r="L302" i="7"/>
  <c r="H303" i="7"/>
  <c r="A303" i="7" l="1"/>
  <c r="D303" i="7" s="1"/>
  <c r="E304" i="7"/>
  <c r="J303" i="7" l="1"/>
  <c r="H304" i="7"/>
  <c r="O303" i="7"/>
  <c r="P303" i="7" s="1"/>
  <c r="K303" i="7"/>
  <c r="Q303" i="7" l="1"/>
  <c r="B304" i="7"/>
  <c r="N303" i="7"/>
  <c r="M303" i="7"/>
  <c r="L303" i="7"/>
  <c r="F304" i="7" l="1"/>
  <c r="G304" i="7" s="1"/>
  <c r="A304" i="7"/>
  <c r="D304" i="7" s="1"/>
  <c r="J304" i="7" l="1"/>
  <c r="O304" i="7" s="1"/>
  <c r="P304" i="7" s="1"/>
  <c r="Q304" i="7" s="1"/>
  <c r="I304" i="7"/>
  <c r="E305" i="7"/>
  <c r="K304" i="7" l="1"/>
  <c r="B305" i="7"/>
  <c r="F305" i="7" s="1"/>
  <c r="G305" i="7" s="1"/>
  <c r="I305" i="7" s="1"/>
  <c r="M304" i="7"/>
  <c r="N304" i="7"/>
  <c r="L304" i="7"/>
  <c r="H305" i="7"/>
  <c r="A305" i="7" l="1"/>
  <c r="D305" i="7" s="1"/>
  <c r="E306" i="7"/>
  <c r="J305" i="7" l="1"/>
  <c r="O305" i="7" s="1"/>
  <c r="P305" i="7" s="1"/>
  <c r="Q305" i="7" s="1"/>
  <c r="K305" i="7"/>
  <c r="N305" i="7" s="1"/>
  <c r="H306" i="7"/>
  <c r="B306" i="7" l="1"/>
  <c r="L305" i="7"/>
  <c r="M305" i="7"/>
  <c r="F306" i="7" l="1"/>
  <c r="G306" i="7" s="1"/>
  <c r="A306" i="7"/>
  <c r="D306" i="7" l="1"/>
  <c r="J306" i="7"/>
  <c r="O306" i="7" s="1"/>
  <c r="P306" i="7" s="1"/>
  <c r="Q306" i="7" s="1"/>
  <c r="I306" i="7"/>
  <c r="E307" i="7"/>
  <c r="H307" i="7" s="1"/>
  <c r="K306" i="7" l="1"/>
  <c r="B307" i="7"/>
  <c r="A307" i="7"/>
  <c r="F307" i="7"/>
  <c r="G307" i="7" s="1"/>
  <c r="L306" i="7" l="1"/>
  <c r="M306" i="7"/>
  <c r="N306" i="7"/>
  <c r="E308" i="7"/>
  <c r="H308" i="7" s="1"/>
  <c r="I307" i="7"/>
  <c r="D307" i="7"/>
  <c r="J307" i="7"/>
  <c r="O307" i="7" l="1"/>
  <c r="P307" i="7" s="1"/>
  <c r="K307" i="7"/>
  <c r="M307" i="7" l="1"/>
  <c r="N307" i="7"/>
  <c r="L307" i="7"/>
  <c r="B308" i="7"/>
  <c r="Q307" i="7"/>
  <c r="F308" i="7" l="1"/>
  <c r="G308" i="7" s="1"/>
  <c r="A308" i="7"/>
  <c r="D308" i="7" l="1"/>
  <c r="J308" i="7"/>
  <c r="I308" i="7"/>
  <c r="E309" i="7"/>
  <c r="H309" i="7" s="1"/>
  <c r="H38" i="31"/>
  <c r="J38" i="31" s="1"/>
  <c r="O308" i="7" l="1"/>
  <c r="P308" i="7" s="1"/>
  <c r="K308" i="7"/>
  <c r="L38" i="31"/>
  <c r="K38" i="31"/>
  <c r="I38" i="31"/>
  <c r="C44" i="31"/>
  <c r="L44" i="31" s="1"/>
  <c r="N308" i="7" l="1"/>
  <c r="L308" i="7"/>
  <c r="M308" i="7"/>
  <c r="Q308" i="7"/>
  <c r="B309" i="7"/>
  <c r="A309" i="7" l="1"/>
  <c r="D309" i="7" s="1"/>
  <c r="F309" i="7"/>
  <c r="G309" i="7" s="1"/>
  <c r="E310" i="7" l="1"/>
  <c r="I309" i="7"/>
  <c r="J309" i="7"/>
  <c r="O309" i="7" l="1"/>
  <c r="P309" i="7" s="1"/>
  <c r="K309" i="7"/>
  <c r="H310" i="7"/>
  <c r="L309" i="7" l="1"/>
  <c r="N309" i="7"/>
  <c r="M309" i="7"/>
  <c r="B310" i="7"/>
  <c r="Q309" i="7"/>
  <c r="A310" i="7" l="1"/>
  <c r="D310" i="7" s="1"/>
  <c r="F310" i="7"/>
  <c r="G310" i="7" s="1"/>
  <c r="J310" i="7" l="1"/>
  <c r="O310" i="7" s="1"/>
  <c r="P310" i="7" s="1"/>
  <c r="B311" i="7" s="1"/>
  <c r="I310" i="7"/>
  <c r="E311" i="7"/>
  <c r="Q310" i="7" l="1"/>
  <c r="K310" i="7"/>
  <c r="M310" i="7" s="1"/>
  <c r="A311" i="7"/>
  <c r="D311" i="7" s="1"/>
  <c r="F311" i="7"/>
  <c r="G311" i="7" s="1"/>
  <c r="I311" i="7" s="1"/>
  <c r="H311" i="7"/>
  <c r="L310" i="7" l="1"/>
  <c r="N310" i="7"/>
  <c r="J311" i="7"/>
  <c r="O311" i="7" s="1"/>
  <c r="P311" i="7" s="1"/>
  <c r="B312" i="7" s="1"/>
  <c r="E312" i="7"/>
  <c r="H312" i="7" s="1"/>
  <c r="Q311" i="7" l="1"/>
  <c r="K311" i="7"/>
  <c r="N311" i="7" s="1"/>
  <c r="A312" i="7"/>
  <c r="D312" i="7" s="1"/>
  <c r="F312" i="7"/>
  <c r="G312" i="7" s="1"/>
  <c r="M311" i="7" l="1"/>
  <c r="J312" i="7"/>
  <c r="O312" i="7" s="1"/>
  <c r="P312" i="7" s="1"/>
  <c r="L311" i="7"/>
  <c r="I312" i="7"/>
  <c r="E313" i="7"/>
  <c r="Q312" i="7"/>
  <c r="B313" i="7"/>
  <c r="K312" i="7" l="1"/>
  <c r="N312" i="7" s="1"/>
  <c r="M312" i="7"/>
  <c r="L312" i="7"/>
  <c r="F313" i="7"/>
  <c r="G313" i="7" s="1"/>
  <c r="I313" i="7" s="1"/>
  <c r="A313" i="7"/>
  <c r="D313" i="7" s="1"/>
  <c r="H313" i="7"/>
  <c r="E314" i="7" l="1"/>
  <c r="H314" i="7" s="1"/>
  <c r="J313" i="7"/>
  <c r="O313" i="7" s="1"/>
  <c r="P313" i="7" s="1"/>
  <c r="K313" i="7" l="1"/>
  <c r="L313" i="7" s="1"/>
  <c r="Q313" i="7"/>
  <c r="B314" i="7"/>
  <c r="N313" i="7" l="1"/>
  <c r="M313" i="7"/>
  <c r="A314" i="7"/>
  <c r="D314" i="7" s="1"/>
  <c r="F314" i="7"/>
  <c r="G314" i="7" s="1"/>
  <c r="J314" i="7" l="1"/>
  <c r="O314" i="7" s="1"/>
  <c r="P314" i="7" s="1"/>
  <c r="B315" i="7" s="1"/>
  <c r="I314" i="7"/>
  <c r="E315" i="7"/>
  <c r="K314" i="7" l="1"/>
  <c r="Q314" i="7"/>
  <c r="H315" i="7"/>
  <c r="N314" i="7"/>
  <c r="M314" i="7"/>
  <c r="L314" i="7"/>
  <c r="A315" i="7"/>
  <c r="D315" i="7" s="1"/>
  <c r="F315" i="7"/>
  <c r="G315" i="7" s="1"/>
  <c r="I315" i="7" s="1"/>
  <c r="E316" i="7" l="1"/>
  <c r="H316" i="7" s="1"/>
  <c r="J315" i="7"/>
  <c r="O315" i="7" s="1"/>
  <c r="P315" i="7" s="1"/>
  <c r="B316" i="7" l="1"/>
  <c r="Q315" i="7"/>
  <c r="K315" i="7"/>
  <c r="N315" i="7" l="1"/>
  <c r="M315" i="7"/>
  <c r="L315" i="7"/>
  <c r="F316" i="7"/>
  <c r="G316" i="7" s="1"/>
  <c r="A316" i="7"/>
  <c r="D316" i="7" s="1"/>
  <c r="J316" i="7" l="1"/>
  <c r="O316" i="7" s="1"/>
  <c r="P316" i="7" s="1"/>
  <c r="Q316" i="7" s="1"/>
  <c r="E317" i="7"/>
  <c r="I316" i="7"/>
  <c r="K316" i="7" l="1"/>
  <c r="B317" i="7"/>
  <c r="A317" i="7" s="1"/>
  <c r="D317" i="7" s="1"/>
  <c r="L316" i="7"/>
  <c r="M316" i="7"/>
  <c r="N316" i="7"/>
  <c r="H317" i="7"/>
  <c r="F317" i="7" l="1"/>
  <c r="G317" i="7" s="1"/>
  <c r="I317" i="7" s="1"/>
  <c r="J317" i="7"/>
  <c r="O317" i="7" s="1"/>
  <c r="P317" i="7" s="1"/>
  <c r="E318" i="7" l="1"/>
  <c r="H318" i="7" s="1"/>
  <c r="B318" i="7"/>
  <c r="Q317" i="7"/>
  <c r="K317" i="7"/>
  <c r="L317" i="7" l="1"/>
  <c r="M317" i="7"/>
  <c r="N317" i="7"/>
  <c r="A318" i="7"/>
  <c r="D318" i="7" s="1"/>
  <c r="F318" i="7"/>
  <c r="G318" i="7" s="1"/>
  <c r="J318" i="7" l="1"/>
  <c r="O318" i="7" s="1"/>
  <c r="P318" i="7" s="1"/>
  <c r="Q318" i="7" s="1"/>
  <c r="E319" i="7"/>
  <c r="H319" i="7" s="1"/>
  <c r="I318" i="7"/>
  <c r="B319" i="7" l="1"/>
  <c r="K318" i="7"/>
  <c r="N318" i="7" s="1"/>
  <c r="F319" i="7"/>
  <c r="G319" i="7" s="1"/>
  <c r="E320" i="7" s="1"/>
  <c r="H320" i="7" s="1"/>
  <c r="A319" i="7"/>
  <c r="D319" i="7" s="1"/>
  <c r="I319" i="7" l="1"/>
  <c r="M318" i="7"/>
  <c r="L318" i="7"/>
  <c r="J319" i="7"/>
  <c r="O319" i="7" s="1"/>
  <c r="P319" i="7" s="1"/>
  <c r="Q319" i="7" s="1"/>
  <c r="K319" i="7" l="1"/>
  <c r="B320" i="7"/>
  <c r="F320" i="7" s="1"/>
  <c r="G320" i="7" s="1"/>
  <c r="L319" i="7"/>
  <c r="N319" i="7"/>
  <c r="M319" i="7"/>
  <c r="A320" i="7" l="1"/>
  <c r="D320" i="7" s="1"/>
  <c r="E321" i="7"/>
  <c r="H321" i="7" s="1"/>
  <c r="I320" i="7"/>
  <c r="J320" i="7" l="1"/>
  <c r="O320" i="7" s="1"/>
  <c r="P320" i="7" s="1"/>
  <c r="Q320" i="7" s="1"/>
  <c r="K320" i="7"/>
  <c r="N320" i="7" s="1"/>
  <c r="B321" i="7"/>
  <c r="F321" i="7" s="1"/>
  <c r="G321" i="7" s="1"/>
  <c r="E322" i="7" s="1"/>
  <c r="L320" i="7"/>
  <c r="M320" i="7"/>
  <c r="A321" i="7" l="1"/>
  <c r="D321" i="7" s="1"/>
  <c r="J321" i="7"/>
  <c r="O321" i="7" s="1"/>
  <c r="P321" i="7" s="1"/>
  <c r="B322" i="7" s="1"/>
  <c r="I321" i="7"/>
  <c r="H322" i="7"/>
  <c r="Q321" i="7" l="1"/>
  <c r="K321" i="7"/>
  <c r="A322" i="7"/>
  <c r="D322" i="7" s="1"/>
  <c r="F322" i="7"/>
  <c r="G322" i="7" s="1"/>
  <c r="E323" i="7" s="1"/>
  <c r="J322" i="7"/>
  <c r="O322" i="7" s="1"/>
  <c r="P322" i="7" s="1"/>
  <c r="M321" i="7"/>
  <c r="N321" i="7"/>
  <c r="L321" i="7"/>
  <c r="I322" i="7" l="1"/>
  <c r="K322" i="7"/>
  <c r="M322" i="7" s="1"/>
  <c r="H323" i="7"/>
  <c r="Q322" i="7"/>
  <c r="B323" i="7"/>
  <c r="N322" i="7" l="1"/>
  <c r="L322" i="7"/>
  <c r="A323" i="7"/>
  <c r="D323" i="7" s="1"/>
  <c r="F323" i="7"/>
  <c r="G323" i="7" s="1"/>
  <c r="J323" i="7"/>
  <c r="O323" i="7" s="1"/>
  <c r="P323" i="7" s="1"/>
  <c r="K323" i="7" l="1"/>
  <c r="L323" i="7" s="1"/>
  <c r="M323" i="7"/>
  <c r="N323" i="7"/>
  <c r="E324" i="7"/>
  <c r="I323" i="7"/>
  <c r="Q323" i="7"/>
  <c r="B324" i="7"/>
  <c r="F324" i="7" l="1"/>
  <c r="G324" i="7" s="1"/>
  <c r="I324" i="7" s="1"/>
  <c r="A324" i="7"/>
  <c r="D324" i="7" s="1"/>
  <c r="H324" i="7"/>
  <c r="E325" i="7" l="1"/>
  <c r="H325" i="7" s="1"/>
  <c r="J324" i="7"/>
  <c r="O324" i="7" s="1"/>
  <c r="P324" i="7" s="1"/>
  <c r="B325" i="7" s="1"/>
  <c r="Q324" i="7" l="1"/>
  <c r="K324" i="7"/>
  <c r="M324" i="7" s="1"/>
  <c r="A325" i="7"/>
  <c r="D325" i="7" s="1"/>
  <c r="F325" i="7"/>
  <c r="G325" i="7" s="1"/>
  <c r="L324" i="7" l="1"/>
  <c r="N324" i="7"/>
  <c r="J325" i="7"/>
  <c r="O325" i="7" s="1"/>
  <c r="P325" i="7" s="1"/>
  <c r="B326" i="7" s="1"/>
  <c r="I325" i="7"/>
  <c r="E326" i="7"/>
  <c r="K325" i="7" l="1"/>
  <c r="Q325" i="7"/>
  <c r="H326" i="7"/>
  <c r="L325" i="7"/>
  <c r="M325" i="7"/>
  <c r="N325" i="7"/>
  <c r="F326" i="7"/>
  <c r="G326" i="7" s="1"/>
  <c r="I326" i="7" s="1"/>
  <c r="A326" i="7"/>
  <c r="D326" i="7" s="1"/>
  <c r="J326" i="7" l="1"/>
  <c r="O326" i="7" s="1"/>
  <c r="P326" i="7" s="1"/>
  <c r="B327" i="7" s="1"/>
  <c r="E327" i="7"/>
  <c r="H327" i="7" s="1"/>
  <c r="Q326" i="7" l="1"/>
  <c r="K326" i="7"/>
  <c r="N326" i="7" s="1"/>
  <c r="A327" i="7"/>
  <c r="J327" i="7" s="1"/>
  <c r="O327" i="7" s="1"/>
  <c r="P327" i="7" s="1"/>
  <c r="F327" i="7"/>
  <c r="G327" i="7" s="1"/>
  <c r="I327" i="7" s="1"/>
  <c r="M326" i="7" l="1"/>
  <c r="L326" i="7"/>
  <c r="Q327" i="7"/>
  <c r="B328" i="7"/>
  <c r="D327" i="7"/>
  <c r="K327" i="7"/>
  <c r="E328" i="7"/>
  <c r="H328" i="7" l="1"/>
  <c r="M327" i="7"/>
  <c r="N327" i="7"/>
  <c r="L327" i="7"/>
  <c r="F328" i="7"/>
  <c r="G328" i="7" s="1"/>
  <c r="I328" i="7" s="1"/>
  <c r="A328" i="7"/>
  <c r="D328" i="7" s="1"/>
  <c r="J328" i="7" l="1"/>
  <c r="O328" i="7" s="1"/>
  <c r="P328" i="7" s="1"/>
  <c r="B329" i="7" s="1"/>
  <c r="E329" i="7"/>
  <c r="H329" i="7" s="1"/>
  <c r="Q328" i="7" l="1"/>
  <c r="K328" i="7"/>
  <c r="L328" i="7" s="1"/>
  <c r="F329" i="7"/>
  <c r="G329" i="7" s="1"/>
  <c r="I329" i="7" s="1"/>
  <c r="A329" i="7"/>
  <c r="D329" i="7" s="1"/>
  <c r="M328" i="7" l="1"/>
  <c r="N328" i="7"/>
  <c r="E330" i="7"/>
  <c r="H330" i="7" s="1"/>
  <c r="J329" i="7"/>
  <c r="O329" i="7" l="1"/>
  <c r="P329" i="7" s="1"/>
  <c r="K329" i="7"/>
  <c r="N329" i="7" l="1"/>
  <c r="M329" i="7"/>
  <c r="L329" i="7"/>
  <c r="B330" i="7"/>
  <c r="Q329" i="7"/>
  <c r="F330" i="7" l="1"/>
  <c r="G330" i="7" s="1"/>
  <c r="A330" i="7"/>
  <c r="D330" i="7" s="1"/>
  <c r="J330" i="7" l="1"/>
  <c r="E331" i="7"/>
  <c r="H331" i="7" s="1"/>
  <c r="I330" i="7"/>
  <c r="O330" i="7" l="1"/>
  <c r="P330" i="7" s="1"/>
  <c r="K330" i="7"/>
  <c r="M330" i="7" l="1"/>
  <c r="N330" i="7"/>
  <c r="L330" i="7"/>
  <c r="Q330" i="7"/>
  <c r="B331" i="7"/>
  <c r="F331" i="7" l="1"/>
  <c r="G331" i="7" s="1"/>
  <c r="A331" i="7"/>
  <c r="D331" i="7" s="1"/>
  <c r="J331" i="7" l="1"/>
  <c r="O331" i="7" s="1"/>
  <c r="P331" i="7" s="1"/>
  <c r="B332" i="7" s="1"/>
  <c r="I331" i="7"/>
  <c r="E332" i="7"/>
  <c r="H332" i="7" s="1"/>
  <c r="K331" i="7" l="1"/>
  <c r="Q331" i="7"/>
  <c r="M331" i="7"/>
  <c r="L331" i="7"/>
  <c r="N331" i="7"/>
  <c r="F332" i="7"/>
  <c r="G332" i="7" s="1"/>
  <c r="E333" i="7" s="1"/>
  <c r="H333" i="7" s="1"/>
  <c r="A332" i="7"/>
  <c r="D332" i="7" l="1"/>
  <c r="J332" i="7"/>
  <c r="I332" i="7"/>
  <c r="O332" i="7" l="1"/>
  <c r="P332" i="7" s="1"/>
  <c r="K332" i="7"/>
  <c r="L332" i="7" l="1"/>
  <c r="N332" i="7"/>
  <c r="M332" i="7"/>
  <c r="B333" i="7"/>
  <c r="Q332" i="7"/>
  <c r="F333" i="7" l="1"/>
  <c r="G333" i="7" s="1"/>
  <c r="A333" i="7"/>
  <c r="J333" i="7" l="1"/>
  <c r="D333" i="7"/>
  <c r="E334" i="7"/>
  <c r="H334" i="7" s="1"/>
  <c r="I333" i="7"/>
  <c r="O333" i="7" l="1"/>
  <c r="P333" i="7" s="1"/>
  <c r="K333" i="7"/>
  <c r="N333" i="7" l="1"/>
  <c r="M333" i="7"/>
  <c r="L333" i="7"/>
  <c r="Q333" i="7"/>
  <c r="B334" i="7"/>
  <c r="A334" i="7" l="1"/>
  <c r="D334" i="7" s="1"/>
  <c r="F334" i="7"/>
  <c r="G334" i="7" s="1"/>
  <c r="J334" i="7" l="1"/>
  <c r="I334" i="7"/>
  <c r="E335" i="7"/>
  <c r="H335" i="7" s="1"/>
  <c r="O334" i="7" l="1"/>
  <c r="P334" i="7" s="1"/>
  <c r="K334" i="7"/>
  <c r="N334" i="7" l="1"/>
  <c r="M334" i="7"/>
  <c r="L334" i="7"/>
  <c r="B335" i="7"/>
  <c r="Q334" i="7"/>
  <c r="A335" i="7" l="1"/>
  <c r="F335" i="7"/>
  <c r="G335" i="7" s="1"/>
  <c r="I335" i="7" l="1"/>
  <c r="E336" i="7"/>
  <c r="H336" i="7" s="1"/>
  <c r="D335" i="7"/>
  <c r="J335" i="7"/>
  <c r="O335" i="7" s="1"/>
  <c r="P335" i="7" s="1"/>
  <c r="K335" i="7" l="1"/>
  <c r="N335" i="7" s="1"/>
  <c r="Q335" i="7"/>
  <c r="B336" i="7"/>
  <c r="L335" i="7" l="1"/>
  <c r="M335" i="7"/>
  <c r="A336" i="7"/>
  <c r="D336" i="7" s="1"/>
  <c r="F336" i="7"/>
  <c r="G336" i="7" s="1"/>
  <c r="J336" i="7" l="1"/>
  <c r="O336" i="7" s="1"/>
  <c r="P336" i="7" s="1"/>
  <c r="B337" i="7" s="1"/>
  <c r="I336" i="7"/>
  <c r="E337" i="7"/>
  <c r="K336" i="7" l="1"/>
  <c r="Q336" i="7"/>
  <c r="L336" i="7"/>
  <c r="M336" i="7"/>
  <c r="N336" i="7"/>
  <c r="H337" i="7"/>
  <c r="A337" i="7"/>
  <c r="D337" i="7" s="1"/>
  <c r="F337" i="7"/>
  <c r="G337" i="7" s="1"/>
  <c r="I337" i="7" s="1"/>
  <c r="J337" i="7" l="1"/>
  <c r="O337" i="7" s="1"/>
  <c r="P337" i="7" s="1"/>
  <c r="Q337" i="7" s="1"/>
  <c r="E338" i="7"/>
  <c r="H338" i="7" s="1"/>
  <c r="B338" i="7" l="1"/>
  <c r="K337" i="7"/>
  <c r="N337" i="7" s="1"/>
  <c r="F338" i="7"/>
  <c r="G338" i="7" s="1"/>
  <c r="A338" i="7"/>
  <c r="L337" i="7"/>
  <c r="M337" i="7" l="1"/>
  <c r="D338" i="7"/>
  <c r="J338" i="7"/>
  <c r="I338" i="7"/>
  <c r="E339" i="7"/>
  <c r="H339" i="7" s="1"/>
  <c r="O338" i="7" l="1"/>
  <c r="P338" i="7" s="1"/>
  <c r="K338" i="7"/>
  <c r="M338" i="7" l="1"/>
  <c r="N338" i="7"/>
  <c r="L338" i="7"/>
  <c r="B339" i="7"/>
  <c r="Q338" i="7"/>
  <c r="A339" i="7" l="1"/>
  <c r="F339" i="7"/>
  <c r="G339" i="7" s="1"/>
  <c r="J339" i="7"/>
  <c r="O339" i="7" s="1"/>
  <c r="P339" i="7" s="1"/>
  <c r="Q339" i="7" s="1"/>
  <c r="B340" i="7" l="1"/>
  <c r="E340" i="7"/>
  <c r="H340" i="7" s="1"/>
  <c r="I339" i="7"/>
  <c r="D339" i="7"/>
  <c r="K339" i="7"/>
  <c r="F340" i="7"/>
  <c r="G340" i="7" s="1"/>
  <c r="A340" i="7"/>
  <c r="D340" i="7" s="1"/>
  <c r="N339" i="7" l="1"/>
  <c r="M339" i="7"/>
  <c r="L339" i="7"/>
  <c r="J340" i="7"/>
  <c r="I340" i="7"/>
  <c r="E341" i="7"/>
  <c r="H341" i="7" l="1"/>
  <c r="O340" i="7"/>
  <c r="P340" i="7" s="1"/>
  <c r="K340" i="7"/>
  <c r="M340" i="7" l="1"/>
  <c r="L340" i="7"/>
  <c r="N340" i="7"/>
  <c r="B341" i="7"/>
  <c r="Q340" i="7"/>
  <c r="A341" i="7" l="1"/>
  <c r="D341" i="7" s="1"/>
  <c r="F341" i="7"/>
  <c r="G341" i="7" s="1"/>
  <c r="I341" i="7" l="1"/>
  <c r="E342" i="7"/>
  <c r="J341" i="7"/>
  <c r="H342" i="7" l="1"/>
  <c r="O341" i="7"/>
  <c r="P341" i="7" s="1"/>
  <c r="K341" i="7"/>
  <c r="N341" i="7" l="1"/>
  <c r="L341" i="7"/>
  <c r="M341" i="7"/>
  <c r="Q341" i="7"/>
  <c r="B342" i="7"/>
  <c r="F342" i="7" l="1"/>
  <c r="G342" i="7" s="1"/>
  <c r="A342" i="7"/>
  <c r="D342" i="7" s="1"/>
  <c r="J342" i="7" l="1"/>
  <c r="O342" i="7" s="1"/>
  <c r="P342" i="7" s="1"/>
  <c r="E343" i="7"/>
  <c r="I342" i="7"/>
  <c r="B343" i="7" l="1"/>
  <c r="Q342" i="7"/>
  <c r="H343" i="7"/>
  <c r="K342" i="7"/>
  <c r="M342" i="7" l="1"/>
  <c r="L342" i="7"/>
  <c r="N342" i="7"/>
  <c r="F343" i="7"/>
  <c r="G343" i="7" s="1"/>
  <c r="A343" i="7"/>
  <c r="D343" i="7" s="1"/>
  <c r="J343" i="7" l="1"/>
  <c r="O343" i="7" s="1"/>
  <c r="P343" i="7" s="1"/>
  <c r="B344" i="7" s="1"/>
  <c r="I343" i="7"/>
  <c r="E344" i="7"/>
  <c r="K343" i="7" l="1"/>
  <c r="Q343" i="7"/>
  <c r="L343" i="7"/>
  <c r="M343" i="7"/>
  <c r="N343" i="7"/>
  <c r="H344" i="7"/>
  <c r="F344" i="7"/>
  <c r="G344" i="7" s="1"/>
  <c r="I344" i="7" s="1"/>
  <c r="A344" i="7"/>
  <c r="D344" i="7" s="1"/>
  <c r="E345" i="7" l="1"/>
  <c r="J344" i="7"/>
  <c r="O344" i="7" s="1"/>
  <c r="P344" i="7" s="1"/>
  <c r="H345" i="7" l="1"/>
  <c r="Q344" i="7"/>
  <c r="B345" i="7"/>
  <c r="K344" i="7"/>
  <c r="A345" i="7" l="1"/>
  <c r="D345" i="7" s="1"/>
  <c r="F345" i="7"/>
  <c r="G345" i="7" s="1"/>
  <c r="L344" i="7"/>
  <c r="M344" i="7"/>
  <c r="N344" i="7"/>
  <c r="I345" i="7" l="1"/>
  <c r="E346" i="7"/>
  <c r="J345" i="7"/>
  <c r="O345" i="7" s="1"/>
  <c r="P345" i="7" s="1"/>
  <c r="K345" i="7" l="1"/>
  <c r="L345" i="7" s="1"/>
  <c r="H346" i="7"/>
  <c r="Q345" i="7"/>
  <c r="B346" i="7"/>
  <c r="N345" i="7" l="1"/>
  <c r="M345" i="7"/>
  <c r="F346" i="7"/>
  <c r="G346" i="7" s="1"/>
  <c r="A346" i="7"/>
  <c r="D346" i="7" s="1"/>
  <c r="J346" i="7" l="1"/>
  <c r="I346" i="7"/>
  <c r="E347" i="7"/>
  <c r="O346" i="7" l="1"/>
  <c r="P346" i="7" s="1"/>
  <c r="K346" i="7"/>
  <c r="H347" i="7"/>
  <c r="N346" i="7" l="1"/>
  <c r="L346" i="7"/>
  <c r="M346" i="7"/>
  <c r="B347" i="7"/>
  <c r="Q346" i="7"/>
  <c r="F347" i="7" l="1"/>
  <c r="G347" i="7" s="1"/>
  <c r="A347" i="7"/>
  <c r="D347" i="7" s="1"/>
  <c r="J347" i="7" l="1"/>
  <c r="O347" i="7" s="1"/>
  <c r="P347" i="7" s="1"/>
  <c r="Q347" i="7" s="1"/>
  <c r="I347" i="7"/>
  <c r="E348" i="7"/>
  <c r="H348" i="7" s="1"/>
  <c r="B348" i="7" l="1"/>
  <c r="F348" i="7" s="1"/>
  <c r="G348" i="7" s="1"/>
  <c r="I348" i="7" s="1"/>
  <c r="K347" i="7"/>
  <c r="A348" i="7" l="1"/>
  <c r="D348" i="7" s="1"/>
  <c r="L347" i="7"/>
  <c r="N347" i="7"/>
  <c r="M347" i="7"/>
  <c r="E349" i="7"/>
  <c r="H349" i="7" s="1"/>
  <c r="J348" i="7"/>
  <c r="O348" i="7" s="1"/>
  <c r="P348" i="7" s="1"/>
  <c r="K348" i="7" l="1"/>
  <c r="L348" i="7" s="1"/>
  <c r="M348" i="7"/>
  <c r="N348" i="7"/>
  <c r="Q348" i="7"/>
  <c r="B349" i="7"/>
  <c r="F349" i="7" l="1"/>
  <c r="G349" i="7" s="1"/>
  <c r="A349" i="7"/>
  <c r="D349" i="7" s="1"/>
  <c r="J349" i="7" l="1"/>
  <c r="O349" i="7" s="1"/>
  <c r="P349" i="7" s="1"/>
  <c r="B350" i="7" s="1"/>
  <c r="K349" i="7"/>
  <c r="I349" i="7"/>
  <c r="E350" i="7"/>
  <c r="Q349" i="7" l="1"/>
  <c r="H350" i="7"/>
  <c r="L349" i="7"/>
  <c r="N349" i="7"/>
  <c r="M349" i="7"/>
  <c r="A350" i="7"/>
  <c r="D350" i="7" s="1"/>
  <c r="F350" i="7"/>
  <c r="G350" i="7" s="1"/>
  <c r="E351" i="7" s="1"/>
  <c r="H351" i="7" s="1"/>
  <c r="I350" i="7" l="1"/>
  <c r="J350" i="7"/>
  <c r="O350" i="7" s="1"/>
  <c r="P350" i="7" s="1"/>
  <c r="K350" i="7" l="1"/>
  <c r="B351" i="7"/>
  <c r="Q350" i="7"/>
  <c r="A351" i="7" l="1"/>
  <c r="D351" i="7" s="1"/>
  <c r="F351" i="7"/>
  <c r="G351" i="7" s="1"/>
  <c r="I351" i="7" s="1"/>
  <c r="J351" i="7"/>
  <c r="O351" i="7" s="1"/>
  <c r="P351" i="7" s="1"/>
  <c r="Q351" i="7" s="1"/>
  <c r="N350" i="7"/>
  <c r="L350" i="7"/>
  <c r="M350" i="7"/>
  <c r="K351" i="7" l="1"/>
  <c r="N351" i="7" s="1"/>
  <c r="M351" i="7" l="1"/>
  <c r="L351" i="7"/>
  <c r="B10" i="33" l="1"/>
  <c r="H10" i="33"/>
  <c r="I10" i="33" s="1"/>
  <c r="C10" i="33"/>
  <c r="H11" i="33" l="1"/>
  <c r="C11" i="33"/>
  <c r="D12" i="33" s="1"/>
  <c r="B11" i="33"/>
  <c r="J10" i="33"/>
  <c r="M10" i="33"/>
  <c r="G10" i="33" s="1"/>
  <c r="F10" i="33" l="1"/>
  <c r="E10" i="33"/>
  <c r="O10" i="33"/>
  <c r="K10" i="33"/>
  <c r="N10" i="33" s="1"/>
  <c r="L10" i="33"/>
  <c r="M11" i="33"/>
  <c r="G11" i="33" s="1"/>
  <c r="I11" i="33"/>
  <c r="J11" i="33"/>
  <c r="H12" i="33"/>
  <c r="C12" i="33"/>
  <c r="B12" i="33" l="1"/>
  <c r="D13" i="33"/>
  <c r="K11" i="33"/>
  <c r="N11" i="33" s="1"/>
  <c r="L11" i="33"/>
  <c r="O11" i="33"/>
  <c r="F11" i="33"/>
  <c r="E11" i="33"/>
  <c r="I12" i="33"/>
  <c r="J12" i="33"/>
  <c r="M12" i="33"/>
  <c r="G12" i="33" s="1"/>
  <c r="K12" i="33" l="1"/>
  <c r="N12" i="33" s="1"/>
  <c r="L12" i="33"/>
  <c r="F12" i="33"/>
  <c r="E12" i="33"/>
  <c r="O12" i="33"/>
  <c r="C13" i="33"/>
  <c r="D14" i="33" s="1"/>
  <c r="B13" i="33"/>
  <c r="H13" i="33"/>
  <c r="C14" i="33" l="1"/>
  <c r="D15" i="33" s="1"/>
  <c r="B14" i="33"/>
  <c r="H14" i="33"/>
  <c r="M13" i="33"/>
  <c r="G13" i="33" s="1"/>
  <c r="J13" i="33"/>
  <c r="I13" i="33"/>
  <c r="H15" i="33" l="1"/>
  <c r="C15" i="33"/>
  <c r="D16" i="33" s="1"/>
  <c r="B15" i="33"/>
  <c r="L13" i="33"/>
  <c r="K13" i="33"/>
  <c r="N13" i="33" s="1"/>
  <c r="M14" i="33"/>
  <c r="G14" i="33" s="1"/>
  <c r="I14" i="33"/>
  <c r="J14" i="33"/>
  <c r="F13" i="33"/>
  <c r="O13" i="33"/>
  <c r="E13" i="33"/>
  <c r="H16" i="33" l="1"/>
  <c r="C16" i="33"/>
  <c r="D17" i="33" s="1"/>
  <c r="O14" i="33"/>
  <c r="E14" i="33"/>
  <c r="F14" i="33"/>
  <c r="M15" i="33"/>
  <c r="G15" i="33" s="1"/>
  <c r="I15" i="33"/>
  <c r="J15" i="33"/>
  <c r="L14" i="33"/>
  <c r="K14" i="33"/>
  <c r="N14" i="33" s="1"/>
  <c r="H17" i="33" l="1"/>
  <c r="C17" i="33"/>
  <c r="D18" i="33" s="1"/>
  <c r="E15" i="33"/>
  <c r="O15" i="33"/>
  <c r="F15" i="33"/>
  <c r="J16" i="33"/>
  <c r="M16" i="33"/>
  <c r="G16" i="33" s="1"/>
  <c r="I16" i="33"/>
  <c r="B16" i="33"/>
  <c r="K15" i="33"/>
  <c r="N15" i="33" s="1"/>
  <c r="L15" i="33"/>
  <c r="C18" i="33" l="1"/>
  <c r="D19" i="33" s="1"/>
  <c r="H18" i="33"/>
  <c r="L16" i="33"/>
  <c r="K16" i="33"/>
  <c r="N16" i="33" s="1"/>
  <c r="B17" i="33"/>
  <c r="E16" i="33"/>
  <c r="F16" i="33"/>
  <c r="O16" i="33"/>
  <c r="M17" i="33"/>
  <c r="G17" i="33" s="1"/>
  <c r="I17" i="33"/>
  <c r="J17" i="33"/>
  <c r="C19" i="33" l="1"/>
  <c r="D20" i="33" s="1"/>
  <c r="H19" i="33"/>
  <c r="B19" i="33"/>
  <c r="K17" i="33"/>
  <c r="N17" i="33" s="1"/>
  <c r="L17" i="33"/>
  <c r="J18" i="33"/>
  <c r="I18" i="33"/>
  <c r="M18" i="33"/>
  <c r="G18" i="33" s="1"/>
  <c r="B18" i="33"/>
  <c r="E17" i="33"/>
  <c r="F17" i="33"/>
  <c r="O17" i="33"/>
  <c r="C20" i="33" l="1"/>
  <c r="H20" i="33"/>
  <c r="K18" i="33"/>
  <c r="N18" i="33" s="1"/>
  <c r="L18" i="33"/>
  <c r="M19" i="33"/>
  <c r="G19" i="33" s="1"/>
  <c r="I19" i="33"/>
  <c r="J19" i="33"/>
  <c r="F18" i="33"/>
  <c r="E18" i="33"/>
  <c r="O18" i="33"/>
  <c r="B20" i="33" l="1"/>
  <c r="D21" i="33"/>
  <c r="H21" i="33" s="1"/>
  <c r="F19" i="33"/>
  <c r="E19" i="33"/>
  <c r="O19" i="33"/>
  <c r="B21" i="33"/>
  <c r="C21" i="33"/>
  <c r="D22" i="33" s="1"/>
  <c r="J20" i="33"/>
  <c r="I20" i="33"/>
  <c r="M20" i="33"/>
  <c r="G20" i="33" s="1"/>
  <c r="L19" i="33"/>
  <c r="K19" i="33"/>
  <c r="N19" i="33" s="1"/>
  <c r="L20" i="33" l="1"/>
  <c r="K20" i="33"/>
  <c r="N20" i="33" s="1"/>
  <c r="B22" i="33"/>
  <c r="C22" i="33"/>
  <c r="D23" i="33" s="1"/>
  <c r="H22" i="33"/>
  <c r="E20" i="33"/>
  <c r="O20" i="33"/>
  <c r="F20" i="33"/>
  <c r="J21" i="33"/>
  <c r="M21" i="33"/>
  <c r="G21" i="33" s="1"/>
  <c r="I21" i="33"/>
  <c r="C23" i="33" l="1"/>
  <c r="D24" i="33" s="1"/>
  <c r="B23" i="33"/>
  <c r="H23" i="33"/>
  <c r="I22" i="33"/>
  <c r="J22" i="33"/>
  <c r="M22" i="33"/>
  <c r="G22" i="33" s="1"/>
  <c r="E21" i="33"/>
  <c r="O21" i="33"/>
  <c r="F21" i="33"/>
  <c r="K21" i="33"/>
  <c r="N21" i="33" s="1"/>
  <c r="L21" i="33"/>
  <c r="L22" i="33" l="1"/>
  <c r="K22" i="33"/>
  <c r="N22" i="33" s="1"/>
  <c r="O22" i="33"/>
  <c r="F22" i="33"/>
  <c r="E22" i="33"/>
  <c r="C24" i="33"/>
  <c r="H24" i="33"/>
  <c r="I23" i="33"/>
  <c r="J23" i="33"/>
  <c r="M23" i="33"/>
  <c r="G23" i="33" s="1"/>
  <c r="B24" i="33" l="1"/>
  <c r="D25" i="33"/>
  <c r="F23" i="33"/>
  <c r="E23" i="33"/>
  <c r="O23" i="33"/>
  <c r="L23" i="33"/>
  <c r="K23" i="33"/>
  <c r="N23" i="33" s="1"/>
  <c r="I24" i="33"/>
  <c r="M24" i="33"/>
  <c r="G24" i="33" s="1"/>
  <c r="J24" i="33"/>
  <c r="O24" i="33" l="1"/>
  <c r="F24" i="33"/>
  <c r="E24" i="33"/>
  <c r="L24" i="33"/>
  <c r="K24" i="33"/>
  <c r="N24" i="33" s="1"/>
  <c r="C25" i="33"/>
  <c r="H25" i="33"/>
  <c r="B25" i="33" l="1"/>
  <c r="D26" i="33"/>
  <c r="C26" i="33" s="1"/>
  <c r="I25" i="33"/>
  <c r="M25" i="33"/>
  <c r="G25" i="33" s="1"/>
  <c r="J25" i="33"/>
  <c r="B26" i="33" l="1"/>
  <c r="D27" i="33"/>
  <c r="H26" i="33"/>
  <c r="M26" i="33" s="1"/>
  <c r="G26" i="33" s="1"/>
  <c r="K25" i="33"/>
  <c r="N25" i="33" s="1"/>
  <c r="L25" i="33"/>
  <c r="O25" i="33"/>
  <c r="E25" i="33"/>
  <c r="F25" i="33"/>
  <c r="I26" i="33" l="1"/>
  <c r="J26" i="33"/>
  <c r="O26" i="33"/>
  <c r="E26" i="33"/>
  <c r="F26" i="33"/>
  <c r="K26" i="33"/>
  <c r="N26" i="33" s="1"/>
  <c r="L26" i="33"/>
  <c r="C27" i="33"/>
  <c r="B27" i="33"/>
  <c r="H27" i="33"/>
  <c r="I27" i="33" l="1"/>
  <c r="M27" i="33"/>
  <c r="G27" i="33" s="1"/>
  <c r="J27" i="33"/>
  <c r="L27" i="33" l="1"/>
  <c r="K27" i="33"/>
  <c r="N27" i="33" s="1"/>
  <c r="O27" i="33"/>
  <c r="F27" i="33"/>
  <c r="E27" i="33"/>
</calcChain>
</file>

<file path=xl/sharedStrings.xml><?xml version="1.0" encoding="utf-8"?>
<sst xmlns="http://schemas.openxmlformats.org/spreadsheetml/2006/main" count="1439" uniqueCount="1069">
  <si>
    <t>Light Year</t>
  </si>
  <si>
    <t>Accelleration Rate:</t>
  </si>
  <si>
    <t>ly</t>
  </si>
  <si>
    <t>m</t>
  </si>
  <si>
    <t>m/s/s</t>
  </si>
  <si>
    <t>s</t>
  </si>
  <si>
    <t>year</t>
  </si>
  <si>
    <t>Accelleration</t>
  </si>
  <si>
    <t>Distance</t>
  </si>
  <si>
    <t>Seconds in year</t>
  </si>
  <si>
    <t>G</t>
  </si>
  <si>
    <t>dt</t>
  </si>
  <si>
    <t>Year</t>
  </si>
  <si>
    <t>Travel time (ship)</t>
  </si>
  <si>
    <t>Trave time (map)</t>
  </si>
  <si>
    <t>Speed of Light</t>
  </si>
  <si>
    <t>Total</t>
  </si>
  <si>
    <t>Soil Depth</t>
  </si>
  <si>
    <t>m^2</t>
  </si>
  <si>
    <t>Beam Capacity</t>
  </si>
  <si>
    <t>Mass per m</t>
  </si>
  <si>
    <t>kg/m</t>
  </si>
  <si>
    <t>Soil Mass</t>
  </si>
  <si>
    <t>Propulsion System</t>
  </si>
  <si>
    <t>Total Vehicle Mass</t>
  </si>
  <si>
    <t>Mass of eros</t>
  </si>
  <si>
    <t>million m^2</t>
  </si>
  <si>
    <t>American football fields</t>
  </si>
  <si>
    <t>Acres</t>
  </si>
  <si>
    <t>Square Miles</t>
  </si>
  <si>
    <t>Death</t>
  </si>
  <si>
    <t>Death Rate Info https://www.allcountries.org/uscensus/129_death_and_death_rates_by_age.html</t>
  </si>
  <si>
    <t>DT</t>
  </si>
  <si>
    <t>Elderly %</t>
  </si>
  <si>
    <t>Peak</t>
  </si>
  <si>
    <t>Min</t>
  </si>
  <si>
    <t>Final</t>
  </si>
  <si>
    <t>Natural</t>
  </si>
  <si>
    <t>Seed Females</t>
  </si>
  <si>
    <t>M/F Ratio</t>
  </si>
  <si>
    <t>Seed Male</t>
  </si>
  <si>
    <t>Survival Rate</t>
  </si>
  <si>
    <t>Child/Female</t>
  </si>
  <si>
    <t>Fertile Female</t>
  </si>
  <si>
    <t>Over 70</t>
  </si>
  <si>
    <t>Children</t>
  </si>
  <si>
    <t>Pop Max</t>
  </si>
  <si>
    <t>Pop Start</t>
  </si>
  <si>
    <t>Peak Population</t>
  </si>
  <si>
    <t>kg</t>
  </si>
  <si>
    <t>Mass of ceres</t>
  </si>
  <si>
    <t>Fuel Mass</t>
  </si>
  <si>
    <t>e = m c^2</t>
  </si>
  <si>
    <t>https://f4e.europa.eu/understandingfusion/merits.aspx</t>
  </si>
  <si>
    <t>Impulse</t>
  </si>
  <si>
    <t>Deuterium</t>
  </si>
  <si>
    <t>Lithium</t>
  </si>
  <si>
    <t>https://www.space.com/37146-nuclear-fusion-rockets-interstellar-spaceflight.html</t>
  </si>
  <si>
    <t>https://earthsky.org/space/rosettas-comet-fuels-debate-on-origin-of-earths-oceans</t>
  </si>
  <si>
    <t>comet 3x deuterium concentration</t>
  </si>
  <si>
    <t>Goal: 1 kW/kg fusion</t>
  </si>
  <si>
    <t>Mass of spacecraft * accelleration * time</t>
  </si>
  <si>
    <t>Dry Mass</t>
  </si>
  <si>
    <t>Fuel Consumption</t>
  </si>
  <si>
    <t>Vehicle Dry Mass</t>
  </si>
  <si>
    <t>Vehicle Mass</t>
  </si>
  <si>
    <t>Fuel Consumed</t>
  </si>
  <si>
    <t>Fuel Mass Estimate</t>
  </si>
  <si>
    <t>Dry Mass Estimate</t>
  </si>
  <si>
    <t>Child %</t>
  </si>
  <si>
    <t>Seed Child</t>
  </si>
  <si>
    <t>Seed %</t>
  </si>
  <si>
    <t>Carry</t>
  </si>
  <si>
    <t>Promote</t>
  </si>
  <si>
    <t>Mass Consume</t>
  </si>
  <si>
    <t>Agriculture Calculations</t>
  </si>
  <si>
    <t>Graze Area</t>
  </si>
  <si>
    <t>km^2</t>
  </si>
  <si>
    <t>Max Dense</t>
  </si>
  <si>
    <t>Calf</t>
  </si>
  <si>
    <t>Oxen</t>
  </si>
  <si>
    <t>Cow</t>
  </si>
  <si>
    <t>Bull</t>
  </si>
  <si>
    <t>Heifer</t>
  </si>
  <si>
    <t>Year:</t>
  </si>
  <si>
    <t>calf</t>
  </si>
  <si>
    <t>Cultivation</t>
  </si>
  <si>
    <t>https://en.wikipedia.org/wiki/Carucate</t>
  </si>
  <si>
    <t>Total Area:</t>
  </si>
  <si>
    <t>Oxen:</t>
  </si>
  <si>
    <t>https://www.drovers.com/article/breeding-season-bull-management</t>
  </si>
  <si>
    <t>Cows</t>
  </si>
  <si>
    <t>Bulls</t>
  </si>
  <si>
    <t>cow:bull</t>
  </si>
  <si>
    <t>Cull bull</t>
  </si>
  <si>
    <t>Cull Cow</t>
  </si>
  <si>
    <t>Beef Production</t>
  </si>
  <si>
    <t>Delta</t>
  </si>
  <si>
    <t>Harvest</t>
  </si>
  <si>
    <t>Target Population</t>
  </si>
  <si>
    <t>Target Population:</t>
  </si>
  <si>
    <t>Milk</t>
  </si>
  <si>
    <t>Cow/Bull Ratio</t>
  </si>
  <si>
    <t>Steer</t>
  </si>
  <si>
    <t>Target Dairy:</t>
  </si>
  <si>
    <t>Beef / Head</t>
  </si>
  <si>
    <t>Target Beef/capita:</t>
  </si>
  <si>
    <t>Replacement Rate (Ox, Steer)</t>
  </si>
  <si>
    <t>Replacement Rate (Cow, Bull)</t>
  </si>
  <si>
    <t>https://en.wikipedia.org/wiki/List_of_countries_by_milk_consumption_per_capita</t>
  </si>
  <si>
    <t>kg/capita/year</t>
  </si>
  <si>
    <t>head</t>
  </si>
  <si>
    <t>Milk / Cow</t>
  </si>
  <si>
    <t>kg/cow/day</t>
  </si>
  <si>
    <t>Human Population</t>
  </si>
  <si>
    <t>Crops</t>
  </si>
  <si>
    <t>Wheat</t>
  </si>
  <si>
    <t>kg Per Capita</t>
  </si>
  <si>
    <t>kg / Hectare</t>
  </si>
  <si>
    <t>Potato</t>
  </si>
  <si>
    <t>Barley</t>
  </si>
  <si>
    <t>Total Area utilized</t>
  </si>
  <si>
    <t>Cotton</t>
  </si>
  <si>
    <t>Bamboo</t>
  </si>
  <si>
    <t>Apples</t>
  </si>
  <si>
    <t>Other Fruit</t>
  </si>
  <si>
    <t>Peanuts</t>
  </si>
  <si>
    <t>http://www.prep-blog.com/2013/04/18/survival-gardening-the-most-productive-calorie-crops/</t>
  </si>
  <si>
    <t>Amaranth</t>
  </si>
  <si>
    <t>Soybeans</t>
  </si>
  <si>
    <t>Quinoa</t>
  </si>
  <si>
    <t>Garlic</t>
  </si>
  <si>
    <t>Cargo Capacity</t>
  </si>
  <si>
    <t>http://www.projectrho.com/public_html/rocket/enginelist.php</t>
  </si>
  <si>
    <t>Radius</t>
  </si>
  <si>
    <t>km^2/acre</t>
  </si>
  <si>
    <t>km^2/hectare</t>
  </si>
  <si>
    <t>head/hectar</t>
  </si>
  <si>
    <t>Cocoa</t>
  </si>
  <si>
    <t>Coffee</t>
  </si>
  <si>
    <t>Tea</t>
  </si>
  <si>
    <t>grapes</t>
  </si>
  <si>
    <t>au</t>
  </si>
  <si>
    <t>hectare</t>
  </si>
  <si>
    <t>kg/person</t>
  </si>
  <si>
    <t>Cattle Range:</t>
  </si>
  <si>
    <t>Crops Range:</t>
  </si>
  <si>
    <t>Settlement Area:</t>
  </si>
  <si>
    <t>Plow</t>
  </si>
  <si>
    <t>Total allocated Area:</t>
  </si>
  <si>
    <t>Population</t>
  </si>
  <si>
    <t>Per Capita Usage</t>
  </si>
  <si>
    <t>Average Power Usage</t>
  </si>
  <si>
    <t>Efficiency</t>
  </si>
  <si>
    <t>Watt per kg</t>
  </si>
  <si>
    <t>Power System</t>
  </si>
  <si>
    <t>Safety Factor</t>
  </si>
  <si>
    <t>Mission Length</t>
  </si>
  <si>
    <t>Fuel Mass (Propulsion):</t>
  </si>
  <si>
    <t>Fuel Mass (Power):</t>
  </si>
  <si>
    <t>Survival Duration</t>
  </si>
  <si>
    <t>kg/w</t>
  </si>
  <si>
    <t>7 billion kwh / 3100kg fuel</t>
  </si>
  <si>
    <t>(Assuming equivilent to early 21st century Iceland)</t>
  </si>
  <si>
    <t>kwH/yr</t>
  </si>
  <si>
    <t>Lighting Power Usage</t>
  </si>
  <si>
    <t>w</t>
  </si>
  <si>
    <t>kwh/yr -&gt; watt</t>
  </si>
  <si>
    <t>kg/kwh</t>
  </si>
  <si>
    <t>Hours/year</t>
  </si>
  <si>
    <t>Fusion Fuel Usage</t>
  </si>
  <si>
    <t>Lighting Mass / w</t>
  </si>
  <si>
    <t>kg/watt</t>
  </si>
  <si>
    <t>Fusion Power Mass</t>
  </si>
  <si>
    <t>Power System Fuel / yr</t>
  </si>
  <si>
    <t>Total Power System Fuel Mass:</t>
  </si>
  <si>
    <t>Lighting System Mass</t>
  </si>
  <si>
    <t>Nimitz Carrier</t>
  </si>
  <si>
    <t>Nimitz Carriers</t>
  </si>
  <si>
    <t>kG / kwh</t>
  </si>
  <si>
    <t>Mole</t>
  </si>
  <si>
    <t>https://www.nextbigfuture.com/2012/06/what-is-energy-content-of-earths-water.html</t>
  </si>
  <si>
    <t>Heavy Water</t>
  </si>
  <si>
    <t>Moles</t>
  </si>
  <si>
    <t>Fuel Mass (raw)</t>
  </si>
  <si>
    <t>Comet Water</t>
  </si>
  <si>
    <t>Ratio Deuterium Comet Water</t>
  </si>
  <si>
    <t>Number of Equivilent Haley's Comets</t>
  </si>
  <si>
    <t>Ceres Water</t>
  </si>
  <si>
    <t>Mass of planet</t>
  </si>
  <si>
    <t>Mass of water on planet</t>
  </si>
  <si>
    <t>Computer Center</t>
  </si>
  <si>
    <t>Fuel Remaining</t>
  </si>
  <si>
    <t>Assuming Dexter cows and some minor technology tweaks</t>
  </si>
  <si>
    <t>Hypothetical 250kg cow that yields 75% meat</t>
  </si>
  <si>
    <t>Lower output than standard</t>
  </si>
  <si>
    <t>Seeweed</t>
  </si>
  <si>
    <t>kg/capita</t>
  </si>
  <si>
    <t>Water Depth</t>
  </si>
  <si>
    <t>Tuna</t>
  </si>
  <si>
    <t>Consumption</t>
  </si>
  <si>
    <t>Harvest Age</t>
  </si>
  <si>
    <t>salmon</t>
  </si>
  <si>
    <t>tilapia</t>
  </si>
  <si>
    <t>cod</t>
  </si>
  <si>
    <t>carp</t>
  </si>
  <si>
    <t>trout</t>
  </si>
  <si>
    <t>marine</t>
  </si>
  <si>
    <t>yes</t>
  </si>
  <si>
    <t>no</t>
  </si>
  <si>
    <t>Fish Per capita</t>
  </si>
  <si>
    <t>Density</t>
  </si>
  <si>
    <t>Tank Size</t>
  </si>
  <si>
    <t>m^3</t>
  </si>
  <si>
    <t>kg/m^3</t>
  </si>
  <si>
    <t>Mass of Meat</t>
  </si>
  <si>
    <t>Meat Yeild</t>
  </si>
  <si>
    <t>Mass of Fish</t>
  </si>
  <si>
    <t>m^2/person</t>
  </si>
  <si>
    <t>kilogram of oil (kgoe)</t>
  </si>
  <si>
    <t>kJ/kg</t>
  </si>
  <si>
    <t>kwh</t>
  </si>
  <si>
    <t>Agriculture Work</t>
  </si>
  <si>
    <t>http://www.fao.org/docrep/003/X8054E/x8054e05.htm</t>
  </si>
  <si>
    <t>kwh/hectare</t>
  </si>
  <si>
    <t>Area</t>
  </si>
  <si>
    <t>Average</t>
  </si>
  <si>
    <t>Feed/year</t>
  </si>
  <si>
    <t>Forage/Day/AU</t>
  </si>
  <si>
    <t>Kale</t>
  </si>
  <si>
    <t>Livestock Forage</t>
  </si>
  <si>
    <t>Cow population density assuming agriculturally grown forage</t>
  </si>
  <si>
    <t>Cricket Powder (to offset protein)</t>
  </si>
  <si>
    <t>Mass powder/capita</t>
  </si>
  <si>
    <t>Yeild per kg of organism</t>
  </si>
  <si>
    <t>Living kg of organism</t>
  </si>
  <si>
    <t>Feed kg / organism kg</t>
  </si>
  <si>
    <t>Mass powder/year</t>
  </si>
  <si>
    <t>Cattle</t>
  </si>
  <si>
    <t>Cricket</t>
  </si>
  <si>
    <t>Avg Mass</t>
  </si>
  <si>
    <t>Protein per day</t>
  </si>
  <si>
    <t>https://www.healthline.com/nutrition/how-much-protein-per-day</t>
  </si>
  <si>
    <t>g/kg/day</t>
  </si>
  <si>
    <t>kg/s</t>
  </si>
  <si>
    <t>Mission Cargo</t>
  </si>
  <si>
    <t>Steel Structure</t>
  </si>
  <si>
    <t>Material</t>
  </si>
  <si>
    <t>Tensile Strength</t>
  </si>
  <si>
    <t>N/mm^2</t>
  </si>
  <si>
    <t>Yield Point</t>
  </si>
  <si>
    <t>g/cm^3</t>
  </si>
  <si>
    <t>Nickle/Iron Alloy 52/48</t>
  </si>
  <si>
    <t>MPP</t>
  </si>
  <si>
    <t>Caloires</t>
  </si>
  <si>
    <t>kCal/Day</t>
  </si>
  <si>
    <t>Chicken</t>
  </si>
  <si>
    <t>Mass Chicken/Capita</t>
  </si>
  <si>
    <t>Mass Meat /year</t>
  </si>
  <si>
    <t>Yield per Kg of Organism</t>
  </si>
  <si>
    <t>Living Kg per organism</t>
  </si>
  <si>
    <t>https://www.gov.mb.ca/agriculture/livestock/production/poultry/basic-feeding-programs-for-small-chicken-flocks.html</t>
  </si>
  <si>
    <t>Broiler</t>
  </si>
  <si>
    <t>Roaster</t>
  </si>
  <si>
    <t>Egg Layer</t>
  </si>
  <si>
    <t>Feed (total)</t>
  </si>
  <si>
    <t>Kg protein / organism</t>
  </si>
  <si>
    <t>Feed (protein)</t>
  </si>
  <si>
    <t>%protein diet</t>
  </si>
  <si>
    <t>Medievel Estimate</t>
  </si>
  <si>
    <t>Raw Cultivattion Estimate</t>
  </si>
  <si>
    <t>Medieval Estimate</t>
  </si>
  <si>
    <t>Medieval Population Rate</t>
  </si>
  <si>
    <t>capita/km^2</t>
  </si>
  <si>
    <t>Livestock feed</t>
  </si>
  <si>
    <t>Straw (from other crops)</t>
  </si>
  <si>
    <t>Alfalfa</t>
  </si>
  <si>
    <t>Grass</t>
  </si>
  <si>
    <t>Straw can be derived from parts of plants in food production not eaten</t>
  </si>
  <si>
    <t>Grass only requires 0.2 meters of topsoil. Assume some sort of stacking cultivation system</t>
  </si>
  <si>
    <t>Human Crops</t>
  </si>
  <si>
    <t>Livestock crops</t>
  </si>
  <si>
    <t>Grass (cultivated)</t>
  </si>
  <si>
    <t>Grass (living + recreation area)</t>
  </si>
  <si>
    <t>Grass (graze range)</t>
  </si>
  <si>
    <t>lbs/capita</t>
  </si>
  <si>
    <t>(Slightly higher than switzerland)</t>
  </si>
  <si>
    <t>Pig</t>
  </si>
  <si>
    <t>Sugar Beets</t>
  </si>
  <si>
    <t>m^3 soil</t>
  </si>
  <si>
    <t>Soil Volume</t>
  </si>
  <si>
    <t>US 1990</t>
  </si>
  <si>
    <t>http://www.foodreference.com/html/f-chick-consp.html</t>
  </si>
  <si>
    <t>http://www.foodreference.com/html/fbeef.html</t>
  </si>
  <si>
    <t>Assuming pigs eat leftovers from everything</t>
  </si>
  <si>
    <t>Total Meat</t>
  </si>
  <si>
    <t>Mass / organism</t>
  </si>
  <si>
    <t>Number organism</t>
  </si>
  <si>
    <t>Feed Organism/Market</t>
  </si>
  <si>
    <t>https://countrysidenetwork.com/daily/livestock/pigs/feeding-a-pig-for-market/</t>
  </si>
  <si>
    <t>kg / pig</t>
  </si>
  <si>
    <t>Total Mass of Food/yr</t>
  </si>
  <si>
    <t>meat</t>
  </si>
  <si>
    <t>Capita</t>
  </si>
  <si>
    <t>cereals + produce</t>
  </si>
  <si>
    <t>Food Waste</t>
  </si>
  <si>
    <t>Feed (from scaps)</t>
  </si>
  <si>
    <t>http://www.foodreference.com/html/fpork.html</t>
  </si>
  <si>
    <t>Enclosure / Organism</t>
  </si>
  <si>
    <t>Enclosure total</t>
  </si>
  <si>
    <t>Living organizm</t>
  </si>
  <si>
    <t>Enclosure per organism</t>
  </si>
  <si>
    <t>Pigs</t>
  </si>
  <si>
    <t>Ruminant Total</t>
  </si>
  <si>
    <t>% grass</t>
  </si>
  <si>
    <t>Levels</t>
  </si>
  <si>
    <t>Soil Density</t>
  </si>
  <si>
    <t>Kg/m^2 manned space</t>
  </si>
  <si>
    <t>https://en.wikipedia.org/wiki/World_Trade_Center_(1973–2001)</t>
  </si>
  <si>
    <t>https://hypertextbook.com/facts/2004/EricChen.shtml</t>
  </si>
  <si>
    <t>Steel Constuction</t>
  </si>
  <si>
    <t>World Trade Center</t>
  </si>
  <si>
    <t>Floor Area</t>
  </si>
  <si>
    <t>Mass</t>
  </si>
  <si>
    <t>kg/m^2</t>
  </si>
  <si>
    <t>U.S. Steel Building</t>
  </si>
  <si>
    <t>https://en.wikipedia.org/wiki/U.S._Steel_Tower</t>
  </si>
  <si>
    <t>Soil</t>
  </si>
  <si>
    <t>PSFS Building</t>
  </si>
  <si>
    <t>https://cdn.ymaws.com/www.aspenational.org/resource/resmgr/Techical_Papers/2013_October_TP.pdf</t>
  </si>
  <si>
    <t>Includes concrete flooring</t>
  </si>
  <si>
    <t>Based on construction formulas</t>
  </si>
  <si>
    <t>Crew + Effects / per</t>
  </si>
  <si>
    <t>Water Tank/Rad shield</t>
  </si>
  <si>
    <t>Radition Shielding</t>
  </si>
  <si>
    <t>Thickness of water surrounding all habitat areas of ship</t>
  </si>
  <si>
    <t>Atmosphere</t>
  </si>
  <si>
    <t>Assuming STP 1.225 kg/m^3 and 90% of total interior volume</t>
  </si>
  <si>
    <t>https://settlement.arc.nasa.gov/75SummerStudy/Chapt4.html#Shielding</t>
  </si>
  <si>
    <t>4500 kg/m^2 needed</t>
  </si>
  <si>
    <t>Total Area</t>
  </si>
  <si>
    <t>3 * square Root of three</t>
  </si>
  <si>
    <t>Number of domes</t>
  </si>
  <si>
    <t>dy</t>
  </si>
  <si>
    <t>Design Area per dome</t>
  </si>
  <si>
    <t>Implementation area</t>
  </si>
  <si>
    <t>Surface area</t>
  </si>
  <si>
    <t>Number Domes</t>
  </si>
  <si>
    <t>Volume</t>
  </si>
  <si>
    <t>Radation Shielding</t>
  </si>
  <si>
    <t>Slice Area</t>
  </si>
  <si>
    <t>Dome Exterior Surface</t>
  </si>
  <si>
    <t>Dome Land Surface</t>
  </si>
  <si>
    <t>Dome Volume</t>
  </si>
  <si>
    <t>Dome Shield Mass</t>
  </si>
  <si>
    <t>Radiation Mass</t>
  </si>
  <si>
    <t>Dome Levels</t>
  </si>
  <si>
    <t>Total Land Area</t>
  </si>
  <si>
    <t>Dome Radius</t>
  </si>
  <si>
    <t>1 G Radius</t>
  </si>
  <si>
    <t>RPM</t>
  </si>
  <si>
    <t>Angular Speed</t>
  </si>
  <si>
    <t>Floor Radius</t>
  </si>
  <si>
    <t>Rot Radius</t>
  </si>
  <si>
    <t>%g</t>
  </si>
  <si>
    <t>Height</t>
  </si>
  <si>
    <t>Design of a spheriod dome</t>
  </si>
  <si>
    <t>h</t>
  </si>
  <si>
    <t>Verticle Usage</t>
  </si>
  <si>
    <t>long ton/ft^3</t>
  </si>
  <si>
    <t>Width</t>
  </si>
  <si>
    <t>Structure Mass</t>
  </si>
  <si>
    <t>Mass m^3</t>
  </si>
  <si>
    <t>G at apex</t>
  </si>
  <si>
    <t>area / volume</t>
  </si>
  <si>
    <t>Segment Length</t>
  </si>
  <si>
    <t>Dome Structure Mass</t>
  </si>
  <si>
    <t>Dome Structure</t>
  </si>
  <si>
    <t>Oats</t>
  </si>
  <si>
    <t>Cereals</t>
  </si>
  <si>
    <t>broccoli</t>
  </si>
  <si>
    <t>% protein</t>
  </si>
  <si>
    <t>% oil</t>
  </si>
  <si>
    <t>% EFA</t>
  </si>
  <si>
    <t>% carb</t>
  </si>
  <si>
    <t>kcal/m^2</t>
  </si>
  <si>
    <t>Cabbage</t>
  </si>
  <si>
    <t>camelina</t>
  </si>
  <si>
    <t>chia seeds</t>
  </si>
  <si>
    <t>Coconut Oil</t>
  </si>
  <si>
    <t>duckweed</t>
  </si>
  <si>
    <t>flaxseed</t>
  </si>
  <si>
    <t>fonio</t>
  </si>
  <si>
    <t>http://gardeningplaces.com/articles/nutrition-per-hectare1.htm</t>
  </si>
  <si>
    <t>hempseed</t>
  </si>
  <si>
    <t>lentils</t>
  </si>
  <si>
    <t>maize (corn)</t>
  </si>
  <si>
    <t>millet</t>
  </si>
  <si>
    <t>Nerica</t>
  </si>
  <si>
    <t>Olive Oil</t>
  </si>
  <si>
    <t>Palm Oil</t>
  </si>
  <si>
    <t>Palm Kernel Oil</t>
  </si>
  <si>
    <t>Peas - Dry</t>
  </si>
  <si>
    <t>Peas - Green</t>
  </si>
  <si>
    <t>Plaintains</t>
  </si>
  <si>
    <t>rapeseed (canola)</t>
  </si>
  <si>
    <t>Rice - paddy</t>
  </si>
  <si>
    <t>Rye</t>
  </si>
  <si>
    <t>sacha inchi</t>
  </si>
  <si>
    <t>safflower kernels</t>
  </si>
  <si>
    <t>sesame seeds</t>
  </si>
  <si>
    <t>sorghum - grain</t>
  </si>
  <si>
    <t>spelt</t>
  </si>
  <si>
    <t>sugarcane</t>
  </si>
  <si>
    <t>sunflower seeds</t>
  </si>
  <si>
    <t>sweet potatoes</t>
  </si>
  <si>
    <t>teff</t>
  </si>
  <si>
    <t>triticale</t>
  </si>
  <si>
    <t>Wild Rice</t>
  </si>
  <si>
    <t>yams</t>
  </si>
  <si>
    <t>Pumpkin</t>
  </si>
  <si>
    <t>Pumplkin seed</t>
  </si>
  <si>
    <t>Winged bean seeds</t>
  </si>
  <si>
    <t>winged bean pods</t>
  </si>
  <si>
    <t>winged bean tuber</t>
  </si>
  <si>
    <t>forage / hectare</t>
  </si>
  <si>
    <t>turnips</t>
  </si>
  <si>
    <t>Feed - Crops</t>
  </si>
  <si>
    <t>Organisms</t>
  </si>
  <si>
    <t>Food From Crops</t>
  </si>
  <si>
    <t>Number of organisms</t>
  </si>
  <si>
    <t>1 us ton/acre -&gt; kg/hectare</t>
  </si>
  <si>
    <t>Source A</t>
  </si>
  <si>
    <t>Source B</t>
  </si>
  <si>
    <t>http://www.gardensofeden.org/04%20Crop%20Yield%20Verification.htm</t>
  </si>
  <si>
    <t>Avacados</t>
  </si>
  <si>
    <t>Source</t>
  </si>
  <si>
    <t>A</t>
  </si>
  <si>
    <t>lb / Acre</t>
  </si>
  <si>
    <t>Almonds (shelled)</t>
  </si>
  <si>
    <t>Pecans - In Shell</t>
  </si>
  <si>
    <t>Pistachios</t>
  </si>
  <si>
    <t>Walnuts</t>
  </si>
  <si>
    <t>Apricots</t>
  </si>
  <si>
    <t>Cherry (sweet)</t>
  </si>
  <si>
    <t>Dates</t>
  </si>
  <si>
    <t>Figs</t>
  </si>
  <si>
    <t>Kiwi Fruit</t>
  </si>
  <si>
    <t>Nectarines</t>
  </si>
  <si>
    <t>Olives</t>
  </si>
  <si>
    <t>Peaches</t>
  </si>
  <si>
    <t>Pears</t>
  </si>
  <si>
    <t>Plums</t>
  </si>
  <si>
    <t>Spinach</t>
  </si>
  <si>
    <t>Carrot</t>
  </si>
  <si>
    <t>Onion</t>
  </si>
  <si>
    <t>Celery</t>
  </si>
  <si>
    <t>Tomato</t>
  </si>
  <si>
    <t>lettuce</t>
  </si>
  <si>
    <t>Caulflower</t>
  </si>
  <si>
    <t>Pepper, Bell</t>
  </si>
  <si>
    <t>Pepper, Black</t>
  </si>
  <si>
    <t>Squash, Summer</t>
  </si>
  <si>
    <t>Beet</t>
  </si>
  <si>
    <t>Cantaloupe</t>
  </si>
  <si>
    <t>Asparagus</t>
  </si>
  <si>
    <t>Cucumber</t>
  </si>
  <si>
    <t>Radish</t>
  </si>
  <si>
    <t>Watermellon</t>
  </si>
  <si>
    <t>Bean, Lima</t>
  </si>
  <si>
    <t>Bean, snap</t>
  </si>
  <si>
    <t>Beans, greeen</t>
  </si>
  <si>
    <t>Bean, dry</t>
  </si>
  <si>
    <t>Source C</t>
  </si>
  <si>
    <t>Chufa (tigernut)</t>
  </si>
  <si>
    <t>Grow Time</t>
  </si>
  <si>
    <t>days</t>
  </si>
  <si>
    <t>Source D</t>
  </si>
  <si>
    <t>https://www.gardenguides.com/134169-growing-times-vegetables.html</t>
  </si>
  <si>
    <t>Perennial</t>
  </si>
  <si>
    <t>Oranges</t>
  </si>
  <si>
    <t>Lemon</t>
  </si>
  <si>
    <t>Lime</t>
  </si>
  <si>
    <t>kg/year</t>
  </si>
  <si>
    <t>United States</t>
  </si>
  <si>
    <t>https://ourworldindata.org/diet-compositions</t>
  </si>
  <si>
    <t>kCal/kg</t>
  </si>
  <si>
    <t>Harvests</t>
  </si>
  <si>
    <t>Kg Food</t>
  </si>
  <si>
    <t>Kg Forage</t>
  </si>
  <si>
    <t>% forage</t>
  </si>
  <si>
    <t>Total Forage Source</t>
  </si>
  <si>
    <t>food</t>
  </si>
  <si>
    <t>forage</t>
  </si>
  <si>
    <t>Cal/day/person</t>
  </si>
  <si>
    <t>Grown</t>
  </si>
  <si>
    <t>Other Vegetables</t>
  </si>
  <si>
    <t>Class</t>
  </si>
  <si>
    <t>kcal/day</t>
  </si>
  <si>
    <t>Non-Food Crops</t>
  </si>
  <si>
    <t>Diet Design</t>
  </si>
  <si>
    <t>Other</t>
  </si>
  <si>
    <t>Sugar</t>
  </si>
  <si>
    <t>Japan</t>
  </si>
  <si>
    <t>Iceland</t>
  </si>
  <si>
    <t>Life Expectency</t>
  </si>
  <si>
    <t>Canada</t>
  </si>
  <si>
    <t>Russia</t>
  </si>
  <si>
    <t>China</t>
  </si>
  <si>
    <t>India</t>
  </si>
  <si>
    <t>Chad</t>
  </si>
  <si>
    <t>Diet Data:</t>
  </si>
  <si>
    <t>Life Expectency Data:</t>
  </si>
  <si>
    <t>Based of Year 2013Data from</t>
  </si>
  <si>
    <t>TCD</t>
  </si>
  <si>
    <t>Code</t>
  </si>
  <si>
    <t>CAN</t>
  </si>
  <si>
    <t>ISL</t>
  </si>
  <si>
    <t>IND</t>
  </si>
  <si>
    <t>Ireland</t>
  </si>
  <si>
    <t>IRL</t>
  </si>
  <si>
    <t>Saudi Arabia</t>
  </si>
  <si>
    <t>JPN</t>
  </si>
  <si>
    <t>CHN</t>
  </si>
  <si>
    <t>RUS</t>
  </si>
  <si>
    <t>SAU</t>
  </si>
  <si>
    <t>USA</t>
  </si>
  <si>
    <t>kcal (total)</t>
  </si>
  <si>
    <t>Australia</t>
  </si>
  <si>
    <t>AUS</t>
  </si>
  <si>
    <t>United Kingdom</t>
  </si>
  <si>
    <t>GBR</t>
  </si>
  <si>
    <t>South Korea</t>
  </si>
  <si>
    <t>KOR</t>
  </si>
  <si>
    <t>kilocalories per person per day</t>
  </si>
  <si>
    <t>Oils &amp; Fats</t>
  </si>
  <si>
    <t>Meat</t>
  </si>
  <si>
    <t>Dairy &amp; Eggs</t>
  </si>
  <si>
    <t>Fruits &amp; Vegetables</t>
  </si>
  <si>
    <t>Starchy Roots</t>
  </si>
  <si>
    <t>Pulses</t>
  </si>
  <si>
    <t>Cereals &amp; Grains</t>
  </si>
  <si>
    <t>Alcoholic Beverages</t>
  </si>
  <si>
    <t>Type</t>
  </si>
  <si>
    <t>Oil &amp; Fats</t>
  </si>
  <si>
    <t>Starchy Root</t>
  </si>
  <si>
    <t>Alcholic Beverages</t>
  </si>
  <si>
    <t>https://nutritionstudies.org/what-are-pulses-and-why-are-they-important/</t>
  </si>
  <si>
    <t>kcal/100g</t>
  </si>
  <si>
    <t>https://www.fatsecret.com/calories-nutrition/generic/sugar?portionid=55855&amp;portionamount=100.000</t>
  </si>
  <si>
    <t>https://www.fatsecret.com/calories-nutrition/generic/rice-white-cooked-regular?portionid=53181&amp;portionamount=100.000</t>
  </si>
  <si>
    <t>https://www.fatsecret.com/calories-nutrition/usda/potatoes-(flesh-without-skin-without-salt-boiled)?portionid=59236&amp;portionamount=100.000</t>
  </si>
  <si>
    <t>https://www.fatsecret.com/calories-nutrition/usda/green-peas?portionid=59195&amp;portionamount=100.000</t>
  </si>
  <si>
    <t>https://www.fatsecret.com/calories-nutrition/usda/red-table-wine?portionid=60471&amp;portionamount=100.000</t>
  </si>
  <si>
    <t>Fish</t>
  </si>
  <si>
    <t>Modeled as a generic organism that east primarly crickets</t>
  </si>
  <si>
    <t>kg / ea</t>
  </si>
  <si>
    <t>kg / capita</t>
  </si>
  <si>
    <t>Protein - Vegetable</t>
  </si>
  <si>
    <t>lux</t>
  </si>
  <si>
    <t>https://en.wikipedia.org/wiki/Daylight</t>
  </si>
  <si>
    <t>https://en.wikipedia.org/wiki/Moonlight</t>
  </si>
  <si>
    <t>https://www1.eere.energy.gov/buildings/publications/pdfs/ssl/led_energy_efficiency.pdf</t>
  </si>
  <si>
    <t>lumen/W</t>
  </si>
  <si>
    <t>MW</t>
  </si>
  <si>
    <t>Total Mass</t>
  </si>
  <si>
    <t>Fusion Reactor</t>
  </si>
  <si>
    <t>(Similar to propulsion System)</t>
  </si>
  <si>
    <t>Tritium Production</t>
  </si>
  <si>
    <t>Tritium Production/yr</t>
  </si>
  <si>
    <t>Cosmic Ray interactions with water in insulation</t>
  </si>
  <si>
    <t>Insulation Surface area</t>
  </si>
  <si>
    <t>He3 Production</t>
  </si>
  <si>
    <t>H2 production</t>
  </si>
  <si>
    <t>kg/yr</t>
  </si>
  <si>
    <t>Fuel Collected / yr</t>
  </si>
  <si>
    <t>https://ntrs.nasa.gov/archive/nasa/casi.ntrs.nasa.gov/19680012956.pdf</t>
  </si>
  <si>
    <t>Insulation loss/yr</t>
  </si>
  <si>
    <t>Gallery Rate</t>
  </si>
  <si>
    <t>Diameter</t>
  </si>
  <si>
    <t>1g Radius</t>
  </si>
  <si>
    <t>dy Standard</t>
  </si>
  <si>
    <t>(1 meter utility, 1-2 meter soil, 3-4 meter headspace)</t>
  </si>
  <si>
    <t>Dueterium Refining</t>
  </si>
  <si>
    <t>USD/kg</t>
  </si>
  <si>
    <t>Steel</t>
  </si>
  <si>
    <t>Lithium (pure)</t>
  </si>
  <si>
    <t>Lithium (li2co3)</t>
  </si>
  <si>
    <t>Flywheel Mass</t>
  </si>
  <si>
    <t>Flywheel Max Radius</t>
  </si>
  <si>
    <t>Moment of Inertia</t>
  </si>
  <si>
    <t>Angular Momentum</t>
  </si>
  <si>
    <t>Flywheel Inner Radius</t>
  </si>
  <si>
    <t>Flywheel Moment of Inertia</t>
  </si>
  <si>
    <t>Flywheel Thickness</t>
  </si>
  <si>
    <t>Flywheel Angular Speed</t>
  </si>
  <si>
    <t>Air Density</t>
  </si>
  <si>
    <t>Sphere + Flywheel</t>
  </si>
  <si>
    <t>Flywheel Density</t>
  </si>
  <si>
    <t>Length of a Nimtz Carrier</t>
  </si>
  <si>
    <t>in</t>
  </si>
  <si>
    <t>Length of Football Field</t>
  </si>
  <si>
    <t>2d Slice Area</t>
  </si>
  <si>
    <t>Floor Count</t>
  </si>
  <si>
    <t>Vertical Usage</t>
  </si>
  <si>
    <t>Spare Parts Factor</t>
  </si>
  <si>
    <t>Usage</t>
  </si>
  <si>
    <t>Park Area</t>
  </si>
  <si>
    <t>Settlement Area</t>
  </si>
  <si>
    <t>Agriculture</t>
  </si>
  <si>
    <t>Single</t>
  </si>
  <si>
    <t>Family</t>
  </si>
  <si>
    <t>Medical</t>
  </si>
  <si>
    <t>Human Services</t>
  </si>
  <si>
    <t>Manufacture</t>
  </si>
  <si>
    <t>Service Industry</t>
  </si>
  <si>
    <t>Craftsmen - Food</t>
  </si>
  <si>
    <t>Vendor</t>
  </si>
  <si>
    <t>Craftsmen - Art</t>
  </si>
  <si>
    <t>Craftsman - Misc</t>
  </si>
  <si>
    <t>Law Enforcement</t>
  </si>
  <si>
    <t>Per 100000</t>
  </si>
  <si>
    <t>Labor Category</t>
  </si>
  <si>
    <t>Crew</t>
  </si>
  <si>
    <t>Retired</t>
  </si>
  <si>
    <t>Working</t>
  </si>
  <si>
    <t>Command</t>
  </si>
  <si>
    <t>Education</t>
  </si>
  <si>
    <t>Maternity</t>
  </si>
  <si>
    <t>Non-Working</t>
  </si>
  <si>
    <t>Assume 1 teacher per 12 children, starting at age 4</t>
  </si>
  <si>
    <t>Inn/Taverns/Restaurants</t>
  </si>
  <si>
    <t>Ship Systems</t>
  </si>
  <si>
    <t>Robotics + Agriculture</t>
  </si>
  <si>
    <t>Human Services Categories</t>
  </si>
  <si>
    <t>Assuming 3 doctors and 3 nurses on rotation 24/7, with 2 trainees</t>
  </si>
  <si>
    <t>Student</t>
  </si>
  <si>
    <t>Assuming 40% of children will go on to 4 years of advanced training</t>
  </si>
  <si>
    <t>Trainee / Generalist</t>
  </si>
  <si>
    <t>Plant Operator</t>
  </si>
  <si>
    <t>Technicians / Electricians</t>
  </si>
  <si>
    <t>Repair + Fabrication</t>
  </si>
  <si>
    <t>Assuming this count also includes individuals engaged in domestic manufactur</t>
  </si>
  <si>
    <t>Weighted Allocation</t>
  </si>
  <si>
    <t>Figures for trades estimated from medieval towns/cities</t>
  </si>
  <si>
    <t>Government</t>
  </si>
  <si>
    <t>Picked a plausible number from: https://www.governing.com/gov-data/public-workforce-salaries/states-most-government-workers-public-employees-by-job-type.html</t>
  </si>
  <si>
    <t>Assune at least a mayor</t>
  </si>
  <si>
    <t>Officers</t>
  </si>
  <si>
    <t>Scientists</t>
  </si>
  <si>
    <t>Plant Safety</t>
  </si>
  <si>
    <t>FOG</t>
  </si>
  <si>
    <t>Science + Development</t>
  </si>
  <si>
    <t>Mortality</t>
  </si>
  <si>
    <t>Replacement</t>
  </si>
  <si>
    <t>Spare Parts Estimate</t>
  </si>
  <si>
    <t>Births per F</t>
  </si>
  <si>
    <t>Maintenance Schedule Robotics</t>
  </si>
  <si>
    <t>Mobile Units</t>
  </si>
  <si>
    <t>Manufacturing Units</t>
  </si>
  <si>
    <t>Design Life</t>
  </si>
  <si>
    <t>Recycle</t>
  </si>
  <si>
    <t>Maintenance</t>
  </si>
  <si>
    <t>Tractors</t>
  </si>
  <si>
    <t>http://www.waterandenergyprogress.org/library/05006.pdf</t>
  </si>
  <si>
    <t>Shred Stalks</t>
  </si>
  <si>
    <t>Plow 8 inches deep</t>
  </si>
  <si>
    <t>Field Cultivate</t>
  </si>
  <si>
    <t>Harrow</t>
  </si>
  <si>
    <t>Cultivate Row Crops</t>
  </si>
  <si>
    <t>Plant Row Crops</t>
  </si>
  <si>
    <t>No-till planter</t>
  </si>
  <si>
    <t>Grain Drill</t>
  </si>
  <si>
    <t>Combine - Grain</t>
  </si>
  <si>
    <t>Combine - corn/sorghum</t>
  </si>
  <si>
    <t>Corn Picker</t>
  </si>
  <si>
    <t>Baler</t>
  </si>
  <si>
    <t>Rotary Mower</t>
  </si>
  <si>
    <t>Forage Harvester - green</t>
  </si>
  <si>
    <t>Forage Harvester - hay</t>
  </si>
  <si>
    <t>Forage Harvester - corm</t>
  </si>
  <si>
    <t>Forage blower - green</t>
  </si>
  <si>
    <t>Forage blower - hay</t>
  </si>
  <si>
    <t>Forage blower - corn</t>
  </si>
  <si>
    <t>Grain Drying</t>
  </si>
  <si>
    <t>Estimate Number of Tractors needed</t>
  </si>
  <si>
    <t>Task</t>
  </si>
  <si>
    <t>PTO hp/hr/acre</t>
  </si>
  <si>
    <t>Hectares</t>
  </si>
  <si>
    <t>Tractor Hours</t>
  </si>
  <si>
    <t>acre</t>
  </si>
  <si>
    <t>mile^2</t>
  </si>
  <si>
    <t>ft^2</t>
  </si>
  <si>
    <t>Constants</t>
  </si>
  <si>
    <t>Human Population (peak)</t>
  </si>
  <si>
    <t>PTO HP-hour/acre</t>
  </si>
  <si>
    <t>PTO HP-hour</t>
  </si>
  <si>
    <t>Food Processing Units</t>
  </si>
  <si>
    <t>Work Hours</t>
  </si>
  <si>
    <t>Utilization</t>
  </si>
  <si>
    <t>Labor Hours - Repair</t>
  </si>
  <si>
    <t>Labor Hours - Operation</t>
  </si>
  <si>
    <t>Operation Unit (Hr)</t>
  </si>
  <si>
    <t>Operation All (hr)</t>
  </si>
  <si>
    <t>Repair Unit (hr)</t>
  </si>
  <si>
    <t>Repair all (hr)</t>
  </si>
  <si>
    <t>Man Hrs</t>
  </si>
  <si>
    <t>Robotic Operators</t>
  </si>
  <si>
    <t>Recreation Area:</t>
  </si>
  <si>
    <t>Land Usage</t>
  </si>
  <si>
    <t>Budget</t>
  </si>
  <si>
    <t>Implemented</t>
  </si>
  <si>
    <t>Cargo Area</t>
  </si>
  <si>
    <t>Name</t>
  </si>
  <si>
    <t>Settlement</t>
  </si>
  <si>
    <t>Park</t>
  </si>
  <si>
    <t>Cargo</t>
  </si>
  <si>
    <t>HOUSING</t>
  </si>
  <si>
    <t>Housing - Single</t>
  </si>
  <si>
    <t>Housing - Family</t>
  </si>
  <si>
    <t>Budget %</t>
  </si>
  <si>
    <t>Acres/Capita</t>
  </si>
  <si>
    <t>Industry</t>
  </si>
  <si>
    <t>Industrial</t>
  </si>
  <si>
    <t>Grade Level Size</t>
  </si>
  <si>
    <t>Artist/Musician</t>
  </si>
  <si>
    <t>https://www.arts.gov/sites/default/files/ArtistsInWorkforce.pdf</t>
  </si>
  <si>
    <t>Domes</t>
  </si>
  <si>
    <t>Usage:</t>
  </si>
  <si>
    <t>Food Storage</t>
  </si>
  <si>
    <t>Store the equivilent of 7 years of food</t>
  </si>
  <si>
    <t>Volume / Dome</t>
  </si>
  <si>
    <t>Horsepower to KW</t>
  </si>
  <si>
    <t>KW to Horsepower</t>
  </si>
  <si>
    <t>Cultivation energy / hectare</t>
  </si>
  <si>
    <t>Yearly Power Consuption</t>
  </si>
  <si>
    <t>Days in year</t>
  </si>
  <si>
    <t>Niave</t>
  </si>
  <si>
    <t>Exact</t>
  </si>
  <si>
    <t>5 mw data center</t>
  </si>
  <si>
    <t>Image Scale (carrier)</t>
  </si>
  <si>
    <t>Image Scale (field)</t>
  </si>
  <si>
    <t>Life Exp</t>
  </si>
  <si>
    <t>Widest Deck</t>
  </si>
  <si>
    <t>Widest</t>
  </si>
  <si>
    <t>Hab Levels</t>
  </si>
  <si>
    <t>Note: Some decks do not have area that adds up to 100% to represent thru-deck features</t>
  </si>
  <si>
    <t>Machinery</t>
  </si>
  <si>
    <t>Total Levels</t>
  </si>
  <si>
    <t>Dome Radius est</t>
  </si>
  <si>
    <t>Potential Mate Rate</t>
  </si>
  <si>
    <t>Age</t>
  </si>
  <si>
    <t>male</t>
  </si>
  <si>
    <t>femal</t>
  </si>
  <si>
    <t>female</t>
  </si>
  <si>
    <t>Fertility Rate</t>
  </si>
  <si>
    <t>Low</t>
  </si>
  <si>
    <t>High</t>
  </si>
  <si>
    <t>Max</t>
  </si>
  <si>
    <t>avg</t>
  </si>
  <si>
    <t>Marriage</t>
  </si>
  <si>
    <t>Housing</t>
  </si>
  <si>
    <t>http://www.no1ledlight.com/lux-standard-for-indoor-lighting/</t>
  </si>
  <si>
    <t>https://homeguides.sfgate.com/problem-using-grow-lights-greenhouses-51087.html</t>
  </si>
  <si>
    <t>Illumination Hours</t>
  </si>
  <si>
    <t>kwh /day</t>
  </si>
  <si>
    <t>Peak Wattage</t>
  </si>
  <si>
    <t>watt</t>
  </si>
  <si>
    <t>Lighting</t>
  </si>
  <si>
    <t>Peak Power Load</t>
  </si>
  <si>
    <t>Daily Power Consumption</t>
  </si>
  <si>
    <t>kwh/day -&gt; watt</t>
  </si>
  <si>
    <t>khw/day</t>
  </si>
  <si>
    <t>kwH/day</t>
  </si>
  <si>
    <t>kwh/day</t>
  </si>
  <si>
    <t>Ship Calendar</t>
  </si>
  <si>
    <t>Some fuel stores are offset by tritium and he3 production in the cosmic ray shield</t>
  </si>
  <si>
    <t>System Mass</t>
  </si>
  <si>
    <t>Hemp</t>
  </si>
  <si>
    <t>(Assume a magical 25% production increase from technology)</t>
  </si>
  <si>
    <t>Hectare</t>
  </si>
  <si>
    <t>(Sum of proportions)</t>
  </si>
  <si>
    <t>Male</t>
  </si>
  <si>
    <t>Female</t>
  </si>
  <si>
    <t>Marriages</t>
  </si>
  <si>
    <t>Seed Marriages</t>
  </si>
  <si>
    <t>Singles</t>
  </si>
  <si>
    <t>Marriage Rate</t>
  </si>
  <si>
    <t>Divorce Rate</t>
  </si>
  <si>
    <t>weddings</t>
  </si>
  <si>
    <t>age out</t>
  </si>
  <si>
    <t>divorce</t>
  </si>
  <si>
    <t>Seed</t>
  </si>
  <si>
    <t>single</t>
  </si>
  <si>
    <t>housing</t>
  </si>
  <si>
    <t>family</t>
  </si>
  <si>
    <t>Illumination (Peak)</t>
  </si>
  <si>
    <t>Illumination (Night)</t>
  </si>
  <si>
    <t>Manned</t>
  </si>
  <si>
    <t>Unmanned</t>
  </si>
  <si>
    <t>Outdoor</t>
  </si>
  <si>
    <t>Bringing along a self-replicating robot factory to mine remote system</t>
  </si>
  <si>
    <t>Ideal</t>
  </si>
  <si>
    <t>Magic Factor</t>
  </si>
  <si>
    <t>Labor Hours - Finished Goods/Capita</t>
  </si>
  <si>
    <t>Industrial Finished Goods</t>
  </si>
  <si>
    <t>Start Population</t>
  </si>
  <si>
    <t>PEAK</t>
  </si>
  <si>
    <t>START</t>
  </si>
  <si>
    <t>Select Profile:</t>
  </si>
  <si>
    <t>Death/100000</t>
  </si>
  <si>
    <t>Marriage %</t>
  </si>
  <si>
    <t>M:F Ratio</t>
  </si>
  <si>
    <t>F:M Ratio</t>
  </si>
  <si>
    <t>Trip Growth</t>
  </si>
  <si>
    <t>21-27</t>
  </si>
  <si>
    <t>28-34</t>
  </si>
  <si>
    <t>35-41</t>
  </si>
  <si>
    <t>42-48</t>
  </si>
  <si>
    <t>49-55</t>
  </si>
  <si>
    <t>56-62</t>
  </si>
  <si>
    <t>Elderly</t>
  </si>
  <si>
    <t>Workforce</t>
  </si>
  <si>
    <t>General</t>
  </si>
  <si>
    <t>Mission Arrival</t>
  </si>
  <si>
    <t>Return</t>
  </si>
  <si>
    <t>Reproduction Model</t>
  </si>
  <si>
    <t>Target</t>
  </si>
  <si>
    <t>balanced</t>
  </si>
  <si>
    <t>Balanced Population Level based on developed technological cultures</t>
  </si>
  <si>
    <t>island</t>
  </si>
  <si>
    <t>Based on Polynsesian colonization. Primarily unmarried people in their 20s</t>
  </si>
  <si>
    <t>growth</t>
  </si>
  <si>
    <t>Minimizes starting population - Young crew, predominately female</t>
  </si>
  <si>
    <t>Travel Time</t>
  </si>
  <si>
    <t>Population Profile</t>
  </si>
  <si>
    <t>Time in System</t>
  </si>
  <si>
    <t>Return Trip</t>
  </si>
  <si>
    <t>Total Mission Length</t>
  </si>
  <si>
    <t>(Earth)</t>
  </si>
  <si>
    <t>Growth Knee</t>
  </si>
  <si>
    <t>Knee</t>
  </si>
  <si>
    <t>professional</t>
  </si>
  <si>
    <t>Crew composed of existing professionals. Middle aged crew, most married, some children, skews male</t>
  </si>
  <si>
    <t>Mission End</t>
  </si>
  <si>
    <t>Fuel:</t>
  </si>
  <si>
    <t>Dueterium / Lithium</t>
  </si>
  <si>
    <t>Oxygen</t>
  </si>
  <si>
    <t>Lithium Carbonate</t>
  </si>
  <si>
    <t>Carbon</t>
  </si>
  <si>
    <t>M^3</t>
  </si>
  <si>
    <t>Fuel Tank Cross Section</t>
  </si>
  <si>
    <t>Meat (kg)</t>
  </si>
  <si>
    <t>Notes: Starting population are 300 cows which will be artifically inseminated for the first few years</t>
  </si>
  <si>
    <t>Start Radius</t>
  </si>
  <si>
    <t>Spheres</t>
  </si>
  <si>
    <t>Inner Radius</t>
  </si>
  <si>
    <t>Sphere Radius</t>
  </si>
  <si>
    <t>Max Tile Size:</t>
  </si>
  <si>
    <t>Hexagon</t>
  </si>
  <si>
    <t>rad</t>
  </si>
  <si>
    <t>Util</t>
  </si>
  <si>
    <t>Tile Outer Width</t>
  </si>
  <si>
    <t>Ring</t>
  </si>
  <si>
    <t>Perimeter</t>
  </si>
  <si>
    <t>Shape</t>
  </si>
  <si>
    <t>Max D</t>
  </si>
  <si>
    <t>Tile D</t>
  </si>
  <si>
    <t>Tile Room Area</t>
  </si>
  <si>
    <t>Tiles</t>
  </si>
  <si>
    <t>Tile Area</t>
  </si>
  <si>
    <t>Ag Level</t>
  </si>
  <si>
    <t>Forest</t>
  </si>
  <si>
    <t>Residential</t>
  </si>
  <si>
    <t>Cargo/Commercial</t>
  </si>
  <si>
    <t>Tank Radius</t>
  </si>
  <si>
    <t>Future</t>
  </si>
  <si>
    <t>Forest/Orchard:</t>
  </si>
  <si>
    <t>Housing Units Per Capita</t>
  </si>
  <si>
    <t>Park/Rec/Orchard</t>
  </si>
  <si>
    <t>Couples</t>
  </si>
  <si>
    <t>Tiles:</t>
  </si>
  <si>
    <t>Energy / Day</t>
  </si>
  <si>
    <t>kwh/meter</t>
  </si>
  <si>
    <t>Reactor Efficiency</t>
  </si>
  <si>
    <t>7 billion kwh / 3100kg fuel but assume we only get 20% of that</t>
  </si>
  <si>
    <t>Musashi Class Battleships (72000 ton)</t>
  </si>
  <si>
    <t>Musashi Class Battleship</t>
  </si>
  <si>
    <t>Hex:</t>
  </si>
  <si>
    <t>D</t>
  </si>
  <si>
    <t>r</t>
  </si>
  <si>
    <t>R</t>
  </si>
  <si>
    <t>t</t>
  </si>
  <si>
    <t>Ramp + Stair Calculations</t>
  </si>
  <si>
    <t>Ramp</t>
  </si>
  <si>
    <t>dz</t>
  </si>
  <si>
    <t>Slope</t>
  </si>
  <si>
    <t>Grade</t>
  </si>
  <si>
    <t>Logistics</t>
  </si>
  <si>
    <t>Velocity</t>
  </si>
  <si>
    <t>Gamma</t>
  </si>
  <si>
    <t>V/C</t>
  </si>
  <si>
    <t>Seconds / Year</t>
  </si>
  <si>
    <t>LY</t>
  </si>
  <si>
    <t>Vearth</t>
  </si>
  <si>
    <t>http://www.math.ucr.edu/home/baez/physics/Relativity/SR/Rocket/rocket.html</t>
  </si>
  <si>
    <t>Electrical Power / dt</t>
  </si>
  <si>
    <t>Total Distance</t>
  </si>
  <si>
    <t>Ship Time</t>
  </si>
  <si>
    <t>Function Time</t>
  </si>
  <si>
    <t>Based on</t>
  </si>
  <si>
    <t>Distance (ly)</t>
  </si>
  <si>
    <t>Distance (m)</t>
  </si>
  <si>
    <t>Time (yr)</t>
  </si>
  <si>
    <t>Time (s)</t>
  </si>
  <si>
    <t>Map Time (yr)</t>
  </si>
  <si>
    <t>Map Time (s)</t>
  </si>
  <si>
    <t>Midpoint</t>
  </si>
  <si>
    <t>Phase</t>
  </si>
  <si>
    <t>Fdistance</t>
  </si>
  <si>
    <t>Arrival Time (Ship)</t>
  </si>
  <si>
    <t>Arrival Time (Map)</t>
  </si>
  <si>
    <t>Actual Mission:</t>
  </si>
  <si>
    <t>sec</t>
  </si>
  <si>
    <t>meter</t>
  </si>
  <si>
    <t>Midpoint:</t>
  </si>
  <si>
    <t>Fuel (power)</t>
  </si>
  <si>
    <t>kg/J</t>
  </si>
  <si>
    <t>Fuel / J</t>
  </si>
  <si>
    <t>kg fuel/J thrust</t>
  </si>
  <si>
    <t>Joules</t>
  </si>
  <si>
    <t>Fuel Used</t>
  </si>
  <si>
    <t>V</t>
  </si>
  <si>
    <t>Coast Phase</t>
  </si>
  <si>
    <t>map</t>
  </si>
  <si>
    <t>ship</t>
  </si>
  <si>
    <t>m/s</t>
  </si>
  <si>
    <t>c</t>
  </si>
  <si>
    <t>Travel Time (map)</t>
  </si>
  <si>
    <t>Travel Time (ship)</t>
  </si>
  <si>
    <t>yr</t>
  </si>
  <si>
    <t>Thrust Phase</t>
  </si>
  <si>
    <t xml:space="preserve">Lithium deuteride </t>
  </si>
  <si>
    <t>As Lithium Dueteride</t>
  </si>
  <si>
    <t>Thrust</t>
  </si>
  <si>
    <t>Coast Time:</t>
  </si>
  <si>
    <t>Coast Distance:</t>
  </si>
  <si>
    <t>%c</t>
  </si>
  <si>
    <t>Coast Phase Velocity</t>
  </si>
  <si>
    <t>Dist (ly)</t>
  </si>
  <si>
    <t>Vel (m/s)</t>
  </si>
  <si>
    <t>Proper Time</t>
  </si>
  <si>
    <t>Map Time</t>
  </si>
  <si>
    <t>Total Journey</t>
  </si>
  <si>
    <t>Proper</t>
  </si>
  <si>
    <t>Earth</t>
  </si>
  <si>
    <t>Coast Distance</t>
  </si>
  <si>
    <t>Constant Accelleration</t>
  </si>
  <si>
    <t>Propulsion Expellent</t>
  </si>
  <si>
    <t>Iron Oxide</t>
  </si>
  <si>
    <t>Water</t>
  </si>
  <si>
    <t>Iron</t>
  </si>
  <si>
    <t>Comet Material</t>
  </si>
  <si>
    <t>Earth to Neptune (worst case)</t>
  </si>
  <si>
    <t>Torus</t>
  </si>
  <si>
    <t>Frontal Area:</t>
  </si>
  <si>
    <t>Fuel Tank Radius</t>
  </si>
  <si>
    <t>speed of light</t>
  </si>
  <si>
    <t>seconds/year</t>
  </si>
  <si>
    <t>Power fuel per year</t>
  </si>
  <si>
    <t>Light year</t>
  </si>
  <si>
    <t>meters</t>
  </si>
  <si>
    <t>kwh/yr</t>
  </si>
  <si>
    <t>React Mass</t>
  </si>
  <si>
    <t>Interstellar Medium</t>
  </si>
  <si>
    <t>Interstellar Mass Collected</t>
  </si>
  <si>
    <t>Molecules/m^3</t>
  </si>
  <si>
    <t>Avagadro's Number</t>
  </si>
  <si>
    <t>Interstellar Atomic Mass</t>
  </si>
  <si>
    <t>Ships</t>
  </si>
  <si>
    <t>Reaction Mass</t>
  </si>
  <si>
    <t>Years</t>
  </si>
  <si>
    <t>Days</t>
  </si>
  <si>
    <t>Break Even Point for Reaction Mass Collection in Flight</t>
  </si>
  <si>
    <t>Collector Radius</t>
  </si>
  <si>
    <t>Ice Density</t>
  </si>
  <si>
    <t>Outer Radius</t>
  </si>
  <si>
    <t>Total Volume</t>
  </si>
  <si>
    <t>Cross Section Area</t>
  </si>
  <si>
    <t>Total Material Collected</t>
  </si>
  <si>
    <t>Graphite</t>
  </si>
  <si>
    <t>Long Ton</t>
  </si>
  <si>
    <t>Steel Support</t>
  </si>
  <si>
    <t>Spherical Tank</t>
  </si>
  <si>
    <t>Cylindrical Tank</t>
  </si>
  <si>
    <t>Psyche</t>
  </si>
  <si>
    <t>Ceres</t>
  </si>
  <si>
    <t>France</t>
  </si>
  <si>
    <t>FRA</t>
  </si>
  <si>
    <t>Switzerland</t>
  </si>
  <si>
    <t>SWI</t>
  </si>
  <si>
    <t>Germany</t>
  </si>
  <si>
    <t>Haiti</t>
  </si>
  <si>
    <t>Kiribati</t>
  </si>
  <si>
    <t>CIA World Factbook, 2010</t>
  </si>
  <si>
    <t>Rank</t>
  </si>
  <si>
    <t>Start Date:</t>
  </si>
  <si>
    <t>Arrived</t>
  </si>
  <si>
    <t>Mission:</t>
  </si>
  <si>
    <t>Depart:</t>
  </si>
  <si>
    <t>Return:</t>
  </si>
  <si>
    <t>Relativity</t>
  </si>
  <si>
    <t>M</t>
  </si>
  <si>
    <t>F</t>
  </si>
  <si>
    <t>Pool</t>
  </si>
  <si>
    <t>Mission Departure Date</t>
  </si>
  <si>
    <t>Julian Day</t>
  </si>
  <si>
    <t>Launch Date</t>
  </si>
  <si>
    <t>Earth Time</t>
  </si>
  <si>
    <t>Earth Date</t>
  </si>
  <si>
    <t>Coast Phase Begin</t>
  </si>
  <si>
    <t>Julian Date</t>
  </si>
  <si>
    <t>Acceleration</t>
  </si>
  <si>
    <t>Coast Speed</t>
  </si>
  <si>
    <t>Coast Phase Ends</t>
  </si>
  <si>
    <t>dEarth yr</t>
  </si>
  <si>
    <t>Mission Year Zero</t>
  </si>
  <si>
    <t>Arrival Date</t>
  </si>
  <si>
    <t>Mission Arrival Date</t>
  </si>
  <si>
    <t>UUID Generator</t>
  </si>
  <si>
    <t>Random Day</t>
  </si>
  <si>
    <t>Rand Number</t>
  </si>
  <si>
    <t>AD</t>
  </si>
  <si>
    <t>Decode Day</t>
  </si>
  <si>
    <t>Decode Julian</t>
  </si>
  <si>
    <t>2045-01-05</t>
  </si>
  <si>
    <t>25e139</t>
  </si>
  <si>
    <t>Relativistic Formulas</t>
  </si>
  <si>
    <t>Date</t>
  </si>
  <si>
    <t>Day of Year</t>
  </si>
  <si>
    <t>Mission Day</t>
  </si>
  <si>
    <t>Earth Day</t>
  </si>
  <si>
    <t>Rel Dist</t>
  </si>
  <si>
    <t>Calendar Start</t>
  </si>
  <si>
    <t>Day</t>
  </si>
  <si>
    <t>Month</t>
  </si>
  <si>
    <t>Holiday</t>
  </si>
  <si>
    <t>Length</t>
  </si>
  <si>
    <t>Retniw</t>
  </si>
  <si>
    <t>January</t>
  </si>
  <si>
    <t>February</t>
  </si>
  <si>
    <t>March</t>
  </si>
  <si>
    <t>Gnirps</t>
  </si>
  <si>
    <t>April</t>
  </si>
  <si>
    <t>May</t>
  </si>
  <si>
    <t>June</t>
  </si>
  <si>
    <t>Remmus</t>
  </si>
  <si>
    <t>July</t>
  </si>
  <si>
    <t>August</t>
  </si>
  <si>
    <t>September</t>
  </si>
  <si>
    <t>Numtua</t>
  </si>
  <si>
    <t>October</t>
  </si>
  <si>
    <t>November</t>
  </si>
  <si>
    <t>December</t>
  </si>
  <si>
    <t>Births</t>
  </si>
  <si>
    <t>Nice Info to Know</t>
  </si>
  <si>
    <t>Total Days:</t>
  </si>
  <si>
    <t>L.E.</t>
  </si>
  <si>
    <t>Diversity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</si>
</sst>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(&quot;$&quot;* #,##0.00_);_(&quot;$&quot;* \(#,##0.00\);_(&quot;$&quot;* &quot;-&quot;??_);_(@_)"/>
    <numFmt numFmtId="164" formatCode="0.0"/>
    <numFmt numFmtId="165" formatCode="0.0000000"/>
    <numFmt numFmtId="166" formatCode="#,##0.0"/>
    <numFmt numFmtId="167" formatCode="0.00000E+00"/>
    <numFmt numFmtId="168" formatCode="0.0%"/>
    <numFmt numFmtId="169" formatCode="0.00000"/>
    <numFmt numFmtId="170" formatCode="0.0000"/>
    <numFmt numFmtId="171" formatCode="0.000"/>
    <numFmt numFmtId="172" formatCode="0.000E+00"/>
    <numFmt numFmtId="173" formatCode="0.0000000000"/>
    <numFmt numFmtId="174" formatCode="0.0000%"/>
    <numFmt numFmtId="175" formatCode="0.00000000"/>
    <numFmt numFmtId="176" formatCode="0.0000E+00"/>
    <numFmt numFmtId="177" formatCode="0.00000000000"/>
    <numFmt numFmtId="178" formatCode="0.000%"/>
    <numFmt numFmtId="179" formatCode="yyyy\-mm\-dd;@"/>
  </numFmts>
  <fonts count="2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rgb="FF333333"/>
      <name val="Times New Roman"/>
      <family val="1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Arial"/>
      <family val="2"/>
    </font>
    <font>
      <sz val="14"/>
      <color rgb="FF222222"/>
      <name val="Arial"/>
      <family val="2"/>
    </font>
    <font>
      <sz val="10"/>
      <color rgb="FF000000"/>
      <name val="Arial Unicode MS"/>
      <family val="2"/>
    </font>
    <font>
      <sz val="14"/>
      <color rgb="FF000099"/>
      <name val="-webkit-standard"/>
    </font>
    <font>
      <sz val="13"/>
      <color rgb="FF333333"/>
      <name val="Arial"/>
      <family val="2"/>
    </font>
    <font>
      <sz val="11"/>
      <color rgb="FF4D4D4D"/>
      <name val="Arial"/>
      <family val="2"/>
    </font>
    <font>
      <b/>
      <sz val="12"/>
      <color theme="1"/>
      <name val="Calibri"/>
      <family val="2"/>
      <scheme val="minor"/>
    </font>
    <font>
      <sz val="13"/>
      <color rgb="FF000000"/>
      <name val="Georgia"/>
      <family val="1"/>
    </font>
    <font>
      <sz val="13"/>
      <color rgb="FF666666"/>
      <name val="Arial"/>
      <family val="2"/>
    </font>
    <font>
      <i/>
      <sz val="12"/>
      <color theme="1"/>
      <name val="Calibri"/>
      <family val="2"/>
      <scheme val="minor"/>
    </font>
    <font>
      <i/>
      <u/>
      <sz val="12"/>
      <color theme="1"/>
      <name val="Calibri"/>
      <family val="2"/>
      <scheme val="minor"/>
    </font>
    <font>
      <sz val="11"/>
      <color rgb="FF666666"/>
      <name val="Geneva"/>
      <family val="2"/>
    </font>
    <font>
      <sz val="11"/>
      <color rgb="FF707070"/>
      <name val="Verdana"/>
      <family val="2"/>
    </font>
    <font>
      <sz val="16"/>
      <color rgb="FF000066"/>
      <name val="Times New Roman"/>
      <family val="1"/>
    </font>
    <font>
      <sz val="16"/>
      <color rgb="FF000066"/>
      <name val="Georgia"/>
      <family val="1"/>
    </font>
    <font>
      <sz val="12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3F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16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1" fontId="0" fillId="2" borderId="0" xfId="0" applyNumberFormat="1" applyFill="1"/>
    <xf numFmtId="0" fontId="0" fillId="0" borderId="0" xfId="0" applyFill="1"/>
    <xf numFmtId="0" fontId="0" fillId="4" borderId="0" xfId="0" applyFill="1"/>
    <xf numFmtId="0" fontId="0" fillId="4" borderId="0" xfId="0" applyFill="1" applyAlignment="1">
      <alignment horizontal="center"/>
    </xf>
    <xf numFmtId="1" fontId="0" fillId="4" borderId="0" xfId="0" applyNumberFormat="1" applyFill="1" applyAlignment="1">
      <alignment horizontal="center"/>
    </xf>
    <xf numFmtId="165" fontId="0" fillId="0" borderId="0" xfId="0" applyNumberFormat="1"/>
    <xf numFmtId="2" fontId="0" fillId="0" borderId="0" xfId="0" applyNumberFormat="1" applyFill="1"/>
    <xf numFmtId="164" fontId="0" fillId="5" borderId="0" xfId="0" applyNumberFormat="1" applyFill="1"/>
    <xf numFmtId="164" fontId="0" fillId="6" borderId="0" xfId="0" applyNumberFormat="1" applyFill="1"/>
    <xf numFmtId="164" fontId="0" fillId="0" borderId="0" xfId="0" applyNumberFormat="1" applyFill="1"/>
    <xf numFmtId="0" fontId="0" fillId="3" borderId="0" xfId="0" applyFill="1"/>
    <xf numFmtId="164" fontId="0" fillId="3" borderId="0" xfId="0" applyNumberFormat="1" applyFill="1"/>
    <xf numFmtId="164" fontId="0" fillId="7" borderId="0" xfId="0" applyNumberFormat="1" applyFill="1"/>
    <xf numFmtId="0" fontId="0" fillId="0" borderId="0" xfId="0" applyAlignment="1"/>
    <xf numFmtId="166" fontId="2" fillId="0" borderId="0" xfId="0" applyNumberFormat="1" applyFont="1"/>
    <xf numFmtId="167" fontId="0" fillId="0" borderId="0" xfId="0" applyNumberFormat="1"/>
    <xf numFmtId="0" fontId="0" fillId="0" borderId="0" xfId="0" applyNumberFormat="1"/>
    <xf numFmtId="0" fontId="3" fillId="0" borderId="0" xfId="2"/>
    <xf numFmtId="168" fontId="0" fillId="0" borderId="0" xfId="1" applyNumberFormat="1" applyFont="1"/>
    <xf numFmtId="0" fontId="0" fillId="0" borderId="0" xfId="0" applyAlignment="1">
      <alignment horizontal="center"/>
    </xf>
    <xf numFmtId="0" fontId="0" fillId="6" borderId="1" xfId="0" applyFill="1" applyBorder="1"/>
    <xf numFmtId="0" fontId="0" fillId="6" borderId="2" xfId="0" applyFill="1" applyBorder="1"/>
    <xf numFmtId="0" fontId="0" fillId="6" borderId="3" xfId="0" applyFill="1" applyBorder="1"/>
    <xf numFmtId="0" fontId="4" fillId="6" borderId="4" xfId="0" applyFont="1" applyFill="1" applyBorder="1"/>
    <xf numFmtId="0" fontId="4" fillId="6" borderId="5" xfId="0" applyFont="1" applyFill="1" applyBorder="1"/>
    <xf numFmtId="0" fontId="4" fillId="6" borderId="6" xfId="0" applyFont="1" applyFill="1" applyBorder="1"/>
    <xf numFmtId="0" fontId="0" fillId="8" borderId="1" xfId="0" applyFill="1" applyBorder="1"/>
    <xf numFmtId="0" fontId="0" fillId="5" borderId="1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9" fontId="0" fillId="0" borderId="0" xfId="1" applyFont="1"/>
    <xf numFmtId="0" fontId="5" fillId="0" borderId="0" xfId="0" applyFon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1" fontId="0" fillId="3" borderId="0" xfId="0" applyNumberFormat="1" applyFill="1"/>
    <xf numFmtId="0" fontId="0" fillId="0" borderId="0" xfId="0" applyFont="1"/>
    <xf numFmtId="11" fontId="0" fillId="9" borderId="0" xfId="0" applyNumberFormat="1" applyFill="1"/>
    <xf numFmtId="0" fontId="0" fillId="10" borderId="0" xfId="0" applyFill="1"/>
    <xf numFmtId="11" fontId="0" fillId="10" borderId="0" xfId="0" applyNumberFormat="1" applyFill="1"/>
    <xf numFmtId="11" fontId="0" fillId="6" borderId="0" xfId="0" applyNumberFormat="1" applyFill="1"/>
    <xf numFmtId="11" fontId="4" fillId="0" borderId="0" xfId="0" applyNumberFormat="1" applyFont="1"/>
    <xf numFmtId="164" fontId="0" fillId="9" borderId="0" xfId="0" applyNumberFormat="1" applyFill="1"/>
    <xf numFmtId="11" fontId="0" fillId="0" borderId="0" xfId="0" applyNumberFormat="1" applyFill="1"/>
    <xf numFmtId="1" fontId="0" fillId="0" borderId="0" xfId="0" applyNumberFormat="1"/>
    <xf numFmtId="0" fontId="0" fillId="9" borderId="0" xfId="0" applyFill="1"/>
    <xf numFmtId="2" fontId="0" fillId="0" borderId="0" xfId="0" applyNumberFormat="1" applyAlignment="1">
      <alignment horizontal="center"/>
    </xf>
    <xf numFmtId="0" fontId="6" fillId="0" borderId="0" xfId="0" applyFont="1"/>
    <xf numFmtId="2" fontId="0" fillId="7" borderId="0" xfId="0" applyNumberFormat="1" applyFill="1"/>
    <xf numFmtId="172" fontId="0" fillId="11" borderId="0" xfId="0" applyNumberFormat="1" applyFill="1"/>
    <xf numFmtId="172" fontId="0" fillId="9" borderId="0" xfId="0" applyNumberFormat="1" applyFill="1"/>
    <xf numFmtId="0" fontId="7" fillId="0" borderId="0" xfId="0" applyFont="1"/>
    <xf numFmtId="0" fontId="0" fillId="12" borderId="0" xfId="0" applyFill="1"/>
    <xf numFmtId="3" fontId="0" fillId="0" borderId="0" xfId="0" applyNumberFormat="1"/>
    <xf numFmtId="1" fontId="0" fillId="0" borderId="0" xfId="0" applyNumberFormat="1" applyFill="1"/>
    <xf numFmtId="2" fontId="0" fillId="9" borderId="0" xfId="0" applyNumberFormat="1" applyFill="1"/>
    <xf numFmtId="11" fontId="0" fillId="0" borderId="0" xfId="1" applyNumberFormat="1" applyFont="1"/>
    <xf numFmtId="0" fontId="8" fillId="0" borderId="0" xfId="0" applyFont="1"/>
    <xf numFmtId="3" fontId="8" fillId="0" borderId="0" xfId="0" applyNumberFormat="1" applyFont="1"/>
    <xf numFmtId="2" fontId="0" fillId="0" borderId="0" xfId="1" applyNumberFormat="1" applyFont="1"/>
    <xf numFmtId="0" fontId="9" fillId="0" borderId="0" xfId="0" applyFont="1"/>
    <xf numFmtId="0" fontId="4" fillId="0" borderId="0" xfId="0" applyFont="1"/>
    <xf numFmtId="11" fontId="0" fillId="0" borderId="0" xfId="0" applyNumberFormat="1" applyAlignment="1"/>
    <xf numFmtId="173" fontId="0" fillId="0" borderId="0" xfId="0" applyNumberFormat="1"/>
    <xf numFmtId="0" fontId="10" fillId="0" borderId="0" xfId="0" applyFont="1"/>
    <xf numFmtId="44" fontId="0" fillId="0" borderId="0" xfId="3" applyFont="1"/>
    <xf numFmtId="0" fontId="0" fillId="0" borderId="0" xfId="0" applyAlignment="1">
      <alignment horizontal="center"/>
    </xf>
    <xf numFmtId="174" fontId="0" fillId="0" borderId="0" xfId="1" applyNumberFormat="1" applyFont="1"/>
    <xf numFmtId="0" fontId="0" fillId="0" borderId="0" xfId="0" applyAlignment="1">
      <alignment horizontal="center"/>
    </xf>
    <xf numFmtId="0" fontId="12" fillId="0" borderId="0" xfId="0" applyFont="1"/>
    <xf numFmtId="171" fontId="7" fillId="0" borderId="0" xfId="0" applyNumberFormat="1" applyFont="1"/>
    <xf numFmtId="2" fontId="7" fillId="0" borderId="0" xfId="0" applyNumberFormat="1" applyFont="1"/>
    <xf numFmtId="164" fontId="7" fillId="0" borderId="0" xfId="0" applyNumberFormat="1" applyFont="1"/>
    <xf numFmtId="11" fontId="7" fillId="0" borderId="0" xfId="0" applyNumberFormat="1" applyFont="1"/>
    <xf numFmtId="0" fontId="11" fillId="0" borderId="0" xfId="0" applyFont="1"/>
    <xf numFmtId="0" fontId="0" fillId="9" borderId="0" xfId="0" applyFont="1" applyFill="1"/>
    <xf numFmtId="0" fontId="0" fillId="8" borderId="0" xfId="0" applyFill="1" applyBorder="1"/>
    <xf numFmtId="0" fontId="0" fillId="8" borderId="4" xfId="0" applyFill="1" applyBorder="1"/>
    <xf numFmtId="0" fontId="0" fillId="8" borderId="5" xfId="0" applyFill="1" applyBorder="1"/>
    <xf numFmtId="11" fontId="0" fillId="8" borderId="0" xfId="0" applyNumberFormat="1" applyFill="1"/>
    <xf numFmtId="2" fontId="0" fillId="8" borderId="0" xfId="0" applyNumberFormat="1" applyFill="1"/>
    <xf numFmtId="164" fontId="0" fillId="8" borderId="0" xfId="0" applyNumberFormat="1" applyFill="1"/>
    <xf numFmtId="3" fontId="0" fillId="0" borderId="0" xfId="0" applyNumberFormat="1" applyFont="1"/>
    <xf numFmtId="10" fontId="0" fillId="0" borderId="0" xfId="0" applyNumberFormat="1"/>
    <xf numFmtId="0" fontId="13" fillId="0" borderId="0" xfId="0" applyFont="1"/>
    <xf numFmtId="0" fontId="0" fillId="0" borderId="0" xfId="0" applyBorder="1"/>
    <xf numFmtId="2" fontId="0" fillId="10" borderId="0" xfId="0" applyNumberFormat="1" applyFill="1"/>
    <xf numFmtId="0" fontId="14" fillId="0" borderId="0" xfId="0" applyFont="1"/>
    <xf numFmtId="0" fontId="15" fillId="0" borderId="0" xfId="0" applyFont="1"/>
    <xf numFmtId="2" fontId="0" fillId="0" borderId="0" xfId="1" applyNumberFormat="1" applyFont="1" applyFill="1"/>
    <xf numFmtId="1" fontId="0" fillId="2" borderId="0" xfId="0" applyNumberFormat="1" applyFill="1" applyAlignment="1"/>
    <xf numFmtId="0" fontId="0" fillId="13" borderId="0" xfId="0" applyFill="1"/>
    <xf numFmtId="2" fontId="0" fillId="13" borderId="0" xfId="0" applyNumberFormat="1" applyFill="1"/>
    <xf numFmtId="164" fontId="0" fillId="13" borderId="0" xfId="0" applyNumberFormat="1" applyFill="1"/>
    <xf numFmtId="11" fontId="6" fillId="0" borderId="0" xfId="0" applyNumberFormat="1" applyFont="1"/>
    <xf numFmtId="0" fontId="0" fillId="0" borderId="1" xfId="0" applyBorder="1"/>
    <xf numFmtId="0" fontId="0" fillId="0" borderId="3" xfId="0" applyBorder="1"/>
    <xf numFmtId="0" fontId="0" fillId="0" borderId="8" xfId="0" applyBorder="1"/>
    <xf numFmtId="0" fontId="0" fillId="0" borderId="9" xfId="0" applyBorder="1"/>
    <xf numFmtId="1" fontId="0" fillId="0" borderId="8" xfId="0" applyNumberFormat="1" applyBorder="1"/>
    <xf numFmtId="0" fontId="0" fillId="14" borderId="0" xfId="0" applyFill="1"/>
    <xf numFmtId="0" fontId="0" fillId="7" borderId="1" xfId="0" applyFill="1" applyBorder="1"/>
    <xf numFmtId="2" fontId="0" fillId="7" borderId="2" xfId="0" applyNumberFormat="1" applyFill="1" applyBorder="1"/>
    <xf numFmtId="0" fontId="0" fillId="7" borderId="2" xfId="0" applyFill="1" applyBorder="1"/>
    <xf numFmtId="164" fontId="0" fillId="7" borderId="2" xfId="0" applyNumberFormat="1" applyFill="1" applyBorder="1"/>
    <xf numFmtId="0" fontId="0" fillId="7" borderId="3" xfId="0" applyFill="1" applyBorder="1"/>
    <xf numFmtId="0" fontId="0" fillId="7" borderId="8" xfId="0" applyFill="1" applyBorder="1"/>
    <xf numFmtId="2" fontId="0" fillId="7" borderId="0" xfId="0" applyNumberFormat="1" applyFill="1" applyBorder="1"/>
    <xf numFmtId="164" fontId="0" fillId="7" borderId="0" xfId="0" applyNumberFormat="1" applyFill="1" applyBorder="1"/>
    <xf numFmtId="1" fontId="0" fillId="7" borderId="0" xfId="0" applyNumberFormat="1" applyFill="1" applyBorder="1"/>
    <xf numFmtId="0" fontId="0" fillId="7" borderId="9" xfId="0" applyFill="1" applyBorder="1"/>
    <xf numFmtId="0" fontId="0" fillId="7" borderId="0" xfId="0" applyFill="1" applyBorder="1"/>
    <xf numFmtId="164" fontId="0" fillId="7" borderId="9" xfId="0" applyNumberFormat="1" applyFill="1" applyBorder="1"/>
    <xf numFmtId="0" fontId="0" fillId="7" borderId="4" xfId="0" applyFill="1" applyBorder="1"/>
    <xf numFmtId="0" fontId="0" fillId="7" borderId="5" xfId="0" applyFill="1" applyBorder="1"/>
    <xf numFmtId="0" fontId="0" fillId="7" borderId="6" xfId="0" applyFill="1" applyBorder="1"/>
    <xf numFmtId="2" fontId="0" fillId="0" borderId="0" xfId="0" applyNumberFormat="1" applyBorder="1"/>
    <xf numFmtId="0" fontId="0" fillId="7" borderId="7" xfId="0" applyFill="1" applyBorder="1"/>
    <xf numFmtId="0" fontId="0" fillId="15" borderId="7" xfId="0" applyFill="1" applyBorder="1"/>
    <xf numFmtId="2" fontId="0" fillId="15" borderId="7" xfId="0" applyNumberFormat="1" applyFill="1" applyBorder="1"/>
    <xf numFmtId="0" fontId="0" fillId="7" borderId="10" xfId="0" applyFill="1" applyBorder="1"/>
    <xf numFmtId="0" fontId="0" fillId="0" borderId="0" xfId="0" applyFill="1" applyBorder="1"/>
    <xf numFmtId="0" fontId="0" fillId="0" borderId="0" xfId="0" applyAlignment="1">
      <alignment horizontal="center"/>
    </xf>
    <xf numFmtId="175" fontId="0" fillId="0" borderId="0" xfId="0" applyNumberFormat="1"/>
    <xf numFmtId="164" fontId="0" fillId="0" borderId="0" xfId="0" applyNumberFormat="1" applyAlignment="1"/>
    <xf numFmtId="176" fontId="0" fillId="0" borderId="0" xfId="0" applyNumberFormat="1"/>
    <xf numFmtId="11" fontId="5" fillId="0" borderId="0" xfId="0" applyNumberFormat="1" applyFont="1"/>
    <xf numFmtId="0" fontId="0" fillId="7" borderId="0" xfId="0" applyFill="1"/>
    <xf numFmtId="175" fontId="0" fillId="0" borderId="0" xfId="0" applyNumberFormat="1" applyFill="1"/>
    <xf numFmtId="177" fontId="0" fillId="0" borderId="0" xfId="0" applyNumberFormat="1" applyFill="1"/>
    <xf numFmtId="169" fontId="0" fillId="7" borderId="0" xfId="0" applyNumberFormat="1" applyFill="1"/>
    <xf numFmtId="172" fontId="0" fillId="7" borderId="0" xfId="0" applyNumberFormat="1" applyFill="1"/>
    <xf numFmtId="0" fontId="0" fillId="8" borderId="0" xfId="0" applyFill="1"/>
    <xf numFmtId="171" fontId="0" fillId="8" borderId="0" xfId="0" applyNumberFormat="1" applyFill="1"/>
    <xf numFmtId="172" fontId="0" fillId="8" borderId="0" xfId="0" applyNumberFormat="1" applyFill="1"/>
    <xf numFmtId="178" fontId="0" fillId="0" borderId="0" xfId="1" applyNumberFormat="1" applyFont="1"/>
    <xf numFmtId="0" fontId="0" fillId="16" borderId="0" xfId="0" applyFill="1"/>
    <xf numFmtId="11" fontId="0" fillId="16" borderId="0" xfId="0" applyNumberFormat="1" applyFill="1"/>
    <xf numFmtId="2" fontId="0" fillId="16" borderId="0" xfId="0" applyNumberFormat="1" applyFill="1"/>
    <xf numFmtId="172" fontId="0" fillId="16" borderId="0" xfId="0" applyNumberFormat="1" applyFill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14" fontId="0" fillId="0" borderId="0" xfId="0" applyNumberFormat="1"/>
    <xf numFmtId="49" fontId="0" fillId="0" borderId="0" xfId="0" applyNumberFormat="1"/>
    <xf numFmtId="14" fontId="0" fillId="7" borderId="0" xfId="0" applyNumberFormat="1" applyFill="1"/>
    <xf numFmtId="49" fontId="20" fillId="0" borderId="0" xfId="0" applyNumberFormat="1" applyFont="1"/>
    <xf numFmtId="179" fontId="0" fillId="0" borderId="0" xfId="0" applyNumberFormat="1"/>
    <xf numFmtId="2" fontId="0" fillId="0" borderId="0" xfId="0" applyNumberFormat="1" applyAlignment="1"/>
    <xf numFmtId="0" fontId="0" fillId="6" borderId="0" xfId="0" applyFill="1"/>
    <xf numFmtId="2" fontId="0" fillId="6" borderId="0" xfId="0" applyNumberFormat="1" applyFill="1"/>
    <xf numFmtId="0" fontId="0" fillId="0" borderId="0" xfId="0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4">
    <cellStyle name="Currency" xfId="3" builtinId="4"/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C3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Population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'Population Model'!$B$1</c:f>
              <c:strCache>
                <c:ptCount val="1"/>
                <c:pt idx="0">
                  <c:v>Population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'Population Model'!$A$2:$A$115</c:f>
              <c:numCache>
                <c:formatCode>General</c:formatCode>
                <c:ptCount val="114"/>
                <c:pt idx="1">
                  <c:v>0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  <c:pt idx="12">
                  <c:v>11</c:v>
                </c:pt>
                <c:pt idx="13">
                  <c:v>12</c:v>
                </c:pt>
                <c:pt idx="14">
                  <c:v>13</c:v>
                </c:pt>
                <c:pt idx="15">
                  <c:v>14</c:v>
                </c:pt>
                <c:pt idx="16">
                  <c:v>15</c:v>
                </c:pt>
                <c:pt idx="17">
                  <c:v>16</c:v>
                </c:pt>
                <c:pt idx="18">
                  <c:v>17</c:v>
                </c:pt>
                <c:pt idx="19">
                  <c:v>18</c:v>
                </c:pt>
                <c:pt idx="20">
                  <c:v>19</c:v>
                </c:pt>
                <c:pt idx="21">
                  <c:v>20</c:v>
                </c:pt>
                <c:pt idx="22">
                  <c:v>21</c:v>
                </c:pt>
                <c:pt idx="23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5">
                  <c:v>34</c:v>
                </c:pt>
                <c:pt idx="36">
                  <c:v>35</c:v>
                </c:pt>
                <c:pt idx="37">
                  <c:v>36</c:v>
                </c:pt>
                <c:pt idx="38">
                  <c:v>37</c:v>
                </c:pt>
                <c:pt idx="39">
                  <c:v>38</c:v>
                </c:pt>
                <c:pt idx="40">
                  <c:v>39</c:v>
                </c:pt>
                <c:pt idx="41">
                  <c:v>40</c:v>
                </c:pt>
                <c:pt idx="42">
                  <c:v>41</c:v>
                </c:pt>
                <c:pt idx="43">
                  <c:v>42</c:v>
                </c:pt>
                <c:pt idx="44">
                  <c:v>43</c:v>
                </c:pt>
                <c:pt idx="45">
                  <c:v>44</c:v>
                </c:pt>
                <c:pt idx="46">
                  <c:v>45</c:v>
                </c:pt>
                <c:pt idx="47">
                  <c:v>46</c:v>
                </c:pt>
                <c:pt idx="48">
                  <c:v>47</c:v>
                </c:pt>
                <c:pt idx="49">
                  <c:v>48</c:v>
                </c:pt>
                <c:pt idx="50">
                  <c:v>49</c:v>
                </c:pt>
                <c:pt idx="51">
                  <c:v>50</c:v>
                </c:pt>
                <c:pt idx="52">
                  <c:v>51</c:v>
                </c:pt>
                <c:pt idx="53">
                  <c:v>52</c:v>
                </c:pt>
                <c:pt idx="54">
                  <c:v>53</c:v>
                </c:pt>
                <c:pt idx="55">
                  <c:v>54</c:v>
                </c:pt>
                <c:pt idx="56">
                  <c:v>55</c:v>
                </c:pt>
                <c:pt idx="57">
                  <c:v>56</c:v>
                </c:pt>
                <c:pt idx="58">
                  <c:v>57</c:v>
                </c:pt>
                <c:pt idx="59">
                  <c:v>58</c:v>
                </c:pt>
                <c:pt idx="60">
                  <c:v>59</c:v>
                </c:pt>
                <c:pt idx="61">
                  <c:v>60</c:v>
                </c:pt>
                <c:pt idx="62">
                  <c:v>61</c:v>
                </c:pt>
                <c:pt idx="63">
                  <c:v>62</c:v>
                </c:pt>
                <c:pt idx="64">
                  <c:v>63</c:v>
                </c:pt>
                <c:pt idx="65">
                  <c:v>64</c:v>
                </c:pt>
                <c:pt idx="66">
                  <c:v>65</c:v>
                </c:pt>
                <c:pt idx="67">
                  <c:v>66</c:v>
                </c:pt>
                <c:pt idx="68">
                  <c:v>67</c:v>
                </c:pt>
                <c:pt idx="69">
                  <c:v>68</c:v>
                </c:pt>
                <c:pt idx="70">
                  <c:v>69</c:v>
                </c:pt>
                <c:pt idx="71">
                  <c:v>70</c:v>
                </c:pt>
                <c:pt idx="72">
                  <c:v>71</c:v>
                </c:pt>
                <c:pt idx="73">
                  <c:v>72</c:v>
                </c:pt>
                <c:pt idx="74">
                  <c:v>73</c:v>
                </c:pt>
                <c:pt idx="75">
                  <c:v>74</c:v>
                </c:pt>
                <c:pt idx="76">
                  <c:v>75</c:v>
                </c:pt>
                <c:pt idx="77">
                  <c:v>76</c:v>
                </c:pt>
                <c:pt idx="78">
                  <c:v>77</c:v>
                </c:pt>
                <c:pt idx="79">
                  <c:v>78</c:v>
                </c:pt>
                <c:pt idx="80">
                  <c:v>79</c:v>
                </c:pt>
                <c:pt idx="81">
                  <c:v>80</c:v>
                </c:pt>
                <c:pt idx="82">
                  <c:v>81</c:v>
                </c:pt>
                <c:pt idx="83">
                  <c:v>82</c:v>
                </c:pt>
                <c:pt idx="84">
                  <c:v>83</c:v>
                </c:pt>
                <c:pt idx="85">
                  <c:v>84</c:v>
                </c:pt>
                <c:pt idx="86">
                  <c:v>85</c:v>
                </c:pt>
                <c:pt idx="87">
                  <c:v>86</c:v>
                </c:pt>
                <c:pt idx="88">
                  <c:v>87</c:v>
                </c:pt>
                <c:pt idx="89">
                  <c:v>88</c:v>
                </c:pt>
                <c:pt idx="90">
                  <c:v>89</c:v>
                </c:pt>
                <c:pt idx="91">
                  <c:v>90</c:v>
                </c:pt>
                <c:pt idx="92">
                  <c:v>91</c:v>
                </c:pt>
                <c:pt idx="93">
                  <c:v>92</c:v>
                </c:pt>
                <c:pt idx="94">
                  <c:v>93</c:v>
                </c:pt>
                <c:pt idx="95">
                  <c:v>94</c:v>
                </c:pt>
                <c:pt idx="96">
                  <c:v>95</c:v>
                </c:pt>
                <c:pt idx="97">
                  <c:v>96</c:v>
                </c:pt>
                <c:pt idx="98">
                  <c:v>97</c:v>
                </c:pt>
                <c:pt idx="99">
                  <c:v>98</c:v>
                </c:pt>
                <c:pt idx="100">
                  <c:v>99</c:v>
                </c:pt>
                <c:pt idx="101">
                  <c:v>100</c:v>
                </c:pt>
                <c:pt idx="102">
                  <c:v>101</c:v>
                </c:pt>
                <c:pt idx="103">
                  <c:v>102</c:v>
                </c:pt>
                <c:pt idx="104">
                  <c:v>103</c:v>
                </c:pt>
                <c:pt idx="105">
                  <c:v>104</c:v>
                </c:pt>
                <c:pt idx="106">
                  <c:v>105</c:v>
                </c:pt>
                <c:pt idx="107">
                  <c:v>106</c:v>
                </c:pt>
                <c:pt idx="108">
                  <c:v>107</c:v>
                </c:pt>
                <c:pt idx="109">
                  <c:v>108</c:v>
                </c:pt>
                <c:pt idx="110">
                  <c:v>109</c:v>
                </c:pt>
                <c:pt idx="111">
                  <c:v>110</c:v>
                </c:pt>
                <c:pt idx="112">
                  <c:v>111</c:v>
                </c:pt>
                <c:pt idx="113">
                  <c:v>112</c:v>
                </c:pt>
              </c:numCache>
            </c:numRef>
          </c:xVal>
          <c:yVal>
            <c:numRef>
              <c:f>'Population Model'!$B$2:$B$115</c:f>
              <c:numCache>
                <c:formatCode>0.00</c:formatCode>
                <c:ptCount val="114"/>
                <c:pt idx="0">
                  <c:v>600</c:v>
                </c:pt>
                <c:pt idx="1">
                  <c:v>599</c:v>
                </c:pt>
                <c:pt idx="2">
                  <c:v>673</c:v>
                </c:pt>
                <c:pt idx="3">
                  <c:v>802</c:v>
                </c:pt>
                <c:pt idx="4">
                  <c:v>921</c:v>
                </c:pt>
                <c:pt idx="5">
                  <c:v>1025</c:v>
                </c:pt>
                <c:pt idx="6">
                  <c:v>1117</c:v>
                </c:pt>
                <c:pt idx="7">
                  <c:v>1202</c:v>
                </c:pt>
                <c:pt idx="8">
                  <c:v>1281</c:v>
                </c:pt>
                <c:pt idx="9">
                  <c:v>1355</c:v>
                </c:pt>
                <c:pt idx="10">
                  <c:v>1424</c:v>
                </c:pt>
                <c:pt idx="11">
                  <c:v>1490</c:v>
                </c:pt>
                <c:pt idx="12">
                  <c:v>1553</c:v>
                </c:pt>
                <c:pt idx="13">
                  <c:v>1613</c:v>
                </c:pt>
                <c:pt idx="14">
                  <c:v>1671</c:v>
                </c:pt>
                <c:pt idx="15">
                  <c:v>1726</c:v>
                </c:pt>
                <c:pt idx="16">
                  <c:v>1780</c:v>
                </c:pt>
                <c:pt idx="17">
                  <c:v>1831</c:v>
                </c:pt>
                <c:pt idx="18">
                  <c:v>1881</c:v>
                </c:pt>
                <c:pt idx="19">
                  <c:v>1929</c:v>
                </c:pt>
                <c:pt idx="20">
                  <c:v>1975</c:v>
                </c:pt>
                <c:pt idx="21">
                  <c:v>2020</c:v>
                </c:pt>
                <c:pt idx="22">
                  <c:v>2064</c:v>
                </c:pt>
                <c:pt idx="23">
                  <c:v>2106</c:v>
                </c:pt>
                <c:pt idx="24">
                  <c:v>2147</c:v>
                </c:pt>
                <c:pt idx="25">
                  <c:v>2186</c:v>
                </c:pt>
                <c:pt idx="26">
                  <c:v>2225</c:v>
                </c:pt>
                <c:pt idx="27">
                  <c:v>2262</c:v>
                </c:pt>
                <c:pt idx="28">
                  <c:v>2297</c:v>
                </c:pt>
                <c:pt idx="29">
                  <c:v>2332</c:v>
                </c:pt>
                <c:pt idx="30">
                  <c:v>2366</c:v>
                </c:pt>
                <c:pt idx="31">
                  <c:v>2398</c:v>
                </c:pt>
                <c:pt idx="32">
                  <c:v>2430</c:v>
                </c:pt>
                <c:pt idx="33">
                  <c:v>2457</c:v>
                </c:pt>
                <c:pt idx="34">
                  <c:v>2483</c:v>
                </c:pt>
                <c:pt idx="35">
                  <c:v>2508</c:v>
                </c:pt>
                <c:pt idx="36">
                  <c:v>2533</c:v>
                </c:pt>
                <c:pt idx="37">
                  <c:v>2558</c:v>
                </c:pt>
                <c:pt idx="38">
                  <c:v>2582</c:v>
                </c:pt>
                <c:pt idx="39">
                  <c:v>2605</c:v>
                </c:pt>
                <c:pt idx="40">
                  <c:v>2629</c:v>
                </c:pt>
                <c:pt idx="41">
                  <c:v>2651</c:v>
                </c:pt>
                <c:pt idx="42">
                  <c:v>2673</c:v>
                </c:pt>
                <c:pt idx="43">
                  <c:v>2695</c:v>
                </c:pt>
                <c:pt idx="44">
                  <c:v>2716</c:v>
                </c:pt>
                <c:pt idx="45">
                  <c:v>2737</c:v>
                </c:pt>
                <c:pt idx="46">
                  <c:v>2757</c:v>
                </c:pt>
                <c:pt idx="47">
                  <c:v>2777</c:v>
                </c:pt>
                <c:pt idx="48">
                  <c:v>2796</c:v>
                </c:pt>
                <c:pt idx="49">
                  <c:v>2815</c:v>
                </c:pt>
                <c:pt idx="50">
                  <c:v>2833</c:v>
                </c:pt>
                <c:pt idx="51">
                  <c:v>2851</c:v>
                </c:pt>
                <c:pt idx="52">
                  <c:v>2868</c:v>
                </c:pt>
                <c:pt idx="53">
                  <c:v>2885</c:v>
                </c:pt>
                <c:pt idx="54">
                  <c:v>2901</c:v>
                </c:pt>
                <c:pt idx="55">
                  <c:v>2917</c:v>
                </c:pt>
                <c:pt idx="56">
                  <c:v>2932</c:v>
                </c:pt>
                <c:pt idx="57">
                  <c:v>2947</c:v>
                </c:pt>
                <c:pt idx="58">
                  <c:v>2961</c:v>
                </c:pt>
                <c:pt idx="59">
                  <c:v>2975</c:v>
                </c:pt>
                <c:pt idx="60">
                  <c:v>2988</c:v>
                </c:pt>
                <c:pt idx="61">
                  <c:v>3000</c:v>
                </c:pt>
                <c:pt idx="62">
                  <c:v>3012</c:v>
                </c:pt>
                <c:pt idx="63">
                  <c:v>3023</c:v>
                </c:pt>
                <c:pt idx="64">
                  <c:v>3034</c:v>
                </c:pt>
                <c:pt idx="65">
                  <c:v>3044</c:v>
                </c:pt>
                <c:pt idx="66">
                  <c:v>3054</c:v>
                </c:pt>
                <c:pt idx="67">
                  <c:v>3063</c:v>
                </c:pt>
                <c:pt idx="68">
                  <c:v>3071</c:v>
                </c:pt>
                <c:pt idx="69">
                  <c:v>3079</c:v>
                </c:pt>
                <c:pt idx="70">
                  <c:v>3086</c:v>
                </c:pt>
                <c:pt idx="71">
                  <c:v>3093</c:v>
                </c:pt>
                <c:pt idx="72">
                  <c:v>3099</c:v>
                </c:pt>
                <c:pt idx="73">
                  <c:v>3105</c:v>
                </c:pt>
                <c:pt idx="74">
                  <c:v>3110</c:v>
                </c:pt>
                <c:pt idx="75">
                  <c:v>3115</c:v>
                </c:pt>
                <c:pt idx="76">
                  <c:v>3119</c:v>
                </c:pt>
                <c:pt idx="77">
                  <c:v>3122</c:v>
                </c:pt>
                <c:pt idx="78">
                  <c:v>3125</c:v>
                </c:pt>
                <c:pt idx="79">
                  <c:v>3128</c:v>
                </c:pt>
                <c:pt idx="80">
                  <c:v>3130</c:v>
                </c:pt>
                <c:pt idx="81">
                  <c:v>3132</c:v>
                </c:pt>
                <c:pt idx="82">
                  <c:v>3134</c:v>
                </c:pt>
                <c:pt idx="83">
                  <c:v>3135</c:v>
                </c:pt>
                <c:pt idx="84">
                  <c:v>3135</c:v>
                </c:pt>
                <c:pt idx="85">
                  <c:v>3136</c:v>
                </c:pt>
                <c:pt idx="86">
                  <c:v>3135</c:v>
                </c:pt>
                <c:pt idx="87">
                  <c:v>3135</c:v>
                </c:pt>
                <c:pt idx="88">
                  <c:v>3134</c:v>
                </c:pt>
                <c:pt idx="89">
                  <c:v>3133</c:v>
                </c:pt>
                <c:pt idx="90">
                  <c:v>3132</c:v>
                </c:pt>
                <c:pt idx="91">
                  <c:v>3131</c:v>
                </c:pt>
                <c:pt idx="92">
                  <c:v>3129</c:v>
                </c:pt>
                <c:pt idx="93">
                  <c:v>3127</c:v>
                </c:pt>
                <c:pt idx="94">
                  <c:v>3125</c:v>
                </c:pt>
                <c:pt idx="95">
                  <c:v>3123</c:v>
                </c:pt>
                <c:pt idx="96">
                  <c:v>3120</c:v>
                </c:pt>
                <c:pt idx="97">
                  <c:v>3117</c:v>
                </c:pt>
                <c:pt idx="98">
                  <c:v>3115</c:v>
                </c:pt>
                <c:pt idx="99">
                  <c:v>3112</c:v>
                </c:pt>
                <c:pt idx="100">
                  <c:v>3109</c:v>
                </c:pt>
                <c:pt idx="101">
                  <c:v>3106</c:v>
                </c:pt>
                <c:pt idx="102">
                  <c:v>3103</c:v>
                </c:pt>
                <c:pt idx="103">
                  <c:v>3100</c:v>
                </c:pt>
                <c:pt idx="104">
                  <c:v>3096</c:v>
                </c:pt>
                <c:pt idx="105">
                  <c:v>3093</c:v>
                </c:pt>
                <c:pt idx="106">
                  <c:v>3090</c:v>
                </c:pt>
                <c:pt idx="107">
                  <c:v>3086</c:v>
                </c:pt>
                <c:pt idx="108">
                  <c:v>3083</c:v>
                </c:pt>
                <c:pt idx="109">
                  <c:v>3080</c:v>
                </c:pt>
                <c:pt idx="110">
                  <c:v>3077</c:v>
                </c:pt>
                <c:pt idx="111">
                  <c:v>3073</c:v>
                </c:pt>
                <c:pt idx="112">
                  <c:v>3070</c:v>
                </c:pt>
                <c:pt idx="113">
                  <c:v>3067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273-CF45-AA45-B4158FAEAE02}"/>
            </c:ext>
          </c:extLst>
        </c:ser>
        <c:ser>
          <c:idx val="1"/>
          <c:order val="1"/>
          <c:tx>
            <c:strRef>
              <c:f>'Population Model'!$C$1</c:f>
              <c:strCache>
                <c:ptCount val="1"/>
                <c:pt idx="0">
                  <c:v>Workforce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'Population Model'!$A$2:$A$115</c:f>
              <c:numCache>
                <c:formatCode>General</c:formatCode>
                <c:ptCount val="114"/>
                <c:pt idx="1">
                  <c:v>0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  <c:pt idx="12">
                  <c:v>11</c:v>
                </c:pt>
                <c:pt idx="13">
                  <c:v>12</c:v>
                </c:pt>
                <c:pt idx="14">
                  <c:v>13</c:v>
                </c:pt>
                <c:pt idx="15">
                  <c:v>14</c:v>
                </c:pt>
                <c:pt idx="16">
                  <c:v>15</c:v>
                </c:pt>
                <c:pt idx="17">
                  <c:v>16</c:v>
                </c:pt>
                <c:pt idx="18">
                  <c:v>17</c:v>
                </c:pt>
                <c:pt idx="19">
                  <c:v>18</c:v>
                </c:pt>
                <c:pt idx="20">
                  <c:v>19</c:v>
                </c:pt>
                <c:pt idx="21">
                  <c:v>20</c:v>
                </c:pt>
                <c:pt idx="22">
                  <c:v>21</c:v>
                </c:pt>
                <c:pt idx="23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5">
                  <c:v>34</c:v>
                </c:pt>
                <c:pt idx="36">
                  <c:v>35</c:v>
                </c:pt>
                <c:pt idx="37">
                  <c:v>36</c:v>
                </c:pt>
                <c:pt idx="38">
                  <c:v>37</c:v>
                </c:pt>
                <c:pt idx="39">
                  <c:v>38</c:v>
                </c:pt>
                <c:pt idx="40">
                  <c:v>39</c:v>
                </c:pt>
                <c:pt idx="41">
                  <c:v>40</c:v>
                </c:pt>
                <c:pt idx="42">
                  <c:v>41</c:v>
                </c:pt>
                <c:pt idx="43">
                  <c:v>42</c:v>
                </c:pt>
                <c:pt idx="44">
                  <c:v>43</c:v>
                </c:pt>
                <c:pt idx="45">
                  <c:v>44</c:v>
                </c:pt>
                <c:pt idx="46">
                  <c:v>45</c:v>
                </c:pt>
                <c:pt idx="47">
                  <c:v>46</c:v>
                </c:pt>
                <c:pt idx="48">
                  <c:v>47</c:v>
                </c:pt>
                <c:pt idx="49">
                  <c:v>48</c:v>
                </c:pt>
                <c:pt idx="50">
                  <c:v>49</c:v>
                </c:pt>
                <c:pt idx="51">
                  <c:v>50</c:v>
                </c:pt>
                <c:pt idx="52">
                  <c:v>51</c:v>
                </c:pt>
                <c:pt idx="53">
                  <c:v>52</c:v>
                </c:pt>
                <c:pt idx="54">
                  <c:v>53</c:v>
                </c:pt>
                <c:pt idx="55">
                  <c:v>54</c:v>
                </c:pt>
                <c:pt idx="56">
                  <c:v>55</c:v>
                </c:pt>
                <c:pt idx="57">
                  <c:v>56</c:v>
                </c:pt>
                <c:pt idx="58">
                  <c:v>57</c:v>
                </c:pt>
                <c:pt idx="59">
                  <c:v>58</c:v>
                </c:pt>
                <c:pt idx="60">
                  <c:v>59</c:v>
                </c:pt>
                <c:pt idx="61">
                  <c:v>60</c:v>
                </c:pt>
                <c:pt idx="62">
                  <c:v>61</c:v>
                </c:pt>
                <c:pt idx="63">
                  <c:v>62</c:v>
                </c:pt>
                <c:pt idx="64">
                  <c:v>63</c:v>
                </c:pt>
                <c:pt idx="65">
                  <c:v>64</c:v>
                </c:pt>
                <c:pt idx="66">
                  <c:v>65</c:v>
                </c:pt>
                <c:pt idx="67">
                  <c:v>66</c:v>
                </c:pt>
                <c:pt idx="68">
                  <c:v>67</c:v>
                </c:pt>
                <c:pt idx="69">
                  <c:v>68</c:v>
                </c:pt>
                <c:pt idx="70">
                  <c:v>69</c:v>
                </c:pt>
                <c:pt idx="71">
                  <c:v>70</c:v>
                </c:pt>
                <c:pt idx="72">
                  <c:v>71</c:v>
                </c:pt>
                <c:pt idx="73">
                  <c:v>72</c:v>
                </c:pt>
                <c:pt idx="74">
                  <c:v>73</c:v>
                </c:pt>
                <c:pt idx="75">
                  <c:v>74</c:v>
                </c:pt>
                <c:pt idx="76">
                  <c:v>75</c:v>
                </c:pt>
                <c:pt idx="77">
                  <c:v>76</c:v>
                </c:pt>
                <c:pt idx="78">
                  <c:v>77</c:v>
                </c:pt>
                <c:pt idx="79">
                  <c:v>78</c:v>
                </c:pt>
                <c:pt idx="80">
                  <c:v>79</c:v>
                </c:pt>
                <c:pt idx="81">
                  <c:v>80</c:v>
                </c:pt>
                <c:pt idx="82">
                  <c:v>81</c:v>
                </c:pt>
                <c:pt idx="83">
                  <c:v>82</c:v>
                </c:pt>
                <c:pt idx="84">
                  <c:v>83</c:v>
                </c:pt>
                <c:pt idx="85">
                  <c:v>84</c:v>
                </c:pt>
                <c:pt idx="86">
                  <c:v>85</c:v>
                </c:pt>
                <c:pt idx="87">
                  <c:v>86</c:v>
                </c:pt>
                <c:pt idx="88">
                  <c:v>87</c:v>
                </c:pt>
                <c:pt idx="89">
                  <c:v>88</c:v>
                </c:pt>
                <c:pt idx="90">
                  <c:v>89</c:v>
                </c:pt>
                <c:pt idx="91">
                  <c:v>90</c:v>
                </c:pt>
                <c:pt idx="92">
                  <c:v>91</c:v>
                </c:pt>
                <c:pt idx="93">
                  <c:v>92</c:v>
                </c:pt>
                <c:pt idx="94">
                  <c:v>93</c:v>
                </c:pt>
                <c:pt idx="95">
                  <c:v>94</c:v>
                </c:pt>
                <c:pt idx="96">
                  <c:v>95</c:v>
                </c:pt>
                <c:pt idx="97">
                  <c:v>96</c:v>
                </c:pt>
                <c:pt idx="98">
                  <c:v>97</c:v>
                </c:pt>
                <c:pt idx="99">
                  <c:v>98</c:v>
                </c:pt>
                <c:pt idx="100">
                  <c:v>99</c:v>
                </c:pt>
                <c:pt idx="101">
                  <c:v>100</c:v>
                </c:pt>
                <c:pt idx="102">
                  <c:v>101</c:v>
                </c:pt>
                <c:pt idx="103">
                  <c:v>102</c:v>
                </c:pt>
                <c:pt idx="104">
                  <c:v>103</c:v>
                </c:pt>
                <c:pt idx="105">
                  <c:v>104</c:v>
                </c:pt>
                <c:pt idx="106">
                  <c:v>105</c:v>
                </c:pt>
                <c:pt idx="107">
                  <c:v>106</c:v>
                </c:pt>
                <c:pt idx="108">
                  <c:v>107</c:v>
                </c:pt>
                <c:pt idx="109">
                  <c:v>108</c:v>
                </c:pt>
                <c:pt idx="110">
                  <c:v>109</c:v>
                </c:pt>
                <c:pt idx="111">
                  <c:v>110</c:v>
                </c:pt>
                <c:pt idx="112">
                  <c:v>111</c:v>
                </c:pt>
                <c:pt idx="113">
                  <c:v>112</c:v>
                </c:pt>
              </c:numCache>
            </c:numRef>
          </c:xVal>
          <c:yVal>
            <c:numRef>
              <c:f>'Population Model'!$C$2:$C$115</c:f>
              <c:numCache>
                <c:formatCode>0</c:formatCode>
                <c:ptCount val="114"/>
                <c:pt idx="1">
                  <c:v>599</c:v>
                </c:pt>
                <c:pt idx="2">
                  <c:v>524</c:v>
                </c:pt>
                <c:pt idx="3">
                  <c:v>466</c:v>
                </c:pt>
                <c:pt idx="4">
                  <c:v>475</c:v>
                </c:pt>
                <c:pt idx="5">
                  <c:v>489</c:v>
                </c:pt>
                <c:pt idx="6">
                  <c:v>497</c:v>
                </c:pt>
                <c:pt idx="7">
                  <c:v>503</c:v>
                </c:pt>
                <c:pt idx="8">
                  <c:v>509</c:v>
                </c:pt>
                <c:pt idx="9">
                  <c:v>515</c:v>
                </c:pt>
                <c:pt idx="10">
                  <c:v>521</c:v>
                </c:pt>
                <c:pt idx="11">
                  <c:v>529</c:v>
                </c:pt>
                <c:pt idx="12">
                  <c:v>538</c:v>
                </c:pt>
                <c:pt idx="13">
                  <c:v>549</c:v>
                </c:pt>
                <c:pt idx="14">
                  <c:v>562</c:v>
                </c:pt>
                <c:pt idx="15">
                  <c:v>577</c:v>
                </c:pt>
                <c:pt idx="16">
                  <c:v>595</c:v>
                </c:pt>
                <c:pt idx="17">
                  <c:v>613</c:v>
                </c:pt>
                <c:pt idx="18">
                  <c:v>635</c:v>
                </c:pt>
                <c:pt idx="19">
                  <c:v>658</c:v>
                </c:pt>
                <c:pt idx="20">
                  <c:v>682</c:v>
                </c:pt>
                <c:pt idx="21">
                  <c:v>708</c:v>
                </c:pt>
                <c:pt idx="22">
                  <c:v>735</c:v>
                </c:pt>
                <c:pt idx="23">
                  <c:v>764</c:v>
                </c:pt>
                <c:pt idx="24">
                  <c:v>793</c:v>
                </c:pt>
                <c:pt idx="25">
                  <c:v>823</c:v>
                </c:pt>
                <c:pt idx="26">
                  <c:v>855</c:v>
                </c:pt>
                <c:pt idx="27">
                  <c:v>886</c:v>
                </c:pt>
                <c:pt idx="28">
                  <c:v>916</c:v>
                </c:pt>
                <c:pt idx="29">
                  <c:v>949</c:v>
                </c:pt>
                <c:pt idx="30">
                  <c:v>980</c:v>
                </c:pt>
                <c:pt idx="31">
                  <c:v>1011</c:v>
                </c:pt>
                <c:pt idx="32">
                  <c:v>1042</c:v>
                </c:pt>
                <c:pt idx="33">
                  <c:v>1078</c:v>
                </c:pt>
                <c:pt idx="34">
                  <c:v>1107</c:v>
                </c:pt>
                <c:pt idx="35">
                  <c:v>1135</c:v>
                </c:pt>
                <c:pt idx="36">
                  <c:v>1162</c:v>
                </c:pt>
                <c:pt idx="37">
                  <c:v>1190</c:v>
                </c:pt>
                <c:pt idx="38">
                  <c:v>1215</c:v>
                </c:pt>
                <c:pt idx="39">
                  <c:v>1238</c:v>
                </c:pt>
                <c:pt idx="40">
                  <c:v>1263</c:v>
                </c:pt>
                <c:pt idx="41">
                  <c:v>1283</c:v>
                </c:pt>
                <c:pt idx="42">
                  <c:v>1303</c:v>
                </c:pt>
                <c:pt idx="43">
                  <c:v>1322</c:v>
                </c:pt>
                <c:pt idx="44">
                  <c:v>1338</c:v>
                </c:pt>
                <c:pt idx="45">
                  <c:v>1354</c:v>
                </c:pt>
                <c:pt idx="46">
                  <c:v>1368</c:v>
                </c:pt>
                <c:pt idx="47">
                  <c:v>1380</c:v>
                </c:pt>
                <c:pt idx="48">
                  <c:v>1390</c:v>
                </c:pt>
                <c:pt idx="49">
                  <c:v>1400</c:v>
                </c:pt>
                <c:pt idx="50">
                  <c:v>1407</c:v>
                </c:pt>
                <c:pt idx="51">
                  <c:v>1414</c:v>
                </c:pt>
                <c:pt idx="52">
                  <c:v>1418</c:v>
                </c:pt>
                <c:pt idx="53">
                  <c:v>1423</c:v>
                </c:pt>
                <c:pt idx="54">
                  <c:v>1424</c:v>
                </c:pt>
                <c:pt idx="55">
                  <c:v>1427</c:v>
                </c:pt>
                <c:pt idx="56">
                  <c:v>1427</c:v>
                </c:pt>
                <c:pt idx="57">
                  <c:v>1426</c:v>
                </c:pt>
                <c:pt idx="58">
                  <c:v>1425</c:v>
                </c:pt>
                <c:pt idx="59">
                  <c:v>1423</c:v>
                </c:pt>
                <c:pt idx="60">
                  <c:v>1419</c:v>
                </c:pt>
                <c:pt idx="61">
                  <c:v>1415</c:v>
                </c:pt>
                <c:pt idx="62">
                  <c:v>1410</c:v>
                </c:pt>
                <c:pt idx="63">
                  <c:v>1405</c:v>
                </c:pt>
                <c:pt idx="64">
                  <c:v>1400</c:v>
                </c:pt>
                <c:pt idx="65">
                  <c:v>1393</c:v>
                </c:pt>
                <c:pt idx="66">
                  <c:v>1387</c:v>
                </c:pt>
                <c:pt idx="67">
                  <c:v>1380</c:v>
                </c:pt>
                <c:pt idx="68">
                  <c:v>1373</c:v>
                </c:pt>
                <c:pt idx="69">
                  <c:v>1365</c:v>
                </c:pt>
                <c:pt idx="70">
                  <c:v>1358</c:v>
                </c:pt>
                <c:pt idx="71">
                  <c:v>1351</c:v>
                </c:pt>
                <c:pt idx="72">
                  <c:v>1343</c:v>
                </c:pt>
                <c:pt idx="73">
                  <c:v>1335</c:v>
                </c:pt>
                <c:pt idx="74">
                  <c:v>1328</c:v>
                </c:pt>
                <c:pt idx="75">
                  <c:v>1321</c:v>
                </c:pt>
                <c:pt idx="76">
                  <c:v>1314</c:v>
                </c:pt>
                <c:pt idx="77">
                  <c:v>1305</c:v>
                </c:pt>
                <c:pt idx="78">
                  <c:v>1299</c:v>
                </c:pt>
                <c:pt idx="79">
                  <c:v>1292</c:v>
                </c:pt>
                <c:pt idx="80">
                  <c:v>1284</c:v>
                </c:pt>
                <c:pt idx="81">
                  <c:v>1279</c:v>
                </c:pt>
                <c:pt idx="82">
                  <c:v>1273</c:v>
                </c:pt>
                <c:pt idx="83">
                  <c:v>1266</c:v>
                </c:pt>
                <c:pt idx="84">
                  <c:v>1259</c:v>
                </c:pt>
                <c:pt idx="85">
                  <c:v>1254</c:v>
                </c:pt>
                <c:pt idx="86">
                  <c:v>1248</c:v>
                </c:pt>
                <c:pt idx="87">
                  <c:v>1243</c:v>
                </c:pt>
                <c:pt idx="88">
                  <c:v>1238</c:v>
                </c:pt>
                <c:pt idx="89">
                  <c:v>1233</c:v>
                </c:pt>
                <c:pt idx="90">
                  <c:v>1228</c:v>
                </c:pt>
                <c:pt idx="91">
                  <c:v>1224</c:v>
                </c:pt>
                <c:pt idx="92">
                  <c:v>1220</c:v>
                </c:pt>
                <c:pt idx="93">
                  <c:v>1216</c:v>
                </c:pt>
                <c:pt idx="94">
                  <c:v>1212</c:v>
                </c:pt>
                <c:pt idx="95">
                  <c:v>1209</c:v>
                </c:pt>
                <c:pt idx="96">
                  <c:v>1205</c:v>
                </c:pt>
                <c:pt idx="97">
                  <c:v>1201</c:v>
                </c:pt>
                <c:pt idx="98">
                  <c:v>1199</c:v>
                </c:pt>
                <c:pt idx="99">
                  <c:v>1196</c:v>
                </c:pt>
                <c:pt idx="100">
                  <c:v>1193</c:v>
                </c:pt>
                <c:pt idx="101">
                  <c:v>1191</c:v>
                </c:pt>
                <c:pt idx="102">
                  <c:v>1188</c:v>
                </c:pt>
                <c:pt idx="103">
                  <c:v>1186</c:v>
                </c:pt>
                <c:pt idx="104">
                  <c:v>1183</c:v>
                </c:pt>
                <c:pt idx="105">
                  <c:v>1182</c:v>
                </c:pt>
                <c:pt idx="106">
                  <c:v>1180</c:v>
                </c:pt>
                <c:pt idx="107">
                  <c:v>1178</c:v>
                </c:pt>
                <c:pt idx="108">
                  <c:v>1177</c:v>
                </c:pt>
                <c:pt idx="109">
                  <c:v>1176</c:v>
                </c:pt>
                <c:pt idx="110">
                  <c:v>1174</c:v>
                </c:pt>
                <c:pt idx="111">
                  <c:v>1173</c:v>
                </c:pt>
                <c:pt idx="112">
                  <c:v>1172</c:v>
                </c:pt>
                <c:pt idx="113">
                  <c:v>1171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273-CF45-AA45-B4158FAEAE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7299135"/>
        <c:axId val="267287823"/>
      </c:scatterChart>
      <c:valAx>
        <c:axId val="2672991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7287823"/>
        <c:crosses val="autoZero"/>
        <c:crossBetween val="midCat"/>
      </c:valAx>
      <c:valAx>
        <c:axId val="267287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729913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Dietary Content by Life Expectancy</a:t>
            </a:r>
            <a:r>
              <a:rPr lang="en-US" baseline="0"/>
              <a:t> (Highest Left)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35483671959316E-2"/>
          <c:y val="7.4065318092251239E-2"/>
          <c:w val="0.94734197004823684"/>
          <c:h val="0.80678489719896795"/>
        </c:manualLayout>
      </c:layout>
      <c:lineChart>
        <c:grouping val="standard"/>
        <c:varyColors val="0"/>
        <c:ser>
          <c:idx val="0"/>
          <c:order val="0"/>
          <c:tx>
            <c:strRef>
              <c:f>Diet!$K$8</c:f>
              <c:strCache>
                <c:ptCount val="1"/>
                <c:pt idx="0">
                  <c:v>Other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Diet!$J$9:$J$26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Diet!$K$9:$K$26</c:f>
              <c:numCache>
                <c:formatCode>General</c:formatCode>
                <c:ptCount val="18"/>
                <c:pt idx="0">
                  <c:v>48</c:v>
                </c:pt>
                <c:pt idx="1">
                  <c:v>63</c:v>
                </c:pt>
                <c:pt idx="2">
                  <c:v>42</c:v>
                </c:pt>
                <c:pt idx="3">
                  <c:v>57</c:v>
                </c:pt>
                <c:pt idx="4">
                  <c:v>35</c:v>
                </c:pt>
                <c:pt idx="5">
                  <c:v>115</c:v>
                </c:pt>
                <c:pt idx="6">
                  <c:v>70</c:v>
                </c:pt>
                <c:pt idx="7">
                  <c:v>73</c:v>
                </c:pt>
                <c:pt idx="8">
                  <c:v>41</c:v>
                </c:pt>
                <c:pt idx="9">
                  <c:v>42</c:v>
                </c:pt>
                <c:pt idx="10">
                  <c:v>32</c:v>
                </c:pt>
                <c:pt idx="11">
                  <c:v>28</c:v>
                </c:pt>
                <c:pt idx="12">
                  <c:v>100</c:v>
                </c:pt>
                <c:pt idx="13">
                  <c:v>22</c:v>
                </c:pt>
                <c:pt idx="14">
                  <c:v>41</c:v>
                </c:pt>
                <c:pt idx="15">
                  <c:v>14</c:v>
                </c:pt>
                <c:pt idx="16">
                  <c:v>9</c:v>
                </c:pt>
                <c:pt idx="17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0B-9B42-BCEA-08E680647757}"/>
            </c:ext>
          </c:extLst>
        </c:ser>
        <c:ser>
          <c:idx val="1"/>
          <c:order val="1"/>
          <c:tx>
            <c:strRef>
              <c:f>Diet!$L$8</c:f>
              <c:strCache>
                <c:ptCount val="1"/>
                <c:pt idx="0">
                  <c:v>Sugar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Diet!$J$9:$J$26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Diet!$L$9:$L$26</c:f>
              <c:numCache>
                <c:formatCode>General</c:formatCode>
                <c:ptCount val="18"/>
                <c:pt idx="0">
                  <c:v>237</c:v>
                </c:pt>
                <c:pt idx="1">
                  <c:v>393</c:v>
                </c:pt>
                <c:pt idx="2">
                  <c:v>416</c:v>
                </c:pt>
                <c:pt idx="3">
                  <c:v>358</c:v>
                </c:pt>
                <c:pt idx="4">
                  <c:v>567</c:v>
                </c:pt>
                <c:pt idx="5">
                  <c:v>442</c:v>
                </c:pt>
                <c:pt idx="6">
                  <c:v>358</c:v>
                </c:pt>
                <c:pt idx="7">
                  <c:v>351</c:v>
                </c:pt>
                <c:pt idx="8">
                  <c:v>485</c:v>
                </c:pt>
                <c:pt idx="9">
                  <c:v>344</c:v>
                </c:pt>
                <c:pt idx="10">
                  <c:v>570</c:v>
                </c:pt>
                <c:pt idx="11">
                  <c:v>68</c:v>
                </c:pt>
                <c:pt idx="12">
                  <c:v>321</c:v>
                </c:pt>
                <c:pt idx="13">
                  <c:v>220</c:v>
                </c:pt>
                <c:pt idx="14">
                  <c:v>425</c:v>
                </c:pt>
                <c:pt idx="15">
                  <c:v>454</c:v>
                </c:pt>
                <c:pt idx="16">
                  <c:v>176</c:v>
                </c:pt>
                <c:pt idx="17">
                  <c:v>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0B-9B42-BCEA-08E680647757}"/>
            </c:ext>
          </c:extLst>
        </c:ser>
        <c:ser>
          <c:idx val="2"/>
          <c:order val="2"/>
          <c:tx>
            <c:strRef>
              <c:f>Diet!$M$8</c:f>
              <c:strCache>
                <c:ptCount val="1"/>
                <c:pt idx="0">
                  <c:v>Oils &amp; Fats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Diet!$J$9:$J$26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Diet!$M$9:$M$26</c:f>
              <c:numCache>
                <c:formatCode>General</c:formatCode>
                <c:ptCount val="18"/>
                <c:pt idx="0">
                  <c:v>521</c:v>
                </c:pt>
                <c:pt idx="1">
                  <c:v>762</c:v>
                </c:pt>
                <c:pt idx="2">
                  <c:v>917</c:v>
                </c:pt>
                <c:pt idx="3">
                  <c:v>776</c:v>
                </c:pt>
                <c:pt idx="4">
                  <c:v>728</c:v>
                </c:pt>
                <c:pt idx="5">
                  <c:v>445</c:v>
                </c:pt>
                <c:pt idx="6">
                  <c:v>605</c:v>
                </c:pt>
                <c:pt idx="7">
                  <c:v>642</c:v>
                </c:pt>
                <c:pt idx="8">
                  <c:v>795</c:v>
                </c:pt>
                <c:pt idx="9">
                  <c:v>621</c:v>
                </c:pt>
                <c:pt idx="10">
                  <c:v>870</c:v>
                </c:pt>
                <c:pt idx="11">
                  <c:v>338</c:v>
                </c:pt>
                <c:pt idx="12">
                  <c:v>471</c:v>
                </c:pt>
                <c:pt idx="13">
                  <c:v>325</c:v>
                </c:pt>
                <c:pt idx="14">
                  <c:v>441</c:v>
                </c:pt>
                <c:pt idx="15">
                  <c:v>776</c:v>
                </c:pt>
                <c:pt idx="16">
                  <c:v>282</c:v>
                </c:pt>
                <c:pt idx="17">
                  <c:v>356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50B-9B42-BCEA-08E680647757}"/>
            </c:ext>
          </c:extLst>
        </c:ser>
        <c:ser>
          <c:idx val="3"/>
          <c:order val="3"/>
          <c:tx>
            <c:strRef>
              <c:f>Diet!$N$8</c:f>
              <c:strCache>
                <c:ptCount val="1"/>
                <c:pt idx="0">
                  <c:v>Meat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Diet!$J$9:$J$26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Diet!$N$9:$N$26</c:f>
              <c:numCache>
                <c:formatCode>General</c:formatCode>
                <c:ptCount val="18"/>
                <c:pt idx="0">
                  <c:v>320</c:v>
                </c:pt>
                <c:pt idx="1">
                  <c:v>496</c:v>
                </c:pt>
                <c:pt idx="2">
                  <c:v>390</c:v>
                </c:pt>
                <c:pt idx="3">
                  <c:v>552</c:v>
                </c:pt>
                <c:pt idx="4">
                  <c:v>502</c:v>
                </c:pt>
                <c:pt idx="5">
                  <c:v>668</c:v>
                </c:pt>
                <c:pt idx="6">
                  <c:v>410</c:v>
                </c:pt>
                <c:pt idx="7">
                  <c:v>483</c:v>
                </c:pt>
                <c:pt idx="8">
                  <c:v>404</c:v>
                </c:pt>
                <c:pt idx="9">
                  <c:v>364</c:v>
                </c:pt>
                <c:pt idx="10">
                  <c:v>469</c:v>
                </c:pt>
                <c:pt idx="11">
                  <c:v>501</c:v>
                </c:pt>
                <c:pt idx="12">
                  <c:v>256</c:v>
                </c:pt>
                <c:pt idx="13">
                  <c:v>28</c:v>
                </c:pt>
                <c:pt idx="14">
                  <c:v>338</c:v>
                </c:pt>
                <c:pt idx="15">
                  <c:v>291</c:v>
                </c:pt>
                <c:pt idx="16">
                  <c:v>88</c:v>
                </c:pt>
                <c:pt idx="17">
                  <c:v>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50B-9B42-BCEA-08E680647757}"/>
            </c:ext>
          </c:extLst>
        </c:ser>
        <c:ser>
          <c:idx val="4"/>
          <c:order val="4"/>
          <c:tx>
            <c:strRef>
              <c:f>Diet!$O$8</c:f>
              <c:strCache>
                <c:ptCount val="1"/>
                <c:pt idx="0">
                  <c:v>Dairy &amp; Eggs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Diet!$J$9:$J$26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Diet!$O$9:$O$26</c:f>
              <c:numCache>
                <c:formatCode>General</c:formatCode>
                <c:ptCount val="18"/>
                <c:pt idx="0">
                  <c:v>190</c:v>
                </c:pt>
                <c:pt idx="1">
                  <c:v>350</c:v>
                </c:pt>
                <c:pt idx="2">
                  <c:v>259</c:v>
                </c:pt>
                <c:pt idx="3">
                  <c:v>390</c:v>
                </c:pt>
                <c:pt idx="4">
                  <c:v>445</c:v>
                </c:pt>
                <c:pt idx="5">
                  <c:v>591</c:v>
                </c:pt>
                <c:pt idx="6">
                  <c:v>402</c:v>
                </c:pt>
                <c:pt idx="7">
                  <c:v>388</c:v>
                </c:pt>
                <c:pt idx="8">
                  <c:v>380</c:v>
                </c:pt>
                <c:pt idx="9">
                  <c:v>77</c:v>
                </c:pt>
                <c:pt idx="10">
                  <c:v>425</c:v>
                </c:pt>
                <c:pt idx="11">
                  <c:v>130</c:v>
                </c:pt>
                <c:pt idx="12">
                  <c:v>161</c:v>
                </c:pt>
                <c:pt idx="13">
                  <c:v>131</c:v>
                </c:pt>
                <c:pt idx="14">
                  <c:v>345</c:v>
                </c:pt>
                <c:pt idx="15">
                  <c:v>37</c:v>
                </c:pt>
                <c:pt idx="16">
                  <c:v>46</c:v>
                </c:pt>
                <c:pt idx="17">
                  <c:v>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50B-9B42-BCEA-08E680647757}"/>
            </c:ext>
          </c:extLst>
        </c:ser>
        <c:ser>
          <c:idx val="5"/>
          <c:order val="5"/>
          <c:tx>
            <c:strRef>
              <c:f>Diet!$P$8</c:f>
              <c:strCache>
                <c:ptCount val="1"/>
                <c:pt idx="0">
                  <c:v>Fruits &amp; Vegetables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Diet!$J$9:$J$26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Diet!$P$9:$P$26</c:f>
              <c:numCache>
                <c:formatCode>General</c:formatCode>
                <c:ptCount val="18"/>
                <c:pt idx="0">
                  <c:v>119</c:v>
                </c:pt>
                <c:pt idx="1">
                  <c:v>185</c:v>
                </c:pt>
                <c:pt idx="2">
                  <c:v>211</c:v>
                </c:pt>
                <c:pt idx="3">
                  <c:v>175</c:v>
                </c:pt>
                <c:pt idx="4">
                  <c:v>191</c:v>
                </c:pt>
                <c:pt idx="5">
                  <c:v>179</c:v>
                </c:pt>
                <c:pt idx="6">
                  <c:v>190</c:v>
                </c:pt>
                <c:pt idx="7">
                  <c:v>197</c:v>
                </c:pt>
                <c:pt idx="8">
                  <c:v>165</c:v>
                </c:pt>
                <c:pt idx="9">
                  <c:v>236</c:v>
                </c:pt>
                <c:pt idx="10">
                  <c:v>181</c:v>
                </c:pt>
                <c:pt idx="11">
                  <c:v>306</c:v>
                </c:pt>
                <c:pt idx="12">
                  <c:v>269</c:v>
                </c:pt>
                <c:pt idx="13">
                  <c:v>119</c:v>
                </c:pt>
                <c:pt idx="14">
                  <c:v>150</c:v>
                </c:pt>
                <c:pt idx="15">
                  <c:v>147</c:v>
                </c:pt>
                <c:pt idx="16">
                  <c:v>112</c:v>
                </c:pt>
                <c:pt idx="17">
                  <c:v>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50B-9B42-BCEA-08E680647757}"/>
            </c:ext>
          </c:extLst>
        </c:ser>
        <c:ser>
          <c:idx val="6"/>
          <c:order val="6"/>
          <c:tx>
            <c:strRef>
              <c:f>Diet!$Q$8</c:f>
              <c:strCache>
                <c:ptCount val="1"/>
                <c:pt idx="0">
                  <c:v>Starchy Roots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Diet!$J$9:$J$26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Diet!$Q$9:$Q$26</c:f>
              <c:numCache>
                <c:formatCode>General</c:formatCode>
                <c:ptCount val="18"/>
                <c:pt idx="0">
                  <c:v>58</c:v>
                </c:pt>
                <c:pt idx="1">
                  <c:v>91</c:v>
                </c:pt>
                <c:pt idx="2">
                  <c:v>135</c:v>
                </c:pt>
                <c:pt idx="3">
                  <c:v>100</c:v>
                </c:pt>
                <c:pt idx="4">
                  <c:v>80</c:v>
                </c:pt>
                <c:pt idx="5">
                  <c:v>103</c:v>
                </c:pt>
                <c:pt idx="6">
                  <c:v>154</c:v>
                </c:pt>
                <c:pt idx="7">
                  <c:v>174</c:v>
                </c:pt>
                <c:pt idx="8">
                  <c:v>119</c:v>
                </c:pt>
                <c:pt idx="9">
                  <c:v>34</c:v>
                </c:pt>
                <c:pt idx="10">
                  <c:v>91</c:v>
                </c:pt>
                <c:pt idx="11">
                  <c:v>152</c:v>
                </c:pt>
                <c:pt idx="12">
                  <c:v>21</c:v>
                </c:pt>
                <c:pt idx="13">
                  <c:v>56</c:v>
                </c:pt>
                <c:pt idx="14">
                  <c:v>192</c:v>
                </c:pt>
                <c:pt idx="15">
                  <c:v>290</c:v>
                </c:pt>
                <c:pt idx="16">
                  <c:v>264</c:v>
                </c:pt>
                <c:pt idx="17">
                  <c:v>158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50B-9B42-BCEA-08E680647757}"/>
            </c:ext>
          </c:extLst>
        </c:ser>
        <c:ser>
          <c:idx val="7"/>
          <c:order val="7"/>
          <c:tx>
            <c:strRef>
              <c:f>Diet!$R$8</c:f>
              <c:strCache>
                <c:ptCount val="1"/>
                <c:pt idx="0">
                  <c:v>Pulses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Diet!$J$9:$J$26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Diet!$R$9:$R$26</c:f>
              <c:numCache>
                <c:formatCode>General</c:formatCode>
                <c:ptCount val="18"/>
                <c:pt idx="0">
                  <c:v>14</c:v>
                </c:pt>
                <c:pt idx="1">
                  <c:v>11</c:v>
                </c:pt>
                <c:pt idx="2">
                  <c:v>98</c:v>
                </c:pt>
                <c:pt idx="3">
                  <c:v>17</c:v>
                </c:pt>
                <c:pt idx="4">
                  <c:v>18</c:v>
                </c:pt>
                <c:pt idx="5">
                  <c:v>8</c:v>
                </c:pt>
                <c:pt idx="6">
                  <c:v>48</c:v>
                </c:pt>
                <c:pt idx="7">
                  <c:v>28</c:v>
                </c:pt>
                <c:pt idx="8">
                  <c:v>7</c:v>
                </c:pt>
                <c:pt idx="9">
                  <c:v>13</c:v>
                </c:pt>
                <c:pt idx="10">
                  <c:v>38</c:v>
                </c:pt>
                <c:pt idx="11">
                  <c:v>11</c:v>
                </c:pt>
                <c:pt idx="12">
                  <c:v>53</c:v>
                </c:pt>
                <c:pt idx="13">
                  <c:v>127</c:v>
                </c:pt>
                <c:pt idx="14">
                  <c:v>17</c:v>
                </c:pt>
                <c:pt idx="15">
                  <c:v>0</c:v>
                </c:pt>
                <c:pt idx="16">
                  <c:v>212</c:v>
                </c:pt>
                <c:pt idx="17">
                  <c:v>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50B-9B42-BCEA-08E680647757}"/>
            </c:ext>
          </c:extLst>
        </c:ser>
        <c:ser>
          <c:idx val="8"/>
          <c:order val="8"/>
          <c:tx>
            <c:strRef>
              <c:f>Diet!$S$8</c:f>
              <c:strCache>
                <c:ptCount val="1"/>
                <c:pt idx="0">
                  <c:v>Cereals &amp; Grains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Diet!$J$9:$J$26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Diet!$S$9:$S$26</c:f>
              <c:numCache>
                <c:formatCode>General</c:formatCode>
                <c:ptCount val="18"/>
                <c:pt idx="0">
                  <c:v>1055</c:v>
                </c:pt>
                <c:pt idx="1">
                  <c:v>732</c:v>
                </c:pt>
                <c:pt idx="2">
                  <c:v>873</c:v>
                </c:pt>
                <c:pt idx="3">
                  <c:v>972</c:v>
                </c:pt>
                <c:pt idx="4">
                  <c:v>707</c:v>
                </c:pt>
                <c:pt idx="5">
                  <c:v>667</c:v>
                </c:pt>
                <c:pt idx="6">
                  <c:v>1068</c:v>
                </c:pt>
                <c:pt idx="7">
                  <c:v>906</c:v>
                </c:pt>
                <c:pt idx="8">
                  <c:v>876</c:v>
                </c:pt>
                <c:pt idx="9">
                  <c:v>1414</c:v>
                </c:pt>
                <c:pt idx="10">
                  <c:v>807</c:v>
                </c:pt>
                <c:pt idx="11">
                  <c:v>1420</c:v>
                </c:pt>
                <c:pt idx="12">
                  <c:v>1472</c:v>
                </c:pt>
                <c:pt idx="13">
                  <c:v>1404</c:v>
                </c:pt>
                <c:pt idx="14">
                  <c:v>1172</c:v>
                </c:pt>
                <c:pt idx="15">
                  <c:v>944</c:v>
                </c:pt>
                <c:pt idx="16">
                  <c:v>906</c:v>
                </c:pt>
                <c:pt idx="17">
                  <c:v>1235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50B-9B42-BCEA-08E680647757}"/>
            </c:ext>
          </c:extLst>
        </c:ser>
        <c:ser>
          <c:idx val="9"/>
          <c:order val="9"/>
          <c:tx>
            <c:strRef>
              <c:f>Diet!$T$8</c:f>
              <c:strCache>
                <c:ptCount val="1"/>
                <c:pt idx="0">
                  <c:v>Alcoholic Beverages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Diet!$J$9:$J$26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Diet!$T$9:$T$26</c:f>
              <c:numCache>
                <c:formatCode>General</c:formatCode>
                <c:ptCount val="18"/>
                <c:pt idx="0">
                  <c:v>123</c:v>
                </c:pt>
                <c:pt idx="1">
                  <c:v>130</c:v>
                </c:pt>
                <c:pt idx="2">
                  <c:v>106</c:v>
                </c:pt>
                <c:pt idx="3">
                  <c:v>139</c:v>
                </c:pt>
                <c:pt idx="4">
                  <c:v>175</c:v>
                </c:pt>
                <c:pt idx="5">
                  <c:v>123</c:v>
                </c:pt>
                <c:pt idx="6">
                  <c:v>286</c:v>
                </c:pt>
                <c:pt idx="7">
                  <c:v>162</c:v>
                </c:pt>
                <c:pt idx="8">
                  <c:v>232</c:v>
                </c:pt>
                <c:pt idx="9">
                  <c:v>136</c:v>
                </c:pt>
                <c:pt idx="10">
                  <c:v>167</c:v>
                </c:pt>
                <c:pt idx="11">
                  <c:v>90</c:v>
                </c:pt>
                <c:pt idx="12">
                  <c:v>0</c:v>
                </c:pt>
                <c:pt idx="13">
                  <c:v>10</c:v>
                </c:pt>
                <c:pt idx="14">
                  <c:v>181</c:v>
                </c:pt>
                <c:pt idx="15">
                  <c:v>7</c:v>
                </c:pt>
                <c:pt idx="16">
                  <c:v>74</c:v>
                </c:pt>
                <c:pt idx="17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50B-9B42-BCEA-08E6806477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506703"/>
        <c:axId val="1275594799"/>
      </c:lineChart>
      <c:catAx>
        <c:axId val="1275506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94799"/>
        <c:crosses val="autoZero"/>
        <c:auto val="1"/>
        <c:lblAlgn val="ctr"/>
        <c:lblOffset val="100"/>
        <c:noMultiLvlLbl val="0"/>
      </c:catAx>
      <c:valAx>
        <c:axId val="1275594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067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Color Intake and diversity by Life Expectancy</a:t>
            </a:r>
            <a:r>
              <a:rPr lang="en-US" baseline="0"/>
              <a:t> (Highest Left)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35483671959316E-2"/>
          <c:y val="7.4065318092251239E-2"/>
          <c:w val="0.94734197004823684"/>
          <c:h val="0.80678489719896795"/>
        </c:manualLayout>
      </c:layout>
      <c:lineChart>
        <c:grouping val="standard"/>
        <c:varyColors val="0"/>
        <c:ser>
          <c:idx val="10"/>
          <c:order val="0"/>
          <c:tx>
            <c:v>Life Expectency</c:v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Diet!$A$9:$A$26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Diet!$C$9:$C$26</c:f>
              <c:numCache>
                <c:formatCode>General</c:formatCode>
                <c:ptCount val="18"/>
                <c:pt idx="0">
                  <c:v>1</c:v>
                </c:pt>
                <c:pt idx="1">
                  <c:v>0.99452354874041615</c:v>
                </c:pt>
                <c:pt idx="2">
                  <c:v>0.98929049531459179</c:v>
                </c:pt>
                <c:pt idx="3">
                  <c:v>0.98685651697699894</c:v>
                </c:pt>
                <c:pt idx="4">
                  <c:v>0.98539612997444315</c:v>
                </c:pt>
                <c:pt idx="5">
                  <c:v>0.98320554947060979</c:v>
                </c:pt>
                <c:pt idx="6">
                  <c:v>0.97444322745527556</c:v>
                </c:pt>
                <c:pt idx="7">
                  <c:v>0.97261774370208109</c:v>
                </c:pt>
                <c:pt idx="8">
                  <c:v>0.96641109894121935</c:v>
                </c:pt>
                <c:pt idx="9">
                  <c:v>0.95910916392844103</c:v>
                </c:pt>
                <c:pt idx="10">
                  <c:v>0.9521723256663015</c:v>
                </c:pt>
                <c:pt idx="11">
                  <c:v>0.90677862967019596</c:v>
                </c:pt>
                <c:pt idx="12">
                  <c:v>0.89898989898989901</c:v>
                </c:pt>
                <c:pt idx="13">
                  <c:v>0.80881100158208585</c:v>
                </c:pt>
                <c:pt idx="14">
                  <c:v>0.8051600340756967</c:v>
                </c:pt>
                <c:pt idx="15">
                  <c:v>0.77923816478033348</c:v>
                </c:pt>
                <c:pt idx="16">
                  <c:v>0.75660216624072041</c:v>
                </c:pt>
                <c:pt idx="17">
                  <c:v>0.58403310210539128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CBB-D34E-97DA-EC8064085505}"/>
            </c:ext>
          </c:extLst>
        </c:ser>
        <c:ser>
          <c:idx val="11"/>
          <c:order val="1"/>
          <c:tx>
            <c:v>Total Calories</c:v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Diet!$A$9:$A$26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Diet!$H$9:$H$26</c:f>
              <c:numCache>
                <c:formatCode>General</c:formatCode>
                <c:ptCount val="18"/>
                <c:pt idx="0">
                  <c:v>0.73561643835616441</c:v>
                </c:pt>
                <c:pt idx="1">
                  <c:v>0.88027397260273976</c:v>
                </c:pt>
                <c:pt idx="2">
                  <c:v>0.94438356164383563</c:v>
                </c:pt>
                <c:pt idx="3">
                  <c:v>0.96876712328767123</c:v>
                </c:pt>
                <c:pt idx="4">
                  <c:v>0.94465753424657539</c:v>
                </c:pt>
                <c:pt idx="5">
                  <c:v>0.91534246575342471</c:v>
                </c:pt>
                <c:pt idx="6">
                  <c:v>0.98383561643835615</c:v>
                </c:pt>
                <c:pt idx="7">
                  <c:v>0.93260273972602736</c:v>
                </c:pt>
                <c:pt idx="8">
                  <c:v>0.96</c:v>
                </c:pt>
                <c:pt idx="9">
                  <c:v>0.8989041095890411</c:v>
                </c:pt>
                <c:pt idx="10">
                  <c:v>1</c:v>
                </c:pt>
                <c:pt idx="11">
                  <c:v>0.83397260273972607</c:v>
                </c:pt>
                <c:pt idx="12">
                  <c:v>0.85589041095890406</c:v>
                </c:pt>
                <c:pt idx="13">
                  <c:v>0.66904109589041094</c:v>
                </c:pt>
                <c:pt idx="14">
                  <c:v>0.90465753424657536</c:v>
                </c:pt>
                <c:pt idx="15">
                  <c:v>0.81095890410958904</c:v>
                </c:pt>
                <c:pt idx="16">
                  <c:v>0.59424657534246572</c:v>
                </c:pt>
                <c:pt idx="17">
                  <c:v>0.56356164383561647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CBB-D34E-97DA-EC8064085505}"/>
            </c:ext>
          </c:extLst>
        </c:ser>
        <c:ser>
          <c:idx val="0"/>
          <c:order val="2"/>
          <c:tx>
            <c:v>Diversity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Diet!$A$9:$A$26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Diet!$I$9:$I$26</c:f>
              <c:numCache>
                <c:formatCode>General</c:formatCode>
                <c:ptCount val="18"/>
                <c:pt idx="0">
                  <c:v>0.3929236499068901</c:v>
                </c:pt>
                <c:pt idx="1">
                  <c:v>0.23716153127917833</c:v>
                </c:pt>
                <c:pt idx="2">
                  <c:v>0.26602843051929215</c:v>
                </c:pt>
                <c:pt idx="3">
                  <c:v>0.27488687782805432</c:v>
                </c:pt>
                <c:pt idx="4">
                  <c:v>0.21113689095127611</c:v>
                </c:pt>
                <c:pt idx="5">
                  <c:v>0.19994013768332836</c:v>
                </c:pt>
                <c:pt idx="6">
                  <c:v>0.29741019214703424</c:v>
                </c:pt>
                <c:pt idx="7">
                  <c:v>0.26615746180963573</c:v>
                </c:pt>
                <c:pt idx="8">
                  <c:v>0.25</c:v>
                </c:pt>
                <c:pt idx="9">
                  <c:v>0.43096616885096006</c:v>
                </c:pt>
                <c:pt idx="10">
                  <c:v>0.23835616438356164</c:v>
                </c:pt>
                <c:pt idx="11">
                  <c:v>0.4664914586070959</c:v>
                </c:pt>
                <c:pt idx="12">
                  <c:v>0.471190781049936</c:v>
                </c:pt>
                <c:pt idx="13">
                  <c:v>0.57493857493857492</c:v>
                </c:pt>
                <c:pt idx="14">
                  <c:v>0.35493640218049666</c:v>
                </c:pt>
                <c:pt idx="15">
                  <c:v>0.31891891891891894</c:v>
                </c:pt>
                <c:pt idx="16">
                  <c:v>0.41770401106500693</c:v>
                </c:pt>
                <c:pt idx="17">
                  <c:v>0.60038891589693733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BCBB-D34E-97DA-EC80640855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506703"/>
        <c:axId val="1275594799"/>
      </c:lineChart>
      <c:catAx>
        <c:axId val="1275506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94799"/>
        <c:crosses val="autoZero"/>
        <c:auto val="1"/>
        <c:lblAlgn val="ctr"/>
        <c:lblOffset val="100"/>
        <c:noMultiLvlLbl val="0"/>
      </c:catAx>
      <c:valAx>
        <c:axId val="1275594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067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88900</xdr:colOff>
      <xdr:row>13</xdr:row>
      <xdr:rowOff>0</xdr:rowOff>
    </xdr:from>
    <xdr:to>
      <xdr:col>19</xdr:col>
      <xdr:colOff>482600</xdr:colOff>
      <xdr:row>27</xdr:row>
      <xdr:rowOff>63500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D7519E1-BFC7-534B-8935-BB9157E40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42718</xdr:colOff>
      <xdr:row>29</xdr:row>
      <xdr:rowOff>71583</xdr:rowOff>
    </xdr:from>
    <xdr:to>
      <xdr:col>16</xdr:col>
      <xdr:colOff>770082</xdr:colOff>
      <xdr:row>59</xdr:row>
      <xdr:rowOff>151245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70A0991-E2AA-074F-8531-0F9070446E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12700</xdr:colOff>
      <xdr:row>63</xdr:row>
      <xdr:rowOff>38100</xdr:rowOff>
    </xdr:from>
    <xdr:to>
      <xdr:col>16</xdr:col>
      <xdr:colOff>740064</xdr:colOff>
      <xdr:row>93</xdr:row>
      <xdr:rowOff>130462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1531613-33B9-FF4E-98B5-19DCF4A78E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f4e.europa.eu/understandingfusion/merits.aspx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BC4D0-5D7B-4C4A-AE63-6B6E4CC5EB37}">
  <dimension ref="A1:X123"/>
  <sheetViews>
    <sheetView zoomScale="96" workbookViewId="0">
      <selection activeCell="B11" sqref="B11"/>
    </sheetView>
  </sheetViews>
  <sheetFormatPr baseColWidth="10" defaultRowHeight="16"/>
  <cols>
    <col min="1" max="1" width="19" bestFit="1" customWidth="1"/>
    <col min="2" max="2" width="15.1640625" customWidth="1"/>
    <col min="4" max="4" width="12.1640625" bestFit="1" customWidth="1"/>
    <col min="5" max="5" width="12.6640625" bestFit="1" customWidth="1"/>
    <col min="6" max="6" width="12.83203125" customWidth="1"/>
    <col min="8" max="8" width="11" customWidth="1"/>
    <col min="9" max="9" width="17.33203125" customWidth="1"/>
    <col min="10" max="11" width="15.33203125" customWidth="1"/>
    <col min="12" max="12" width="15.6640625" customWidth="1"/>
    <col min="13" max="13" width="12.1640625" bestFit="1" customWidth="1"/>
    <col min="16" max="16" width="11.6640625" customWidth="1"/>
    <col min="17" max="17" width="15.83203125" customWidth="1"/>
  </cols>
  <sheetData>
    <row r="1" spans="1:15">
      <c r="A1" t="s">
        <v>910</v>
      </c>
      <c r="C1" t="s">
        <v>905</v>
      </c>
      <c r="I1" t="s">
        <v>693</v>
      </c>
    </row>
    <row r="2" spans="1:15" ht="21">
      <c r="A2" t="s">
        <v>24</v>
      </c>
      <c r="B2" s="3">
        <f>Vehicle!D58</f>
        <v>95614478149.072998</v>
      </c>
      <c r="C2" t="s">
        <v>929</v>
      </c>
      <c r="D2" s="3"/>
      <c r="E2" s="3">
        <f>Vehicle!B83</f>
        <v>7.0167920979368158E-17</v>
      </c>
      <c r="I2" t="s">
        <v>967</v>
      </c>
      <c r="J2" s="3">
        <f>Conversion!B6</f>
        <v>299792458</v>
      </c>
      <c r="K2" t="s">
        <v>936</v>
      </c>
      <c r="M2" t="s">
        <v>1006</v>
      </c>
      <c r="N2" s="153">
        <v>2022</v>
      </c>
    </row>
    <row r="3" spans="1:15">
      <c r="A3" s="19" t="s">
        <v>922</v>
      </c>
      <c r="B3" s="19"/>
      <c r="C3" s="19"/>
      <c r="D3" s="19"/>
      <c r="F3" s="19"/>
      <c r="I3" t="s">
        <v>968</v>
      </c>
      <c r="J3">
        <f>Conversion!B3</f>
        <v>31557600</v>
      </c>
      <c r="K3" t="s">
        <v>5</v>
      </c>
      <c r="M3" t="s">
        <v>1007</v>
      </c>
      <c r="N3" s="5">
        <f>N2+B8</f>
        <v>2086.7169364206043</v>
      </c>
    </row>
    <row r="4" spans="1:15">
      <c r="A4" s="19" t="s">
        <v>7</v>
      </c>
      <c r="B4">
        <f>9.8*0.8</f>
        <v>7.8400000000000007</v>
      </c>
      <c r="C4" t="s">
        <v>4</v>
      </c>
      <c r="I4" t="s">
        <v>969</v>
      </c>
      <c r="J4" s="3">
        <f>'Power Consumption'!C44</f>
        <v>5521047.9115848159</v>
      </c>
      <c r="K4" t="s">
        <v>972</v>
      </c>
      <c r="M4" t="s">
        <v>1008</v>
      </c>
      <c r="N4" s="5">
        <v>5</v>
      </c>
    </row>
    <row r="5" spans="1:15">
      <c r="A5" s="19" t="s">
        <v>948</v>
      </c>
      <c r="B5" s="4">
        <v>0.71430000000000005</v>
      </c>
      <c r="C5" t="s">
        <v>937</v>
      </c>
      <c r="D5" s="3">
        <f>B5*J2</f>
        <v>214141752.74940002</v>
      </c>
      <c r="E5" t="s">
        <v>936</v>
      </c>
      <c r="F5" s="3">
        <f>1/SQRT(1-D5^2/J2^2)</f>
        <v>1.4288987859560189</v>
      </c>
      <c r="I5" t="s">
        <v>970</v>
      </c>
      <c r="J5">
        <f>Conversion!B5</f>
        <v>9460700000000000</v>
      </c>
      <c r="K5" t="s">
        <v>971</v>
      </c>
      <c r="M5" t="s">
        <v>1009</v>
      </c>
      <c r="N5" s="5">
        <f>N3+N4</f>
        <v>2091.7169364206043</v>
      </c>
    </row>
    <row r="6" spans="1:15" ht="20">
      <c r="A6" s="19" t="s">
        <v>907</v>
      </c>
      <c r="B6" s="152">
        <v>45.5</v>
      </c>
      <c r="C6" s="3" t="s">
        <v>2</v>
      </c>
      <c r="D6" s="44">
        <f>B6*Conversion!$B$5</f>
        <v>4.3046185E+17</v>
      </c>
      <c r="E6" t="s">
        <v>3</v>
      </c>
      <c r="I6" t="s">
        <v>974</v>
      </c>
      <c r="J6" s="3">
        <f>0.5*1000000</f>
        <v>500000</v>
      </c>
      <c r="K6" t="s">
        <v>976</v>
      </c>
      <c r="M6" t="s">
        <v>1010</v>
      </c>
      <c r="N6" s="5">
        <f>N5+B8</f>
        <v>2156.4338728412085</v>
      </c>
      <c r="O6" s="5"/>
    </row>
    <row r="7" spans="1:15">
      <c r="A7" s="19" t="s">
        <v>920</v>
      </c>
      <c r="B7" s="5">
        <f>D15+E18</f>
        <v>45.731602634982572</v>
      </c>
      <c r="D7" s="44">
        <f>(($D$6-D19*2)/D5/B12+2*D19)/$J$3</f>
        <v>46.749922818467262</v>
      </c>
      <c r="I7" t="s">
        <v>977</v>
      </c>
      <c r="J7" s="3">
        <v>6.0221407599999999E+23</v>
      </c>
      <c r="N7" s="4"/>
    </row>
    <row r="8" spans="1:15">
      <c r="A8" s="19" t="s">
        <v>921</v>
      </c>
      <c r="B8" s="134">
        <f>D14+G18</f>
        <v>64.716936420604185</v>
      </c>
      <c r="C8" s="3" t="s">
        <v>926</v>
      </c>
      <c r="D8" s="44">
        <f>B7*'Power Consumption'!$C$44</f>
        <v>252486369.2212972</v>
      </c>
      <c r="I8" s="3" t="s">
        <v>978</v>
      </c>
      <c r="J8">
        <f>0.91*1.008+4.003*0.9</f>
        <v>4.5199800000000003</v>
      </c>
      <c r="L8">
        <v>12.010999999999999</v>
      </c>
    </row>
    <row r="9" spans="1:15">
      <c r="A9" t="s">
        <v>931</v>
      </c>
      <c r="B9" s="135">
        <f>K28</f>
        <v>0.58391032884584759</v>
      </c>
      <c r="C9" s="4">
        <f>EXP($B$4*(D19*2)/Conversion!$B$6)-1</f>
        <v>5.0003500175008782</v>
      </c>
      <c r="E9">
        <f>C9/B9</f>
        <v>8.5635580849965933</v>
      </c>
      <c r="I9" s="3" t="s">
        <v>985</v>
      </c>
      <c r="J9">
        <v>916.7</v>
      </c>
      <c r="K9" t="s">
        <v>214</v>
      </c>
    </row>
    <row r="10" spans="1:15">
      <c r="A10" s="19" t="s">
        <v>933</v>
      </c>
      <c r="B10" s="19" t="s">
        <v>934</v>
      </c>
      <c r="C10" s="3" t="s">
        <v>935</v>
      </c>
      <c r="I10" t="s">
        <v>990</v>
      </c>
      <c r="J10">
        <f>2.2*1000</f>
        <v>2200</v>
      </c>
      <c r="K10" t="s">
        <v>214</v>
      </c>
    </row>
    <row r="11" spans="1:15">
      <c r="A11" s="19" t="s">
        <v>8</v>
      </c>
      <c r="B11" s="44">
        <f>D6-B18</f>
        <v>4.2062830395326771E+17</v>
      </c>
      <c r="C11" t="s">
        <v>3</v>
      </c>
      <c r="D11" s="44">
        <f>B11/B12</f>
        <v>2.943723572918023E+17</v>
      </c>
      <c r="E11" t="s">
        <v>3</v>
      </c>
    </row>
    <row r="12" spans="1:15" ht="18">
      <c r="A12" s="19" t="s">
        <v>900</v>
      </c>
      <c r="B12" s="104">
        <f>1/SQRT(1-D5^2/J2^2)</f>
        <v>1.4288987859560189</v>
      </c>
      <c r="C12" s="3"/>
      <c r="D12" s="44"/>
      <c r="E12" s="4">
        <f>1/B12</f>
        <v>0.69983963162998986</v>
      </c>
      <c r="I12" t="s">
        <v>984</v>
      </c>
      <c r="J12">
        <v>680</v>
      </c>
      <c r="K12" t="s">
        <v>225</v>
      </c>
      <c r="L12" s="3">
        <f>PI()*J12^2</f>
        <v>1452672.4430199203</v>
      </c>
    </row>
    <row r="13" spans="1:15">
      <c r="A13" s="19" t="s">
        <v>899</v>
      </c>
      <c r="C13" t="s">
        <v>936</v>
      </c>
      <c r="E13" s="4" t="s">
        <v>937</v>
      </c>
      <c r="F13" s="135"/>
      <c r="G13" s="5"/>
      <c r="H13" s="3"/>
      <c r="I13" t="s">
        <v>989</v>
      </c>
      <c r="J13" s="44">
        <f>D6*$L$12*$J$6</f>
        <v>3.1266003363318724E+29</v>
      </c>
      <c r="L13" s="44">
        <f>J13*$J$8/$J$7</f>
        <v>2346702.2029909077</v>
      </c>
      <c r="M13" t="s">
        <v>49</v>
      </c>
      <c r="N13" s="44">
        <f>J13*$L$8/$J$7</f>
        <v>6235921.4333080649</v>
      </c>
      <c r="O13" s="43">
        <f>N13/M19/J10</f>
        <v>2.595663042273448E-3</v>
      </c>
    </row>
    <row r="14" spans="1:15">
      <c r="A14" s="19" t="s">
        <v>938</v>
      </c>
      <c r="B14" s="72">
        <f>B11/D5</f>
        <v>1964251709.6864765</v>
      </c>
      <c r="C14" s="3" t="s">
        <v>5</v>
      </c>
      <c r="D14" s="4">
        <f>B14/J3</f>
        <v>62.243380665401567</v>
      </c>
      <c r="E14" t="s">
        <v>940</v>
      </c>
      <c r="F14" s="44"/>
      <c r="G14" s="44"/>
      <c r="H14" s="39"/>
      <c r="N14" s="22">
        <f>N13/1000</f>
        <v>6235.9214333080654</v>
      </c>
    </row>
    <row r="15" spans="1:15">
      <c r="A15" s="19" t="s">
        <v>939</v>
      </c>
      <c r="B15" s="72">
        <f>D11/D5</f>
        <v>1374661192.9355617</v>
      </c>
      <c r="C15" s="3" t="s">
        <v>5</v>
      </c>
      <c r="D15" s="5">
        <f>B15/J3</f>
        <v>43.560384596279874</v>
      </c>
      <c r="E15" t="s">
        <v>940</v>
      </c>
    </row>
    <row r="16" spans="1:15">
      <c r="A16" s="19"/>
      <c r="I16" t="s">
        <v>980</v>
      </c>
      <c r="J16" s="141">
        <f>C9*B2</f>
        <v>478105857486.0545</v>
      </c>
      <c r="L16" t="s">
        <v>994</v>
      </c>
      <c r="N16" t="s">
        <v>993</v>
      </c>
    </row>
    <row r="17" spans="1:23">
      <c r="A17" t="s">
        <v>941</v>
      </c>
      <c r="B17" t="s">
        <v>8</v>
      </c>
      <c r="C17" s="3" t="s">
        <v>949</v>
      </c>
      <c r="D17" t="s">
        <v>914</v>
      </c>
      <c r="E17" t="s">
        <v>913</v>
      </c>
      <c r="F17" t="s">
        <v>916</v>
      </c>
      <c r="G17" t="s">
        <v>915</v>
      </c>
      <c r="H17" s="5"/>
      <c r="I17" t="s">
        <v>987</v>
      </c>
      <c r="J17" s="3">
        <f>J16/$J$9</f>
        <v>521551060.85530108</v>
      </c>
      <c r="K17" t="s">
        <v>213</v>
      </c>
      <c r="L17" t="s">
        <v>986</v>
      </c>
      <c r="M17" s="58">
        <v>900</v>
      </c>
      <c r="N17" s="4" t="s">
        <v>134</v>
      </c>
      <c r="O17" s="4">
        <f>POWER(3*J17/(4*PI()),1/3)</f>
        <v>499.34734059530183</v>
      </c>
      <c r="P17" t="s">
        <v>924</v>
      </c>
    </row>
    <row r="18" spans="1:23">
      <c r="A18" s="44" t="s">
        <v>16</v>
      </c>
      <c r="B18" s="135">
        <f>B19*2</f>
        <v>9833546046732292</v>
      </c>
      <c r="C18" s="4">
        <f>B18/Conversion!$B$5</f>
        <v>1.0394099851736438</v>
      </c>
      <c r="D18" s="44">
        <f>D19*2</f>
        <v>68517023.428875133</v>
      </c>
      <c r="E18" s="4">
        <f>D18/Conversion!$C$3</f>
        <v>2.1712180387026963</v>
      </c>
      <c r="F18" s="3">
        <f>F19*2</f>
        <v>78057880.236252964</v>
      </c>
      <c r="G18" s="4">
        <f>F18/Conversion!$C$3</f>
        <v>2.4735557552026242</v>
      </c>
      <c r="H18" s="5"/>
      <c r="I18" t="s">
        <v>992</v>
      </c>
      <c r="J18" s="3">
        <f>J17/Vehicle!B66</f>
        <v>2904829.4663427356</v>
      </c>
      <c r="K18" t="s">
        <v>49</v>
      </c>
      <c r="L18" t="s">
        <v>856</v>
      </c>
      <c r="M18" s="137">
        <v>680</v>
      </c>
    </row>
    <row r="19" spans="1:23">
      <c r="A19" s="44" t="s">
        <v>917</v>
      </c>
      <c r="B19" s="44">
        <f>(J2^2/B4)*(B12-1)</f>
        <v>4916773023366146</v>
      </c>
      <c r="C19" s="4">
        <f>B19/Conversion!$B$5</f>
        <v>0.5197049925868219</v>
      </c>
      <c r="D19" s="135">
        <f>Conversion!$B$6/B4*ACOSH(B4*$B$19/Conversion!$C$6+1)</f>
        <v>34258511.714437567</v>
      </c>
      <c r="E19" s="4">
        <f>D19/Conversion!$C$3</f>
        <v>1.0856090193513481</v>
      </c>
      <c r="F19" s="3">
        <f>SQRT(($B$19/Conversion!$B$6)^2+2*$B$19/B4)</f>
        <v>39028940.118126482</v>
      </c>
      <c r="G19" s="4">
        <f>F19/Conversion!$C$3</f>
        <v>1.2367778776013121</v>
      </c>
      <c r="H19" s="44"/>
      <c r="L19" s="3" t="s">
        <v>988</v>
      </c>
      <c r="M19" s="4">
        <f>PI()*M17^2-PI()*M18^2</f>
        <v>1092017.6063878119</v>
      </c>
      <c r="N19" t="s">
        <v>225</v>
      </c>
      <c r="O19">
        <f>O17^2*PI()</f>
        <v>783349.11161266314</v>
      </c>
    </row>
    <row r="20" spans="1:23">
      <c r="B20" s="39">
        <f>B18/B11</f>
        <v>2.3378231931403291E-2</v>
      </c>
      <c r="L20" t="s">
        <v>365</v>
      </c>
      <c r="M20" s="4">
        <f>J17/M19</f>
        <v>477.60316116192809</v>
      </c>
      <c r="N20" t="s">
        <v>365</v>
      </c>
      <c r="O20">
        <f>O17*2</f>
        <v>998.69468119060366</v>
      </c>
    </row>
    <row r="21" spans="1:23">
      <c r="A21" t="s">
        <v>10</v>
      </c>
      <c r="B21">
        <f>9.8*1</f>
        <v>9.8000000000000007</v>
      </c>
      <c r="G21">
        <f>1/C31</f>
        <v>0.71414284285428498</v>
      </c>
      <c r="H21" s="44"/>
      <c r="I21" t="s">
        <v>857</v>
      </c>
    </row>
    <row r="22" spans="1:23">
      <c r="L22" s="3" t="s">
        <v>953</v>
      </c>
      <c r="N22" t="s">
        <v>956</v>
      </c>
      <c r="P22" t="s">
        <v>975</v>
      </c>
      <c r="Q22" t="s">
        <v>979</v>
      </c>
    </row>
    <row r="23" spans="1:23">
      <c r="A23" t="s">
        <v>947</v>
      </c>
      <c r="B23" s="3" t="s">
        <v>950</v>
      </c>
      <c r="C23" s="4" t="s">
        <v>900</v>
      </c>
      <c r="D23" t="s">
        <v>8</v>
      </c>
      <c r="E23" s="4" t="s">
        <v>2</v>
      </c>
      <c r="F23" s="3" t="s">
        <v>952</v>
      </c>
      <c r="G23" s="3" t="s">
        <v>940</v>
      </c>
      <c r="H23" s="4" t="s">
        <v>951</v>
      </c>
      <c r="I23" s="3" t="s">
        <v>981</v>
      </c>
      <c r="J23" s="4" t="s">
        <v>973</v>
      </c>
      <c r="K23" s="4"/>
      <c r="L23" s="3" t="s">
        <v>954</v>
      </c>
      <c r="M23" s="4" t="s">
        <v>955</v>
      </c>
      <c r="P23" s="4"/>
      <c r="S23" s="4"/>
      <c r="T23" s="4"/>
      <c r="V23" s="4"/>
      <c r="W23" s="4"/>
    </row>
    <row r="24" spans="1:23">
      <c r="A24" s="137">
        <v>0.1</v>
      </c>
      <c r="B24" s="3">
        <f>A24*$J$2</f>
        <v>29979245.800000001</v>
      </c>
      <c r="C24" s="4">
        <f>1/SQRT(1-B24^2/$J$2^2)</f>
        <v>1.0050378152592121</v>
      </c>
      <c r="D24">
        <f t="shared" ref="D24:D43" si="0">$J$2^2/$B$21*(C24-1)</f>
        <v>46201658711594.234</v>
      </c>
      <c r="E24" s="4">
        <f t="shared" ref="E24:E44" si="1">D24/$J$5</f>
        <v>4.8835349087904953E-3</v>
      </c>
      <c r="F24" s="53">
        <f t="shared" ref="F24:F44" si="2">SQRT((D24/$J$2)^2+2*D24/$B$21)</f>
        <v>3074517.9287705072</v>
      </c>
      <c r="G24" s="4">
        <f t="shared" ref="G24:G44" si="3">F24/$J$3</f>
        <v>9.742559411268624E-2</v>
      </c>
      <c r="H24" s="3">
        <f t="shared" ref="H24:H33" si="4">$J$2/$B$21*ASINH($B$21*F24/$J$2)</f>
        <v>3069365.359243256</v>
      </c>
      <c r="I24" s="4">
        <f t="shared" ref="I24:I33" si="5">H24/$J$3</f>
        <v>9.7262319037038816E-2</v>
      </c>
      <c r="J24" s="4">
        <f t="shared" ref="J24:J44" si="6">EXP($B$21*2*H24/$J$2)-1</f>
        <v>0.22222222222222254</v>
      </c>
      <c r="K24" s="4">
        <f t="shared" ref="K24:K44" si="7">EXP($B$21*H24/$J$2)-1</f>
        <v>0.10554159678513342</v>
      </c>
      <c r="L24" s="4">
        <f t="shared" ref="L24:L44" si="8">(($D$6-2*D24)/B24/C24+2*H24)/$J$3</f>
        <v>452.81516952880509</v>
      </c>
      <c r="M24" s="4">
        <f t="shared" ref="M24:M44" si="9">(($D$6-2*D24)/B24+F24*2)/$J$3</f>
        <v>455.09571527042129</v>
      </c>
      <c r="N24" s="44">
        <f t="shared" ref="N24:N44" si="10">$D$6-D24*2</f>
        <v>4.3036944668257683E+17</v>
      </c>
      <c r="O24" s="4">
        <f t="shared" ref="O24:O44" si="11">N24/$J$5</f>
        <v>45.490232930182422</v>
      </c>
      <c r="P24" s="3">
        <f t="shared" ref="P24:P43" si="12">D24*$L$12*$J$6*$J$8/$J$7</f>
        <v>251.87257426025613</v>
      </c>
      <c r="Q24" s="69">
        <f>P24/$B$2</f>
        <v>2.6342514139705951E-9</v>
      </c>
      <c r="S24" s="4"/>
      <c r="T24" s="4"/>
      <c r="V24" s="4"/>
      <c r="W24" s="4"/>
    </row>
    <row r="25" spans="1:23">
      <c r="A25" s="137">
        <v>0.2</v>
      </c>
      <c r="B25" s="3">
        <f t="shared" ref="B25:B33" si="13">A25*$J$2</f>
        <v>59958491.600000001</v>
      </c>
      <c r="C25" s="4">
        <f t="shared" ref="C25:C33" si="14">1/SQRT(1-B25^2/$J$2^2)</f>
        <v>1.0206207261596576</v>
      </c>
      <c r="D25">
        <f t="shared" si="0"/>
        <v>189112085972510.53</v>
      </c>
      <c r="E25" s="4">
        <f t="shared" si="1"/>
        <v>1.9989227644097215E-2</v>
      </c>
      <c r="F25" s="53">
        <f t="shared" si="2"/>
        <v>6244375.4322683476</v>
      </c>
      <c r="G25" s="4">
        <f t="shared" si="3"/>
        <v>0.19787231704148439</v>
      </c>
      <c r="H25" s="3">
        <f t="shared" si="4"/>
        <v>6201805.1731113521</v>
      </c>
      <c r="I25" s="4">
        <f t="shared" si="5"/>
        <v>0.19652334693105153</v>
      </c>
      <c r="J25" s="4">
        <f t="shared" si="6"/>
        <v>0.50000000000000089</v>
      </c>
      <c r="K25" s="4">
        <f t="shared" si="7"/>
        <v>0.22474487139158938</v>
      </c>
      <c r="L25" s="4">
        <f t="shared" si="8"/>
        <v>223.10004232343695</v>
      </c>
      <c r="M25" s="4">
        <f t="shared" si="9"/>
        <v>227.69512023437534</v>
      </c>
      <c r="N25" s="44">
        <f t="shared" si="10"/>
        <v>4.3008362582805498E+17</v>
      </c>
      <c r="O25" s="4">
        <f t="shared" si="11"/>
        <v>45.460021544711807</v>
      </c>
      <c r="P25" s="3">
        <f t="shared" si="12"/>
        <v>1030.9618582085643</v>
      </c>
      <c r="Q25" s="69">
        <f t="shared" ref="Q25:Q43" si="15">P25/$B$2</f>
        <v>1.0782486901211621E-8</v>
      </c>
      <c r="S25" s="4"/>
      <c r="T25" s="4"/>
      <c r="V25" s="4"/>
      <c r="W25" s="4"/>
    </row>
    <row r="26" spans="1:23">
      <c r="A26" s="137">
        <v>0.3</v>
      </c>
      <c r="B26" s="3">
        <f t="shared" si="13"/>
        <v>89937737.399999991</v>
      </c>
      <c r="C26" s="4">
        <f t="shared" si="14"/>
        <v>1.0482848367219182</v>
      </c>
      <c r="D26">
        <f t="shared" si="0"/>
        <v>442818847533526.81</v>
      </c>
      <c r="E26" s="4">
        <f t="shared" si="1"/>
        <v>4.680613987691469E-2</v>
      </c>
      <c r="F26" s="53">
        <f t="shared" si="2"/>
        <v>9620445.5474997591</v>
      </c>
      <c r="G26" s="4">
        <f t="shared" si="3"/>
        <v>0.30485352331925619</v>
      </c>
      <c r="H26" s="3">
        <f t="shared" si="4"/>
        <v>9468534.9942079466</v>
      </c>
      <c r="I26" s="4">
        <f t="shared" si="5"/>
        <v>0.30003976836666751</v>
      </c>
      <c r="J26" s="4">
        <f t="shared" si="6"/>
        <v>0.85714285714285587</v>
      </c>
      <c r="K26" s="4">
        <f t="shared" si="7"/>
        <v>0.36277028773849329</v>
      </c>
      <c r="L26" s="4">
        <f t="shared" si="8"/>
        <v>144.98272528892662</v>
      </c>
      <c r="M26" s="4">
        <f t="shared" si="9"/>
        <v>151.963845274455</v>
      </c>
      <c r="N26" s="44">
        <f t="shared" si="10"/>
        <v>4.2957621230493293E+17</v>
      </c>
      <c r="O26" s="4">
        <f t="shared" si="11"/>
        <v>45.406387720246165</v>
      </c>
      <c r="P26" s="3">
        <f t="shared" si="12"/>
        <v>2414.0675068715668</v>
      </c>
      <c r="Q26" s="69">
        <f t="shared" si="15"/>
        <v>2.5247928489530449E-8</v>
      </c>
      <c r="S26" s="4"/>
      <c r="T26" s="4"/>
      <c r="V26" s="4"/>
      <c r="W26" s="4"/>
    </row>
    <row r="27" spans="1:23">
      <c r="A27" s="137">
        <v>0.4</v>
      </c>
      <c r="B27" s="3">
        <f t="shared" si="13"/>
        <v>119916983.2</v>
      </c>
      <c r="C27" s="4">
        <f t="shared" si="14"/>
        <v>1.091089451179962</v>
      </c>
      <c r="D27">
        <f t="shared" si="0"/>
        <v>835378734451891.62</v>
      </c>
      <c r="E27" s="4">
        <f t="shared" si="1"/>
        <v>8.8299886314109066E-2</v>
      </c>
      <c r="F27" s="53">
        <f t="shared" si="2"/>
        <v>13351036.263963753</v>
      </c>
      <c r="G27" s="4">
        <f t="shared" si="3"/>
        <v>0.42306880954076842</v>
      </c>
      <c r="H27" s="3">
        <f t="shared" si="4"/>
        <v>12959872.868552081</v>
      </c>
      <c r="I27" s="4">
        <f t="shared" si="5"/>
        <v>0.41067358951732963</v>
      </c>
      <c r="J27" s="4">
        <f t="shared" si="6"/>
        <v>1.3333333333333348</v>
      </c>
      <c r="K27" s="4">
        <f t="shared" si="7"/>
        <v>0.5275252316519472</v>
      </c>
      <c r="L27" s="4">
        <f t="shared" si="8"/>
        <v>104.6699688336444</v>
      </c>
      <c r="M27" s="4">
        <f t="shared" si="9"/>
        <v>114.15427322600522</v>
      </c>
      <c r="N27" s="44">
        <f t="shared" si="10"/>
        <v>4.2879109253109619E+17</v>
      </c>
      <c r="O27" s="4">
        <f t="shared" si="11"/>
        <v>45.323400227371778</v>
      </c>
      <c r="P27" s="3">
        <f t="shared" si="12"/>
        <v>4554.1436865311307</v>
      </c>
      <c r="Q27" s="69">
        <f t="shared" si="15"/>
        <v>4.7630272890584031E-8</v>
      </c>
      <c r="S27" s="4"/>
      <c r="T27" s="4"/>
      <c r="V27" s="4"/>
      <c r="W27" s="4"/>
    </row>
    <row r="28" spans="1:23" s="146" customFormat="1">
      <c r="A28" s="146">
        <v>0.43</v>
      </c>
      <c r="B28" s="147">
        <f t="shared" si="13"/>
        <v>128910756.94</v>
      </c>
      <c r="C28" s="148">
        <f t="shared" si="14"/>
        <v>1.1076296005915018</v>
      </c>
      <c r="D28" s="146">
        <f t="shared" si="0"/>
        <v>987067968540688.88</v>
      </c>
      <c r="E28" s="148">
        <f t="shared" si="1"/>
        <v>0.10433350265209645</v>
      </c>
      <c r="F28" s="147">
        <f t="shared" si="2"/>
        <v>14569935.736877585</v>
      </c>
      <c r="G28" s="148">
        <f t="shared" si="3"/>
        <v>0.4616934030749355</v>
      </c>
      <c r="H28" s="147">
        <f t="shared" si="4"/>
        <v>14068730.253754215</v>
      </c>
      <c r="I28" s="148">
        <f t="shared" si="5"/>
        <v>0.44581115971284935</v>
      </c>
      <c r="J28" s="148">
        <f t="shared" si="6"/>
        <v>1.5087719298245612</v>
      </c>
      <c r="K28" s="148">
        <f t="shared" si="7"/>
        <v>0.58391032884584759</v>
      </c>
      <c r="L28" s="148">
        <f t="shared" si="8"/>
        <v>95.985092255488198</v>
      </c>
      <c r="M28" s="148">
        <f t="shared" si="9"/>
        <v>106.25172893029078</v>
      </c>
      <c r="N28" s="149">
        <f t="shared" si="10"/>
        <v>4.2848771406291859E+17</v>
      </c>
      <c r="O28" s="148">
        <f t="shared" si="11"/>
        <v>45.291332994695807</v>
      </c>
      <c r="P28" s="147">
        <f t="shared" si="12"/>
        <v>5381.0914399875246</v>
      </c>
      <c r="Q28" s="69">
        <f t="shared" si="15"/>
        <v>5.6279044179876596E-8</v>
      </c>
      <c r="R28" s="146" t="s">
        <v>983</v>
      </c>
      <c r="S28" s="148"/>
      <c r="T28" s="148"/>
      <c r="V28" s="148"/>
      <c r="W28" s="148"/>
    </row>
    <row r="29" spans="1:23">
      <c r="A29" s="137">
        <v>0.5</v>
      </c>
      <c r="B29" s="3">
        <f t="shared" si="13"/>
        <v>149896229</v>
      </c>
      <c r="C29" s="4">
        <f t="shared" si="14"/>
        <v>1.1547005383792517</v>
      </c>
      <c r="D29">
        <f t="shared" si="0"/>
        <v>1418754183895165.8</v>
      </c>
      <c r="E29" s="4">
        <f t="shared" si="1"/>
        <v>0.14996291858902255</v>
      </c>
      <c r="F29" s="53">
        <f t="shared" si="2"/>
        <v>17661760.849726494</v>
      </c>
      <c r="G29" s="4">
        <f t="shared" si="3"/>
        <v>0.55966742875651176</v>
      </c>
      <c r="H29" s="3">
        <f t="shared" si="4"/>
        <v>16803861.143307053</v>
      </c>
      <c r="I29" s="4">
        <f t="shared" si="5"/>
        <v>0.53248222752386276</v>
      </c>
      <c r="J29" s="4">
        <f t="shared" si="6"/>
        <v>2.0000000000000009</v>
      </c>
      <c r="K29" s="4">
        <f t="shared" si="7"/>
        <v>0.73205080756887764</v>
      </c>
      <c r="L29" s="4">
        <f t="shared" si="8"/>
        <v>79.353537246206727</v>
      </c>
      <c r="M29" s="4">
        <f t="shared" si="9"/>
        <v>91.519192008407572</v>
      </c>
      <c r="N29" s="44">
        <f t="shared" si="10"/>
        <v>4.2762434163220966E+17</v>
      </c>
      <c r="O29" s="4">
        <f t="shared" si="11"/>
        <v>45.200074162821956</v>
      </c>
      <c r="P29" s="3">
        <f t="shared" si="12"/>
        <v>7734.4683828528641</v>
      </c>
      <c r="Q29" s="69">
        <f t="shared" si="15"/>
        <v>8.0892230262387839E-8</v>
      </c>
      <c r="S29" s="4"/>
      <c r="T29" s="4"/>
      <c r="V29" s="4"/>
      <c r="W29" s="4"/>
    </row>
    <row r="30" spans="1:23">
      <c r="A30" s="137">
        <v>0.6</v>
      </c>
      <c r="B30" s="3">
        <f t="shared" si="13"/>
        <v>179875474.79999998</v>
      </c>
      <c r="C30" s="4">
        <f t="shared" si="14"/>
        <v>1.25</v>
      </c>
      <c r="D30">
        <f t="shared" si="0"/>
        <v>2292742802900044.5</v>
      </c>
      <c r="E30" s="4">
        <f t="shared" si="1"/>
        <v>0.24234388606551782</v>
      </c>
      <c r="F30" s="53">
        <f t="shared" si="2"/>
        <v>22943300.357142854</v>
      </c>
      <c r="G30" s="4">
        <f t="shared" si="3"/>
        <v>0.7270293164607845</v>
      </c>
      <c r="H30" s="3">
        <f t="shared" si="4"/>
        <v>21204111.94039141</v>
      </c>
      <c r="I30" s="4">
        <f t="shared" si="5"/>
        <v>0.67191776118562285</v>
      </c>
      <c r="J30" s="4">
        <f t="shared" si="6"/>
        <v>3</v>
      </c>
      <c r="K30" s="4">
        <f t="shared" si="7"/>
        <v>1</v>
      </c>
      <c r="L30" s="4">
        <f t="shared" si="8"/>
        <v>61.364058503176629</v>
      </c>
      <c r="M30" s="4">
        <f t="shared" si="9"/>
        <v>76.479337358928305</v>
      </c>
      <c r="N30" s="44">
        <f t="shared" si="10"/>
        <v>4.2587636439419994E+17</v>
      </c>
      <c r="O30" s="4">
        <f t="shared" si="11"/>
        <v>45.015312227868968</v>
      </c>
      <c r="P30" s="3">
        <f t="shared" si="12"/>
        <v>12499.097391457761</v>
      </c>
      <c r="Q30" s="69">
        <f t="shared" si="15"/>
        <v>1.3072389907279897E-7</v>
      </c>
      <c r="S30" s="4"/>
      <c r="T30" s="4"/>
      <c r="V30" s="4"/>
      <c r="W30" s="4"/>
    </row>
    <row r="31" spans="1:23">
      <c r="A31" s="137">
        <v>0.7</v>
      </c>
      <c r="B31" s="3">
        <f t="shared" si="13"/>
        <v>209854720.59999999</v>
      </c>
      <c r="C31" s="4">
        <f t="shared" si="14"/>
        <v>1.4002800840280099</v>
      </c>
      <c r="D31">
        <f t="shared" si="0"/>
        <v>3670957127197778.5</v>
      </c>
      <c r="E31" s="4">
        <f t="shared" si="1"/>
        <v>0.38802172431191967</v>
      </c>
      <c r="F31" s="53">
        <f t="shared" si="2"/>
        <v>29985243.44851454</v>
      </c>
      <c r="G31" s="4">
        <f t="shared" si="3"/>
        <v>0.95017502752156502</v>
      </c>
      <c r="H31" s="3">
        <f t="shared" si="4"/>
        <v>26531648.675724212</v>
      </c>
      <c r="I31" s="4">
        <f t="shared" si="5"/>
        <v>0.84073721308731375</v>
      </c>
      <c r="J31" s="4">
        <f t="shared" si="6"/>
        <v>4.666666666666667</v>
      </c>
      <c r="K31" s="4">
        <f t="shared" si="7"/>
        <v>1.3804761428476167</v>
      </c>
      <c r="L31" s="4">
        <f t="shared" si="8"/>
        <v>47.308889569439792</v>
      </c>
      <c r="M31" s="4">
        <f t="shared" si="9"/>
        <v>65.791510765835355</v>
      </c>
      <c r="N31" s="44">
        <f t="shared" si="10"/>
        <v>4.2311993574560442E+17</v>
      </c>
      <c r="O31" s="4">
        <f t="shared" si="11"/>
        <v>44.723956551376155</v>
      </c>
      <c r="P31" s="3">
        <f t="shared" si="12"/>
        <v>20012.559016507963</v>
      </c>
      <c r="Q31" s="69">
        <f t="shared" si="15"/>
        <v>2.0930469322131619E-7</v>
      </c>
      <c r="S31" s="4"/>
      <c r="T31" s="4"/>
      <c r="V31" s="4"/>
      <c r="W31" s="4"/>
    </row>
    <row r="32" spans="1:23" s="142" customFormat="1">
      <c r="A32" s="137">
        <v>0.71430000000000005</v>
      </c>
      <c r="B32" s="89">
        <f t="shared" si="13"/>
        <v>214141752.74940002</v>
      </c>
      <c r="C32" s="90">
        <f t="shared" si="14"/>
        <v>1.4288987859560189</v>
      </c>
      <c r="D32" s="142">
        <f t="shared" si="0"/>
        <v>3933418418692916.5</v>
      </c>
      <c r="E32" s="90">
        <f t="shared" si="1"/>
        <v>0.41576399406945747</v>
      </c>
      <c r="F32" s="89">
        <f t="shared" si="2"/>
        <v>31223152.094501186</v>
      </c>
      <c r="G32" s="90">
        <f t="shared" si="3"/>
        <v>0.9894019854013355</v>
      </c>
      <c r="H32" s="89">
        <f t="shared" si="4"/>
        <v>27406809.371550053</v>
      </c>
      <c r="I32" s="90">
        <f t="shared" si="5"/>
        <v>0.8684693820680297</v>
      </c>
      <c r="J32" s="143">
        <f t="shared" si="6"/>
        <v>5.0003500175008773</v>
      </c>
      <c r="K32" s="4">
        <f t="shared" si="7"/>
        <v>1.4495611887644033</v>
      </c>
      <c r="L32" s="4">
        <f t="shared" si="8"/>
        <v>45.500996315238517</v>
      </c>
      <c r="M32" s="4">
        <f t="shared" si="9"/>
        <v>64.513212674082311</v>
      </c>
      <c r="N32" s="144">
        <f t="shared" si="10"/>
        <v>4.2259501316261414E+17</v>
      </c>
      <c r="O32" s="90">
        <f t="shared" si="11"/>
        <v>44.668472011861084</v>
      </c>
      <c r="P32" s="3">
        <f t="shared" si="12"/>
        <v>21443.390786969107</v>
      </c>
      <c r="Q32" s="69">
        <f t="shared" si="15"/>
        <v>2.2426928643104251E-7</v>
      </c>
      <c r="S32" s="90"/>
      <c r="T32" s="90"/>
      <c r="V32" s="90"/>
      <c r="W32" s="90"/>
    </row>
    <row r="33" spans="1:23">
      <c r="A33" s="137">
        <v>0.75</v>
      </c>
      <c r="B33" s="3">
        <f t="shared" si="13"/>
        <v>224844343.5</v>
      </c>
      <c r="C33" s="4">
        <f t="shared" si="14"/>
        <v>1.5118578920369088</v>
      </c>
      <c r="D33">
        <f t="shared" si="0"/>
        <v>4694233992300843</v>
      </c>
      <c r="E33" s="4">
        <f t="shared" si="1"/>
        <v>0.49618252267811502</v>
      </c>
      <c r="F33" s="53">
        <f t="shared" si="2"/>
        <v>34687009.714319646</v>
      </c>
      <c r="G33" s="4">
        <f t="shared" si="3"/>
        <v>1.0991650098334362</v>
      </c>
      <c r="H33" s="3">
        <f t="shared" si="4"/>
        <v>29763734.011859115</v>
      </c>
      <c r="I33" s="4">
        <f t="shared" si="5"/>
        <v>0.94315581704119178</v>
      </c>
      <c r="J33" s="4">
        <f t="shared" si="6"/>
        <v>5.9999999999999982</v>
      </c>
      <c r="K33" s="4">
        <f t="shared" si="7"/>
        <v>1.6457513110645903</v>
      </c>
      <c r="L33" s="4">
        <f t="shared" si="8"/>
        <v>41.138229716250557</v>
      </c>
      <c r="M33" s="4">
        <f t="shared" si="9"/>
        <v>61.541652149779082</v>
      </c>
      <c r="N33" s="44">
        <f t="shared" si="10"/>
        <v>4.2107338201539834E+17</v>
      </c>
      <c r="O33" s="4">
        <f t="shared" si="11"/>
        <v>44.50763495464377</v>
      </c>
      <c r="P33" s="3">
        <f t="shared" si="12"/>
        <v>25591.046572622381</v>
      </c>
      <c r="Q33" s="69">
        <f t="shared" si="15"/>
        <v>2.6764823767299399E-7</v>
      </c>
      <c r="S33" s="4"/>
      <c r="T33" s="4"/>
      <c r="V33" s="4"/>
      <c r="W33" s="4"/>
    </row>
    <row r="34" spans="1:23" s="7" customFormat="1">
      <c r="A34" s="12">
        <f>B34/$J$2</f>
        <v>0.77454735654653062</v>
      </c>
      <c r="B34" s="53">
        <f>$B$21*F34/C34</f>
        <v>232203455.8564868</v>
      </c>
      <c r="C34" s="12">
        <f>COSH($B$21*H34/$J$2)</f>
        <v>1.5809878678376126</v>
      </c>
      <c r="D34" s="7">
        <f t="shared" si="0"/>
        <v>5328223010227714</v>
      </c>
      <c r="E34" s="12">
        <f t="shared" si="1"/>
        <v>0.56319543059474608</v>
      </c>
      <c r="F34" s="53">
        <f t="shared" si="2"/>
        <v>37460290.467252269</v>
      </c>
      <c r="G34" s="12">
        <f t="shared" si="3"/>
        <v>1.1870449738653215</v>
      </c>
      <c r="H34" s="53">
        <f>I34*$J$3</f>
        <v>31557600</v>
      </c>
      <c r="I34" s="58">
        <f>1*9.8/$B$21</f>
        <v>1</v>
      </c>
      <c r="J34" s="4">
        <f t="shared" si="6"/>
        <v>6.8710425806685009</v>
      </c>
      <c r="K34" s="4">
        <f t="shared" si="7"/>
        <v>1.8055378416033712</v>
      </c>
      <c r="L34" s="4">
        <f t="shared" si="8"/>
        <v>38.236549886962827</v>
      </c>
      <c r="M34" s="4">
        <f t="shared" si="9"/>
        <v>59.663635691311278</v>
      </c>
      <c r="N34" s="44">
        <f t="shared" si="10"/>
        <v>4.1980540397954458E+17</v>
      </c>
      <c r="O34" s="4">
        <f t="shared" si="11"/>
        <v>44.373609138810508</v>
      </c>
      <c r="P34" s="3">
        <f t="shared" si="12"/>
        <v>29047.29577343084</v>
      </c>
      <c r="Q34" s="69">
        <f t="shared" si="15"/>
        <v>3.0379599759089896E-7</v>
      </c>
      <c r="S34" s="12"/>
      <c r="T34" s="12"/>
      <c r="V34" s="12"/>
      <c r="W34" s="12"/>
    </row>
    <row r="35" spans="1:23" s="7" customFormat="1">
      <c r="A35">
        <v>0.8</v>
      </c>
      <c r="B35" s="3">
        <f t="shared" ref="B35:B41" si="16">A35*$J$2</f>
        <v>239833966.40000001</v>
      </c>
      <c r="C35" s="4">
        <f t="shared" ref="C35:C41" si="17">1/SQRT(1-B35^2/$J$2^2)</f>
        <v>1.6666666666666667</v>
      </c>
      <c r="D35">
        <f t="shared" si="0"/>
        <v>6113980807733453</v>
      </c>
      <c r="E35" s="4">
        <f t="shared" si="1"/>
        <v>0.64625036284138093</v>
      </c>
      <c r="F35" s="53">
        <f t="shared" si="2"/>
        <v>40788089.523809522</v>
      </c>
      <c r="G35" s="4">
        <f t="shared" si="3"/>
        <v>1.2924965625969504</v>
      </c>
      <c r="H35" s="3">
        <f t="shared" ref="H35:H41" si="18">$J$2/$B$21*ASINH($B$21*F35/$J$2)</f>
        <v>33607722.286614098</v>
      </c>
      <c r="I35" s="4">
        <f t="shared" ref="I35:I41" si="19">H35/$J$3</f>
        <v>1.0649644550477253</v>
      </c>
      <c r="J35" s="4">
        <f t="shared" si="6"/>
        <v>8.0000000000000018</v>
      </c>
      <c r="K35" s="4">
        <f t="shared" si="7"/>
        <v>2.0000000000000004</v>
      </c>
      <c r="L35" s="4">
        <f t="shared" si="8"/>
        <v>35.285446573081153</v>
      </c>
      <c r="M35" s="4">
        <f t="shared" si="9"/>
        <v>57.844189230170088</v>
      </c>
      <c r="N35" s="44">
        <f t="shared" si="10"/>
        <v>4.1823388838453312E+17</v>
      </c>
      <c r="O35" s="4">
        <f t="shared" si="11"/>
        <v>44.207499274317243</v>
      </c>
      <c r="P35" s="3">
        <f t="shared" si="12"/>
        <v>33330.926377220705</v>
      </c>
      <c r="Q35" s="69">
        <f t="shared" si="15"/>
        <v>3.4859706419413066E-7</v>
      </c>
      <c r="S35" s="12"/>
      <c r="T35" s="12"/>
      <c r="V35" s="12"/>
      <c r="W35" s="12"/>
    </row>
    <row r="36" spans="1:23" s="7" customFormat="1">
      <c r="A36">
        <v>0.83333999999999997</v>
      </c>
      <c r="B36" s="89">
        <f t="shared" si="16"/>
        <v>249829046.94972</v>
      </c>
      <c r="C36" s="90">
        <f t="shared" si="17"/>
        <v>1.8091009606419246</v>
      </c>
      <c r="D36" s="142">
        <f t="shared" si="0"/>
        <v>7420241617325139</v>
      </c>
      <c r="E36" s="90">
        <f t="shared" si="1"/>
        <v>0.78432268408523043</v>
      </c>
      <c r="F36" s="89">
        <f t="shared" si="2"/>
        <v>46118976.411530085</v>
      </c>
      <c r="G36" s="90">
        <f t="shared" si="3"/>
        <v>1.4614221744216951</v>
      </c>
      <c r="H36" s="89">
        <f t="shared" si="18"/>
        <v>36677755.099457912</v>
      </c>
      <c r="I36" s="90">
        <f t="shared" si="19"/>
        <v>1.1622479244130703</v>
      </c>
      <c r="J36" s="143">
        <f t="shared" si="6"/>
        <v>10.000480019200774</v>
      </c>
      <c r="K36" s="4">
        <f t="shared" si="7"/>
        <v>2.3166971551832667</v>
      </c>
      <c r="L36" s="4">
        <f t="shared" si="8"/>
        <v>31.464403000361365</v>
      </c>
      <c r="M36" s="4">
        <f t="shared" si="9"/>
        <v>55.639878369702259</v>
      </c>
      <c r="N36" s="144">
        <f t="shared" si="10"/>
        <v>4.156213667653497E+17</v>
      </c>
      <c r="O36" s="90">
        <f t="shared" si="11"/>
        <v>43.931354631829535</v>
      </c>
      <c r="P36" s="3">
        <f t="shared" si="12"/>
        <v>40452.126826341788</v>
      </c>
      <c r="Q36" s="69">
        <f t="shared" si="15"/>
        <v>4.2307532927463852E-7</v>
      </c>
      <c r="S36" s="12"/>
      <c r="T36" s="12"/>
      <c r="V36" s="12"/>
      <c r="W36" s="12"/>
    </row>
    <row r="37" spans="1:23" s="7" customFormat="1">
      <c r="A37">
        <v>0.85</v>
      </c>
      <c r="B37" s="3">
        <f t="shared" si="16"/>
        <v>254823589.29999998</v>
      </c>
      <c r="C37" s="4">
        <f t="shared" si="17"/>
        <v>1.8983159915049976</v>
      </c>
      <c r="D37">
        <f t="shared" si="0"/>
        <v>8238430097012403</v>
      </c>
      <c r="E37" s="4">
        <f t="shared" si="1"/>
        <v>0.87080555318447928</v>
      </c>
      <c r="F37" s="53">
        <f t="shared" si="2"/>
        <v>49360785.161315478</v>
      </c>
      <c r="G37" s="4">
        <f t="shared" si="3"/>
        <v>1.5641488947611821</v>
      </c>
      <c r="H37" s="3">
        <f t="shared" si="18"/>
        <v>38427055.01321546</v>
      </c>
      <c r="I37" s="4">
        <f t="shared" si="19"/>
        <v>1.2176798936932929</v>
      </c>
      <c r="J37" s="4">
        <f t="shared" si="6"/>
        <v>11.333333333333329</v>
      </c>
      <c r="K37" s="4">
        <f t="shared" si="7"/>
        <v>2.5118845842842457</v>
      </c>
      <c r="L37" s="4">
        <f t="shared" si="8"/>
        <v>29.554286212750725</v>
      </c>
      <c r="M37" s="4">
        <f t="shared" si="9"/>
        <v>54.608589495238562</v>
      </c>
      <c r="N37" s="44">
        <f t="shared" si="10"/>
        <v>4.1398498980597517E+17</v>
      </c>
      <c r="O37" s="4">
        <f t="shared" si="11"/>
        <v>43.758388893631036</v>
      </c>
      <c r="P37" s="3">
        <f t="shared" si="12"/>
        <v>44912.556264499639</v>
      </c>
      <c r="Q37" s="69">
        <f t="shared" si="15"/>
        <v>4.6972547603592268E-7</v>
      </c>
      <c r="S37" s="12"/>
      <c r="T37" s="12"/>
      <c r="V37" s="12"/>
      <c r="W37" s="12"/>
    </row>
    <row r="38" spans="1:23">
      <c r="A38">
        <v>0.9</v>
      </c>
      <c r="B38" s="3">
        <f t="shared" si="16"/>
        <v>269813212.19999999</v>
      </c>
      <c r="C38" s="4">
        <f t="shared" si="17"/>
        <v>2.2941573387056171</v>
      </c>
      <c r="D38">
        <f t="shared" si="0"/>
        <v>1.1868679696550316E+16</v>
      </c>
      <c r="E38" s="4">
        <f t="shared" si="1"/>
        <v>1.2545244745685113</v>
      </c>
      <c r="F38" s="53">
        <f t="shared" si="2"/>
        <v>63162649.066159777</v>
      </c>
      <c r="G38" s="4">
        <f t="shared" si="3"/>
        <v>2.0015035701751649</v>
      </c>
      <c r="H38" s="3">
        <f t="shared" si="18"/>
        <v>45036765.25486315</v>
      </c>
      <c r="I38" s="4">
        <f t="shared" si="19"/>
        <v>1.4271289722559115</v>
      </c>
      <c r="J38" s="4">
        <f t="shared" si="6"/>
        <v>17.999999999999989</v>
      </c>
      <c r="K38" s="4">
        <f t="shared" si="7"/>
        <v>3.3588989435406722</v>
      </c>
      <c r="L38" s="4">
        <f t="shared" si="8"/>
        <v>23.675658781449641</v>
      </c>
      <c r="M38" s="4">
        <f t="shared" si="9"/>
        <v>51.770576672542504</v>
      </c>
      <c r="N38" s="44">
        <f t="shared" si="10"/>
        <v>4.0672449060689939E+17</v>
      </c>
      <c r="O38" s="4">
        <f t="shared" si="11"/>
        <v>42.990951050862982</v>
      </c>
      <c r="P38" s="3">
        <f t="shared" si="12"/>
        <v>64703.194465405191</v>
      </c>
      <c r="Q38" s="69">
        <f t="shared" si="15"/>
        <v>6.7670917331710081E-7</v>
      </c>
      <c r="S38" s="4"/>
      <c r="T38" s="4"/>
      <c r="V38" s="4"/>
      <c r="W38" s="4"/>
    </row>
    <row r="39" spans="1:23">
      <c r="A39" s="43">
        <v>0.95</v>
      </c>
      <c r="B39" s="3">
        <f t="shared" si="16"/>
        <v>284802835.09999996</v>
      </c>
      <c r="C39" s="4">
        <f t="shared" si="17"/>
        <v>3.2025630761017405</v>
      </c>
      <c r="D39">
        <f t="shared" si="0"/>
        <v>2.0199642562662596E+16</v>
      </c>
      <c r="E39" s="4">
        <f t="shared" si="1"/>
        <v>2.135110780667667</v>
      </c>
      <c r="F39" s="53">
        <f t="shared" si="2"/>
        <v>93071330.985750273</v>
      </c>
      <c r="G39" s="4">
        <f t="shared" si="3"/>
        <v>2.9492525092450084</v>
      </c>
      <c r="H39" s="3">
        <f t="shared" si="18"/>
        <v>56036130.149374105</v>
      </c>
      <c r="I39" s="4">
        <f t="shared" si="19"/>
        <v>1.7756778129317219</v>
      </c>
      <c r="J39" s="4">
        <f t="shared" si="6"/>
        <v>37.999999999999943</v>
      </c>
      <c r="K39" s="4">
        <f t="shared" si="7"/>
        <v>5.2449979983983939</v>
      </c>
      <c r="L39" s="4">
        <f t="shared" si="8"/>
        <v>17.102884809701511</v>
      </c>
      <c r="M39" s="4">
        <f t="shared" si="9"/>
        <v>49.298132007364963</v>
      </c>
      <c r="N39" s="44">
        <f t="shared" si="10"/>
        <v>3.9006256487467482E+17</v>
      </c>
      <c r="O39" s="4">
        <f t="shared" si="11"/>
        <v>41.229778438664667</v>
      </c>
      <c r="P39" s="3">
        <f t="shared" si="12"/>
        <v>110120.20159609782</v>
      </c>
      <c r="Q39" s="69">
        <f t="shared" si="15"/>
        <v>1.1517105330471906E-6</v>
      </c>
      <c r="S39" s="4"/>
      <c r="T39" s="4"/>
      <c r="V39" s="4"/>
      <c r="W39" s="4"/>
    </row>
    <row r="40" spans="1:23">
      <c r="A40" s="43">
        <v>0.97499999999999998</v>
      </c>
      <c r="B40" s="3">
        <f t="shared" si="16"/>
        <v>292297646.55000001</v>
      </c>
      <c r="C40" s="4">
        <f t="shared" si="17"/>
        <v>4.5003516037041029</v>
      </c>
      <c r="D40">
        <f t="shared" si="0"/>
        <v>3.2101623788048844E+16</v>
      </c>
      <c r="E40" s="4">
        <f t="shared" si="1"/>
        <v>3.3931552409492789</v>
      </c>
      <c r="F40" s="53">
        <f t="shared" si="2"/>
        <v>134228794.1234926</v>
      </c>
      <c r="G40" s="4">
        <f t="shared" si="3"/>
        <v>4.2534538153564467</v>
      </c>
      <c r="H40" s="3">
        <f t="shared" si="18"/>
        <v>66833036.316015854</v>
      </c>
      <c r="I40" s="4">
        <f t="shared" si="19"/>
        <v>2.1178111236600965</v>
      </c>
      <c r="J40" s="4">
        <f t="shared" si="6"/>
        <v>78.000000000000284</v>
      </c>
      <c r="K40" s="4">
        <f t="shared" si="7"/>
        <v>7.8881944173156047</v>
      </c>
      <c r="L40" s="4">
        <f t="shared" si="8"/>
        <v>13.058537394367479</v>
      </c>
      <c r="M40" s="4">
        <f t="shared" si="9"/>
        <v>48.213127962072356</v>
      </c>
      <c r="N40" s="44">
        <f t="shared" si="10"/>
        <v>3.6625860242390234E+17</v>
      </c>
      <c r="O40" s="4">
        <f t="shared" si="11"/>
        <v>38.713689518101447</v>
      </c>
      <c r="P40" s="3">
        <f t="shared" si="12"/>
        <v>175004.9423961718</v>
      </c>
      <c r="Q40" s="69">
        <f t="shared" si="15"/>
        <v>1.830318439047701E-6</v>
      </c>
      <c r="S40" s="4"/>
      <c r="T40" s="4"/>
      <c r="V40" s="4"/>
      <c r="W40" s="4"/>
    </row>
    <row r="41" spans="1:23">
      <c r="A41" s="43">
        <v>0.98</v>
      </c>
      <c r="B41" s="3">
        <f t="shared" si="16"/>
        <v>293796608.83999997</v>
      </c>
      <c r="C41" s="4">
        <f t="shared" si="17"/>
        <v>5.0251890762960549</v>
      </c>
      <c r="D41">
        <f t="shared" si="0"/>
        <v>3.6914893139958632E+16</v>
      </c>
      <c r="E41" s="4">
        <f t="shared" si="1"/>
        <v>3.9019198515922322</v>
      </c>
      <c r="F41" s="53">
        <f t="shared" si="2"/>
        <v>150651378.50975433</v>
      </c>
      <c r="G41" s="4">
        <f t="shared" si="3"/>
        <v>4.7738541115216089</v>
      </c>
      <c r="H41" s="3">
        <f t="shared" si="18"/>
        <v>70284809.932471395</v>
      </c>
      <c r="I41" s="4">
        <f t="shared" si="19"/>
        <v>2.2271912291324876</v>
      </c>
      <c r="J41" s="4">
        <f t="shared" si="6"/>
        <v>97.999999999999716</v>
      </c>
      <c r="K41" s="4">
        <f t="shared" si="7"/>
        <v>8.9498743710661852</v>
      </c>
      <c r="L41" s="4">
        <f t="shared" si="8"/>
        <v>12.108889624283639</v>
      </c>
      <c r="M41" s="4">
        <f t="shared" si="9"/>
        <v>48.013054018150086</v>
      </c>
      <c r="N41" s="44">
        <f t="shared" si="10"/>
        <v>3.5663206372008275E+17</v>
      </c>
      <c r="O41" s="4">
        <f t="shared" si="11"/>
        <v>37.696160296815535</v>
      </c>
      <c r="P41" s="3">
        <f t="shared" si="12"/>
        <v>201244.92113462518</v>
      </c>
      <c r="Q41" s="69">
        <f t="shared" si="15"/>
        <v>2.1047536422346336E-6</v>
      </c>
      <c r="S41" s="4"/>
      <c r="T41" s="4"/>
      <c r="V41" s="4"/>
      <c r="W41" s="4"/>
    </row>
    <row r="42" spans="1:23">
      <c r="A42" s="139">
        <f>B42/$J$2</f>
        <v>0.98360811555624894</v>
      </c>
      <c r="B42" s="53">
        <f>$B$21*F42/C42</f>
        <v>294878294.6713559</v>
      </c>
      <c r="C42" s="12">
        <f>COSH($B$21*H42/$J$2)</f>
        <v>5.545715930848913</v>
      </c>
      <c r="D42" s="7">
        <f t="shared" si="0"/>
        <v>4.1688629937927688E+16</v>
      </c>
      <c r="E42" s="12">
        <f t="shared" si="1"/>
        <v>4.4065058545274329</v>
      </c>
      <c r="F42" s="53">
        <f t="shared" si="2"/>
        <v>166868495.55311209</v>
      </c>
      <c r="G42" s="12">
        <f t="shared" si="3"/>
        <v>5.2877435404819151</v>
      </c>
      <c r="H42" s="53">
        <f>I42*$J$3</f>
        <v>73355641.200000003</v>
      </c>
      <c r="I42" s="140">
        <f>2.3245*9.8/$B$21</f>
        <v>2.3245</v>
      </c>
      <c r="J42" s="4">
        <f t="shared" si="6"/>
        <v>120.01159707189552</v>
      </c>
      <c r="K42" s="4">
        <f t="shared" si="7"/>
        <v>10.000527127001483</v>
      </c>
      <c r="L42" s="4">
        <f t="shared" si="8"/>
        <v>11.374598522953013</v>
      </c>
      <c r="M42" s="4">
        <f t="shared" si="9"/>
        <v>47.87374595419827</v>
      </c>
      <c r="N42" s="44">
        <f t="shared" si="10"/>
        <v>3.4708459012414464E+17</v>
      </c>
      <c r="O42" s="4">
        <f t="shared" si="11"/>
        <v>36.686988290945138</v>
      </c>
      <c r="P42" s="3">
        <f t="shared" si="12"/>
        <v>227269.38453432659</v>
      </c>
      <c r="Q42" s="69">
        <f t="shared" si="15"/>
        <v>2.3769348422316314E-6</v>
      </c>
      <c r="S42" s="4"/>
      <c r="T42" s="4"/>
      <c r="V42" s="4"/>
      <c r="W42" s="4"/>
    </row>
    <row r="43" spans="1:23">
      <c r="A43" s="43">
        <v>0.99</v>
      </c>
      <c r="B43" s="3">
        <f>A43*$J$2</f>
        <v>296794533.42000002</v>
      </c>
      <c r="C43" s="4">
        <f>1/SQRT(1-B43^2/$J$2^2)</f>
        <v>7.0888120500833738</v>
      </c>
      <c r="D43">
        <f t="shared" si="0"/>
        <v>5.584032002415888E+16</v>
      </c>
      <c r="E43" s="4">
        <f t="shared" si="1"/>
        <v>5.9023454949590288</v>
      </c>
      <c r="F43" s="53">
        <f t="shared" si="2"/>
        <v>214685782.13332328</v>
      </c>
      <c r="G43" s="4">
        <f t="shared" si="3"/>
        <v>6.802981916664236</v>
      </c>
      <c r="H43" s="3">
        <f>$J$2/$B$21*ASINH($B$21*F43/$J$2)</f>
        <v>80963921.650378346</v>
      </c>
      <c r="I43" s="4">
        <f>H43/$J$3</f>
        <v>2.5655918590253486</v>
      </c>
      <c r="J43" s="4">
        <f t="shared" si="6"/>
        <v>198.00000000000068</v>
      </c>
      <c r="K43" s="4">
        <f t="shared" si="7"/>
        <v>13.106735979665908</v>
      </c>
      <c r="L43" s="4">
        <f t="shared" si="8"/>
        <v>9.932489747743551</v>
      </c>
      <c r="M43" s="4">
        <f t="shared" si="9"/>
        <v>47.641519872753136</v>
      </c>
      <c r="N43" s="44">
        <f t="shared" si="10"/>
        <v>3.1878120995168224E+17</v>
      </c>
      <c r="O43" s="4">
        <f t="shared" si="11"/>
        <v>33.695309010081942</v>
      </c>
      <c r="P43" s="3">
        <f t="shared" si="12"/>
        <v>304418.61924909474</v>
      </c>
      <c r="Q43" s="69">
        <f t="shared" si="15"/>
        <v>3.1838130076333648E-6</v>
      </c>
      <c r="S43" s="4"/>
      <c r="T43" s="4"/>
      <c r="V43" s="4"/>
      <c r="W43" s="4"/>
    </row>
    <row r="44" spans="1:23">
      <c r="A44" s="41">
        <f>B44/$J$2</f>
        <v>0.99916453342983524</v>
      </c>
      <c r="B44" s="3">
        <f>$J$2*TANH(H44*$B$21/$J$2)</f>
        <v>299541991.42335349</v>
      </c>
      <c r="C44" s="4">
        <f>1/SQRT(1-B44^2/$J$2^2)</f>
        <v>24.46871667504065</v>
      </c>
      <c r="D44" s="141">
        <f>D6/2</f>
        <v>2.15230925E+17</v>
      </c>
      <c r="E44" s="4">
        <f t="shared" si="1"/>
        <v>22.75</v>
      </c>
      <c r="F44" s="53">
        <f t="shared" si="2"/>
        <v>747898787.79750299</v>
      </c>
      <c r="G44" s="4">
        <f t="shared" si="3"/>
        <v>23.69948246373308</v>
      </c>
      <c r="H44" s="3">
        <f>$J$2/$B$21*ASINH($B$21*F44/$J$2)</f>
        <v>119003068.68323939</v>
      </c>
      <c r="I44" s="4">
        <f>H44/$J$3</f>
        <v>3.7709796905734083</v>
      </c>
      <c r="J44" s="4">
        <f t="shared" si="6"/>
        <v>2391.8719649858172</v>
      </c>
      <c r="K44" s="4">
        <f t="shared" si="7"/>
        <v>47.916990555284748</v>
      </c>
      <c r="L44" s="4">
        <f t="shared" si="8"/>
        <v>7.5419593811468166</v>
      </c>
      <c r="M44" s="4">
        <f t="shared" si="9"/>
        <v>47.39896492746616</v>
      </c>
      <c r="N44" s="44">
        <f t="shared" si="10"/>
        <v>0</v>
      </c>
      <c r="O44" s="4">
        <f t="shared" si="11"/>
        <v>0</v>
      </c>
      <c r="P44" s="4" t="s">
        <v>957</v>
      </c>
      <c r="S44" s="4"/>
      <c r="T44" s="4"/>
      <c r="V44" s="4"/>
      <c r="W44" s="4"/>
    </row>
    <row r="45" spans="1:23">
      <c r="A45" s="42"/>
      <c r="B45" s="3"/>
      <c r="C45" s="4"/>
      <c r="E45" s="4"/>
      <c r="F45" s="53"/>
      <c r="G45" s="4"/>
      <c r="H45" s="3"/>
      <c r="I45" s="4"/>
      <c r="J45" s="4"/>
      <c r="K45" s="4"/>
      <c r="L45" s="4"/>
      <c r="M45" s="4"/>
      <c r="P45" s="4"/>
      <c r="S45" s="4"/>
      <c r="T45" s="4"/>
      <c r="V45" s="4"/>
      <c r="W45" s="4"/>
    </row>
    <row r="46" spans="1:23" s="7" customFormat="1">
      <c r="A46" s="138" t="s">
        <v>963</v>
      </c>
      <c r="B46" s="53"/>
      <c r="C46" s="12"/>
      <c r="E46" s="12"/>
      <c r="F46" s="53"/>
      <c r="G46" s="12"/>
      <c r="H46" s="53"/>
      <c r="I46" s="12" t="s">
        <v>982</v>
      </c>
      <c r="J46" s="4"/>
      <c r="K46" s="4"/>
      <c r="L46" s="4"/>
      <c r="M46" s="12"/>
      <c r="P46" s="12"/>
      <c r="S46" s="12"/>
      <c r="T46" s="12"/>
      <c r="V46" s="12"/>
      <c r="W46" s="12"/>
    </row>
    <row r="47" spans="1:23">
      <c r="A47" s="41">
        <f>B47/$J$2</f>
        <v>2.2602268949219628E-2</v>
      </c>
      <c r="B47" s="4">
        <f>$J$2*TANH(H47*$B$21/$J$2)</f>
        <v>6775989.7646636292</v>
      </c>
      <c r="C47" s="4">
        <f>1/SQRT(1-B47^2/$J$2^2)</f>
        <v>1.000255529190218</v>
      </c>
      <c r="D47" s="141">
        <f>4686901694426/2</f>
        <v>2343450847213</v>
      </c>
      <c r="E47" s="4">
        <f>D47/$J$5</f>
        <v>2.4770374784244297E-4</v>
      </c>
      <c r="F47" s="53">
        <f>SQRT((D47/$J$2)^2+2*D47/$B$21)</f>
        <v>691604.206922565</v>
      </c>
      <c r="G47" s="4">
        <f>F47/3600/24</f>
        <v>8.0046783208630199</v>
      </c>
      <c r="H47" s="3">
        <f>$J$2/$B$21*ASINH($B$21*F47/$J$2)</f>
        <v>691545.30458871007</v>
      </c>
      <c r="I47" s="4">
        <f>H47/3600/24</f>
        <v>8.0039965808878488</v>
      </c>
      <c r="J47" s="4">
        <f>EXP($B$21*2*H47/$J$2)-1</f>
        <v>4.6249890359210122E-2</v>
      </c>
      <c r="K47" s="4">
        <f>EXP($B$21*H47/$J$2)-1</f>
        <v>2.2863573678919336E-2</v>
      </c>
      <c r="L47" s="4">
        <f>(($D$6-2*D47)/B47/C47+2*H47)/$J$3</f>
        <v>2012.5733969345322</v>
      </c>
      <c r="M47" s="4">
        <f>(($D$6-2*D47)/B47+F47*2)/$J$3</f>
        <v>2013.0876607187054</v>
      </c>
      <c r="N47" s="44">
        <f>$D$6-D47*2</f>
        <v>4.304571630983056E+17</v>
      </c>
      <c r="O47" s="4">
        <f>N47/$J$5</f>
        <v>45.499504592504316</v>
      </c>
      <c r="P47" s="4" t="s">
        <v>957</v>
      </c>
      <c r="S47" s="4"/>
      <c r="T47" s="4"/>
      <c r="V47" s="4"/>
      <c r="W47" s="4"/>
    </row>
    <row r="48" spans="1:23">
      <c r="A48" s="41" t="s">
        <v>995</v>
      </c>
      <c r="B48" s="4"/>
      <c r="C48" s="4"/>
      <c r="D48" s="141"/>
      <c r="E48" s="4"/>
      <c r="F48" s="53"/>
      <c r="G48" s="4"/>
      <c r="H48" s="3"/>
      <c r="I48" s="4"/>
      <c r="J48" s="4"/>
      <c r="K48" s="4"/>
      <c r="L48" s="4"/>
      <c r="M48" s="4"/>
      <c r="N48" s="44"/>
      <c r="O48" s="4"/>
      <c r="P48" s="4"/>
      <c r="S48" s="4"/>
      <c r="T48" s="4"/>
      <c r="V48" s="4"/>
      <c r="W48" s="4"/>
    </row>
    <row r="49" spans="1:24">
      <c r="A49" s="41">
        <f>B49/$J$2</f>
        <v>5.2813943429221369E-3</v>
      </c>
      <c r="B49" s="4">
        <f>$J$2*TANH(H49*$B$21/$J$2)</f>
        <v>1583322.1917319223</v>
      </c>
      <c r="C49" s="4">
        <f>1/SQRT(1-B49^2/$J$2^2)</f>
        <v>1.0000139468548694</v>
      </c>
      <c r="D49" s="141">
        <f>1.71*149597900000*0.5</f>
        <v>127906204500</v>
      </c>
      <c r="E49" s="4">
        <f>D49/$J$5</f>
        <v>1.3519740029807519E-5</v>
      </c>
      <c r="F49" s="53">
        <f>SQRT((D49/$J$2)^2+2*D49/$B$21)</f>
        <v>161565.74225476693</v>
      </c>
      <c r="G49" s="4">
        <f>F49/3600/24</f>
        <v>1.8699738686894321</v>
      </c>
      <c r="H49" s="3">
        <f>$J$2/$B$21*ASINH($B$21*F49/$J$2)</f>
        <v>161564.9911476401</v>
      </c>
      <c r="I49" s="4">
        <f>H49/3600/24</f>
        <v>1.8699651753199085</v>
      </c>
      <c r="J49" s="4">
        <f>EXP($B$21*2*H49/$J$2)-1</f>
        <v>1.0618871131767849E-2</v>
      </c>
      <c r="K49" s="4">
        <f>EXP($B$21*H49/$J$2)-1</f>
        <v>5.2954148566319859E-3</v>
      </c>
      <c r="L49" s="4">
        <f>(($D$6-2*D49)/B49/C49+2*H49)/$J$3</f>
        <v>8615.0063715073575</v>
      </c>
      <c r="M49" s="4">
        <f>(($D$6-2*D49)/B49+F49*2)/$J$3</f>
        <v>8615.1265236557138</v>
      </c>
      <c r="N49" s="44">
        <f>$D$6-D49*2</f>
        <v>4.3046159418759098E+17</v>
      </c>
      <c r="O49" s="4">
        <f>N49/$J$5</f>
        <v>45.499972960519941</v>
      </c>
      <c r="P49" s="4" t="s">
        <v>957</v>
      </c>
      <c r="S49" s="4"/>
      <c r="T49" s="4"/>
      <c r="V49" s="4"/>
      <c r="W49" s="4"/>
    </row>
    <row r="50" spans="1:24">
      <c r="A50" s="41">
        <f>B50/$J$2</f>
        <v>7.5557887604055336E-3</v>
      </c>
      <c r="B50" s="4">
        <f>$J$2*TANH(H50*$B$21/$J$2)</f>
        <v>2265168.484610748</v>
      </c>
      <c r="C50" s="4">
        <f>1/SQRT(1-B50^2/$J$2^2)</f>
        <v>1.0000285461941771</v>
      </c>
      <c r="D50" s="141">
        <f>3.5*149597900000*0.5</f>
        <v>261796325000</v>
      </c>
      <c r="E50" s="4">
        <f>D50/$J$5</f>
        <v>2.7671982517149894E-5</v>
      </c>
      <c r="F50" s="53">
        <f>SQRT((D50/$J$2)^2+2*D50/$B$21)</f>
        <v>231146.23944389386</v>
      </c>
      <c r="G50" s="4">
        <f>F50/3600/24</f>
        <v>2.6753036972672901</v>
      </c>
      <c r="H50" s="3">
        <f>$J$2/$B$21*ASINH($B$21*F50/$J$2)</f>
        <v>231144.04002052912</v>
      </c>
      <c r="I50" s="4">
        <f>H50/3600/24</f>
        <v>2.6752782409783467</v>
      </c>
      <c r="J50" s="4">
        <f>EXP($B$21*2*H50/$J$2)-1</f>
        <v>1.5226626695657108E-2</v>
      </c>
      <c r="K50" s="4">
        <f>EXP($B$21*H50/$J$2)-1</f>
        <v>7.5845506435958665E-3</v>
      </c>
      <c r="L50" s="4">
        <f>(($D$6-2*D50)/B50/C50+2*H50)/$J$3</f>
        <v>6021.6889886019053</v>
      </c>
      <c r="M50" s="4">
        <f>(($D$6-2*D50)/B50+F50*2)/$J$3</f>
        <v>6021.860884626265</v>
      </c>
      <c r="N50" s="44">
        <f>$D$6-D50*2</f>
        <v>4.3046132640735002E+17</v>
      </c>
      <c r="O50" s="4">
        <f>N50/$J$5</f>
        <v>45.49994465603497</v>
      </c>
      <c r="P50" s="4" t="s">
        <v>957</v>
      </c>
      <c r="S50" s="4"/>
      <c r="T50" s="4"/>
      <c r="V50" s="4"/>
      <c r="W50" s="4"/>
    </row>
    <row r="51" spans="1:24">
      <c r="A51" t="s">
        <v>996</v>
      </c>
      <c r="C51" s="3"/>
      <c r="D51" s="4"/>
      <c r="F51" s="4"/>
      <c r="G51" s="3"/>
      <c r="H51" s="3"/>
      <c r="I51" s="4"/>
      <c r="J51" s="3"/>
      <c r="K51" s="3"/>
      <c r="N51" s="4"/>
      <c r="Q51" s="4"/>
      <c r="T51" s="4"/>
      <c r="U51" s="4"/>
      <c r="W51" s="4"/>
      <c r="X51" s="4"/>
    </row>
    <row r="52" spans="1:24">
      <c r="A52" s="41">
        <f>B52/$J$2</f>
        <v>5.3580497506129357E-3</v>
      </c>
      <c r="B52" s="4">
        <f>$J$2*TANH(H52*$B$21/$J$2)</f>
        <v>1606302.9048225391</v>
      </c>
      <c r="C52" s="4">
        <f>1/SQRT(1-B52^2/$J$2^2)</f>
        <v>1.0000143546576434</v>
      </c>
      <c r="D52" s="141">
        <f>1.76*149597900000*0.5</f>
        <v>131646152000</v>
      </c>
      <c r="E52" s="4">
        <f>D52/$J$5</f>
        <v>1.3915054065766803E-5</v>
      </c>
      <c r="F52" s="53">
        <f>SQRT((D52/$J$2)^2+2*D52/$B$21)</f>
        <v>163910.81252559333</v>
      </c>
      <c r="G52" s="4">
        <f>F52/3600/24</f>
        <v>1.8971158857128856</v>
      </c>
      <c r="H52" s="3">
        <f>$J$2/$B$21*ASINH($B$21*F52/$J$2)</f>
        <v>163910.02823556343</v>
      </c>
      <c r="I52" s="4">
        <f>H52/3600/24</f>
        <v>1.8971068082819842</v>
      </c>
      <c r="J52" s="4">
        <f>EXP($B$21*2*H52/$J$2)-1</f>
        <v>1.077382619799927E-2</v>
      </c>
      <c r="K52" s="4">
        <f>EXP($B$21*H52/$J$2)-1</f>
        <v>5.3724813212261413E-3</v>
      </c>
      <c r="L52" s="4">
        <f>(($D$6-2*D52)/B52/C52+2*H52)/$J$3</f>
        <v>8491.7517135188027</v>
      </c>
      <c r="M52" s="4">
        <f>(($D$6-2*D52)/B52+F52*2)/$J$3</f>
        <v>8491.8736096080338</v>
      </c>
      <c r="N52" s="44">
        <f>$D$6-D52*2</f>
        <v>4.30461586707696E+17</v>
      </c>
      <c r="O52" s="4">
        <f>N52/$J$5</f>
        <v>45.499972169891869</v>
      </c>
      <c r="P52" s="4" t="s">
        <v>957</v>
      </c>
      <c r="Q52" s="4"/>
      <c r="T52" s="4"/>
      <c r="U52" s="4"/>
      <c r="W52" s="4"/>
      <c r="X52" s="4"/>
    </row>
    <row r="53" spans="1:24">
      <c r="A53" s="41">
        <f>B53/$J$2</f>
        <v>7.5557887604055336E-3</v>
      </c>
      <c r="B53" s="4">
        <f>$J$2*TANH(H53*$B$21/$J$2)</f>
        <v>2265168.484610748</v>
      </c>
      <c r="C53" s="4">
        <f>1/SQRT(1-B53^2/$J$2^2)</f>
        <v>1.0000285461941771</v>
      </c>
      <c r="D53" s="141">
        <f>3.5*149597900000*0.5</f>
        <v>261796325000</v>
      </c>
      <c r="E53" s="4">
        <f>D53/$J$5</f>
        <v>2.7671982517149894E-5</v>
      </c>
      <c r="F53" s="53">
        <f>SQRT((D53/$J$2)^2+2*D53/$B$21)</f>
        <v>231146.23944389386</v>
      </c>
      <c r="G53" s="4">
        <f>F53/3600/24</f>
        <v>2.6753036972672901</v>
      </c>
      <c r="H53" s="3">
        <f>$J$2/$B$21*ASINH($B$21*F53/$J$2)</f>
        <v>231144.04002052912</v>
      </c>
      <c r="I53" s="4">
        <f>H53/3600/24</f>
        <v>2.6752782409783467</v>
      </c>
      <c r="J53" s="4">
        <f>EXP($B$21*2*H53/$J$2)-1</f>
        <v>1.5226626695657108E-2</v>
      </c>
      <c r="K53" s="4">
        <f>EXP($B$21*H53/$J$2)-1</f>
        <v>7.5845506435958665E-3</v>
      </c>
      <c r="L53" s="4">
        <f>(($D$6-2*D53)/B53/C53+2*H53)/$J$3</f>
        <v>6021.6889886019053</v>
      </c>
      <c r="M53" s="4">
        <f>(($D$6-2*D53)/B53+F53*2)/$J$3</f>
        <v>6021.860884626265</v>
      </c>
      <c r="N53" s="44">
        <f>$D$6-D53*2</f>
        <v>4.3046132640735002E+17</v>
      </c>
      <c r="O53" s="4">
        <f>N53/$J$5</f>
        <v>45.49994465603497</v>
      </c>
      <c r="P53" s="4" t="s">
        <v>957</v>
      </c>
      <c r="Q53" s="4"/>
      <c r="T53" s="4"/>
      <c r="U53" s="4"/>
      <c r="W53" s="4"/>
      <c r="X53" s="4"/>
    </row>
    <row r="54" spans="1:24">
      <c r="C54" s="3"/>
      <c r="D54" s="4"/>
      <c r="F54" s="4"/>
      <c r="G54" s="3"/>
      <c r="H54" s="3"/>
      <c r="I54" s="4"/>
      <c r="J54" s="3"/>
      <c r="K54" s="3"/>
      <c r="N54" s="4"/>
      <c r="Q54" s="4"/>
      <c r="T54" s="4"/>
      <c r="U54" s="4"/>
      <c r="W54" s="4"/>
      <c r="X54" s="4"/>
    </row>
    <row r="55" spans="1:24">
      <c r="C55" s="3"/>
      <c r="D55" s="4"/>
      <c r="F55" s="4"/>
      <c r="G55" s="3"/>
      <c r="H55" s="3"/>
      <c r="I55" s="4"/>
      <c r="J55" s="3"/>
      <c r="K55" s="3"/>
      <c r="N55" s="4"/>
      <c r="Q55" s="4"/>
      <c r="T55" s="4"/>
      <c r="U55" s="4"/>
      <c r="W55" s="4"/>
      <c r="X55" s="4"/>
    </row>
    <row r="56" spans="1:24">
      <c r="C56" s="3"/>
      <c r="D56" s="4"/>
      <c r="F56" s="4"/>
      <c r="G56" s="3"/>
      <c r="H56" s="3"/>
      <c r="I56" s="4"/>
      <c r="J56" s="3"/>
      <c r="K56" s="3"/>
      <c r="N56" s="4"/>
      <c r="Q56" s="4"/>
      <c r="T56" s="4"/>
      <c r="U56" s="4"/>
      <c r="W56" s="4"/>
      <c r="X56" s="4"/>
    </row>
    <row r="57" spans="1:24">
      <c r="C57" s="3"/>
      <c r="D57" s="4"/>
      <c r="F57" s="4"/>
      <c r="G57" s="3"/>
      <c r="H57" s="3"/>
      <c r="I57" s="4"/>
      <c r="J57" s="3"/>
      <c r="K57" s="3"/>
      <c r="N57" s="4"/>
      <c r="Q57" s="4"/>
      <c r="T57" s="4"/>
      <c r="U57" s="4"/>
      <c r="W57" s="4"/>
      <c r="X57" s="4"/>
    </row>
    <row r="58" spans="1:24">
      <c r="C58" s="3"/>
      <c r="D58" s="4"/>
      <c r="F58" s="4"/>
      <c r="G58" s="3"/>
      <c r="H58" s="3"/>
      <c r="I58" s="4"/>
      <c r="J58" s="3"/>
      <c r="K58" s="3"/>
      <c r="N58" s="4"/>
      <c r="Q58" s="4"/>
      <c r="T58" s="4"/>
      <c r="U58" s="4"/>
      <c r="W58" s="4"/>
      <c r="X58" s="4"/>
    </row>
    <row r="59" spans="1:24">
      <c r="C59" s="3"/>
      <c r="D59" s="4"/>
      <c r="F59" s="4"/>
      <c r="G59" s="3"/>
      <c r="H59" s="3"/>
      <c r="I59" s="4"/>
      <c r="J59" s="3"/>
      <c r="K59" s="3"/>
      <c r="N59" s="4"/>
      <c r="Q59" s="4"/>
      <c r="T59" s="4"/>
      <c r="U59" s="4"/>
      <c r="W59" s="4"/>
      <c r="X59" s="4"/>
    </row>
    <row r="60" spans="1:24">
      <c r="C60" s="3"/>
      <c r="D60" s="4"/>
      <c r="F60" s="4"/>
      <c r="G60" s="3"/>
      <c r="H60" s="3"/>
      <c r="I60" s="4"/>
      <c r="J60" s="3"/>
      <c r="K60" s="3"/>
      <c r="N60" s="4"/>
      <c r="Q60" s="4"/>
      <c r="T60" s="4"/>
      <c r="U60" s="4"/>
      <c r="W60" s="4"/>
      <c r="X60" s="4"/>
    </row>
    <row r="61" spans="1:24">
      <c r="C61" s="3"/>
      <c r="D61" s="4"/>
      <c r="F61" s="4"/>
      <c r="G61" s="3"/>
      <c r="H61" s="3"/>
      <c r="I61" s="4"/>
      <c r="J61" s="3"/>
      <c r="K61" s="3"/>
      <c r="N61" s="4"/>
      <c r="Q61" s="4"/>
      <c r="T61" s="4"/>
      <c r="U61" s="4"/>
      <c r="W61" s="4"/>
      <c r="X61" s="4"/>
    </row>
    <row r="62" spans="1:24">
      <c r="C62" s="3"/>
      <c r="D62" s="4"/>
      <c r="F62" s="4"/>
      <c r="G62" s="3"/>
      <c r="H62" s="3"/>
      <c r="I62" s="4"/>
      <c r="J62" s="3"/>
      <c r="K62" s="3"/>
      <c r="N62" s="4"/>
      <c r="Q62" s="4"/>
      <c r="T62" s="4"/>
      <c r="U62" s="4"/>
      <c r="W62" s="4"/>
      <c r="X62" s="4"/>
    </row>
    <row r="63" spans="1:24">
      <c r="C63" s="3"/>
      <c r="D63" s="4"/>
      <c r="F63" s="4"/>
      <c r="G63" s="3"/>
      <c r="H63" s="3"/>
      <c r="I63" s="4"/>
      <c r="J63" s="3"/>
      <c r="K63" s="3"/>
      <c r="N63" s="4"/>
      <c r="Q63" s="4"/>
      <c r="T63" s="4"/>
      <c r="U63" s="4"/>
      <c r="W63" s="4"/>
      <c r="X63" s="4"/>
    </row>
    <row r="64" spans="1:24">
      <c r="C64" s="3"/>
      <c r="D64" s="4"/>
      <c r="F64" s="4"/>
      <c r="G64" s="3"/>
      <c r="H64" s="3"/>
      <c r="I64" s="4"/>
      <c r="J64" s="3"/>
      <c r="K64" s="3"/>
      <c r="N64" s="4"/>
      <c r="Q64" s="4"/>
      <c r="T64" s="4"/>
      <c r="U64" s="4"/>
      <c r="W64" s="4"/>
      <c r="X64" s="4"/>
    </row>
    <row r="65" spans="3:24">
      <c r="C65" s="3"/>
      <c r="D65" s="4"/>
      <c r="F65" s="4"/>
      <c r="G65" s="3"/>
      <c r="H65" s="3"/>
      <c r="I65" s="4"/>
      <c r="J65" s="3"/>
      <c r="K65" s="3"/>
      <c r="N65" s="4"/>
      <c r="Q65" s="4"/>
      <c r="T65" s="4"/>
      <c r="U65" s="4"/>
      <c r="W65" s="4"/>
      <c r="X65" s="4"/>
    </row>
    <row r="66" spans="3:24">
      <c r="C66" s="3"/>
      <c r="D66" s="4"/>
      <c r="F66" s="4"/>
      <c r="G66" s="3"/>
      <c r="H66" s="3"/>
      <c r="I66" s="4"/>
      <c r="J66" s="3"/>
      <c r="K66" s="3"/>
      <c r="N66" s="4"/>
      <c r="Q66" s="4"/>
      <c r="T66" s="4"/>
      <c r="U66" s="4"/>
      <c r="W66" s="4"/>
      <c r="X66" s="4"/>
    </row>
    <row r="67" spans="3:24">
      <c r="C67" s="3"/>
      <c r="D67" s="4"/>
      <c r="F67" s="4"/>
      <c r="G67" s="3"/>
      <c r="H67" s="3"/>
      <c r="I67" s="4"/>
      <c r="J67" s="3"/>
      <c r="K67" s="3"/>
      <c r="N67" s="4"/>
      <c r="Q67" s="4"/>
      <c r="T67" s="4"/>
      <c r="U67" s="4"/>
      <c r="W67" s="4"/>
      <c r="X67" s="4"/>
    </row>
    <row r="68" spans="3:24">
      <c r="C68" s="3"/>
      <c r="D68" s="4"/>
      <c r="F68" s="4"/>
      <c r="G68" s="3"/>
      <c r="H68" s="3"/>
      <c r="I68" s="4"/>
      <c r="J68" s="3"/>
      <c r="K68" s="3"/>
      <c r="N68" s="4"/>
      <c r="Q68" s="4"/>
      <c r="T68" s="4"/>
      <c r="U68" s="4"/>
      <c r="W68" s="4"/>
      <c r="X68" s="4"/>
    </row>
    <row r="69" spans="3:24">
      <c r="C69" s="3"/>
      <c r="D69" s="4"/>
      <c r="F69" s="4"/>
      <c r="G69" s="3"/>
      <c r="H69" s="3"/>
      <c r="I69" s="4"/>
      <c r="J69" s="3"/>
      <c r="K69" s="3"/>
      <c r="N69" s="4"/>
      <c r="Q69" s="4"/>
      <c r="T69" s="4"/>
      <c r="U69" s="4"/>
      <c r="W69" s="4"/>
      <c r="X69" s="4"/>
    </row>
    <row r="70" spans="3:24">
      <c r="C70" s="3"/>
      <c r="D70" s="4"/>
      <c r="F70" s="4"/>
      <c r="G70" s="3"/>
      <c r="H70" s="3"/>
      <c r="I70" s="4"/>
      <c r="J70" s="3"/>
      <c r="K70" s="3"/>
      <c r="N70" s="4"/>
      <c r="Q70" s="4"/>
      <c r="T70" s="4"/>
      <c r="U70" s="4"/>
      <c r="W70" s="4"/>
      <c r="X70" s="4"/>
    </row>
    <row r="71" spans="3:24">
      <c r="C71" s="3"/>
      <c r="D71" s="4"/>
      <c r="F71" s="4"/>
      <c r="G71" s="3"/>
      <c r="H71" s="3"/>
      <c r="I71" s="4"/>
      <c r="J71" s="3"/>
      <c r="K71" s="3"/>
      <c r="N71" s="4"/>
      <c r="Q71" s="4"/>
      <c r="T71" s="4"/>
      <c r="U71" s="4"/>
      <c r="W71" s="4"/>
      <c r="X71" s="4"/>
    </row>
    <row r="72" spans="3:24">
      <c r="C72" s="3"/>
      <c r="D72" s="4"/>
      <c r="F72" s="4"/>
      <c r="G72" s="3"/>
      <c r="H72" s="3"/>
      <c r="I72" s="4"/>
      <c r="J72" s="3"/>
      <c r="K72" s="3"/>
      <c r="N72" s="4"/>
      <c r="Q72" s="4"/>
      <c r="T72" s="4"/>
      <c r="U72" s="4"/>
      <c r="W72" s="4"/>
      <c r="X72" s="4"/>
    </row>
    <row r="73" spans="3:24">
      <c r="C73" s="3"/>
      <c r="D73" s="4"/>
      <c r="F73" s="4"/>
      <c r="G73" s="3"/>
      <c r="H73" s="3"/>
      <c r="I73" s="4"/>
      <c r="J73" s="3"/>
      <c r="K73" s="3"/>
      <c r="N73" s="4"/>
      <c r="Q73" s="4"/>
      <c r="T73" s="4"/>
      <c r="U73" s="4"/>
      <c r="W73" s="4"/>
      <c r="X73" s="4"/>
    </row>
    <row r="74" spans="3:24">
      <c r="C74" s="3"/>
      <c r="D74" s="4"/>
      <c r="F74" s="4"/>
      <c r="G74" s="3"/>
      <c r="H74" s="3"/>
      <c r="I74" s="4"/>
      <c r="J74" s="3"/>
      <c r="K74" s="3"/>
      <c r="N74" s="4"/>
      <c r="Q74" s="4"/>
      <c r="T74" s="4"/>
      <c r="U74" s="4"/>
      <c r="W74" s="4"/>
      <c r="X74" s="4"/>
    </row>
    <row r="75" spans="3:24">
      <c r="C75" s="3"/>
      <c r="D75" s="4"/>
      <c r="F75" s="4"/>
      <c r="G75" s="3"/>
      <c r="H75" s="3"/>
      <c r="I75" s="4"/>
      <c r="J75" s="3"/>
      <c r="K75" s="3"/>
      <c r="N75" s="4"/>
      <c r="Q75" s="4"/>
      <c r="T75" s="4"/>
      <c r="U75" s="4"/>
      <c r="W75" s="4"/>
      <c r="X75" s="4"/>
    </row>
    <row r="76" spans="3:24">
      <c r="C76" s="3"/>
      <c r="D76" s="4"/>
      <c r="F76" s="4"/>
      <c r="G76" s="3"/>
      <c r="H76" s="3"/>
      <c r="I76" s="4"/>
      <c r="J76" s="3"/>
      <c r="K76" s="3"/>
      <c r="N76" s="4"/>
      <c r="Q76" s="4"/>
      <c r="T76" s="4"/>
      <c r="U76" s="4"/>
      <c r="W76" s="4"/>
      <c r="X76" s="4"/>
    </row>
    <row r="77" spans="3:24">
      <c r="C77" s="3"/>
      <c r="D77" s="4"/>
      <c r="F77" s="4"/>
      <c r="G77" s="3"/>
      <c r="H77" s="3"/>
      <c r="I77" s="4"/>
      <c r="J77" s="3"/>
      <c r="K77" s="3"/>
      <c r="N77" s="4"/>
      <c r="Q77" s="4"/>
      <c r="T77" s="4"/>
      <c r="U77" s="4"/>
      <c r="W77" s="4"/>
      <c r="X77" s="4"/>
    </row>
    <row r="78" spans="3:24">
      <c r="C78" s="3"/>
      <c r="D78" s="4"/>
      <c r="F78" s="4"/>
      <c r="G78" s="3"/>
      <c r="H78" s="3"/>
      <c r="I78" s="4"/>
      <c r="J78" s="3"/>
      <c r="K78" s="3"/>
      <c r="N78" s="4"/>
      <c r="Q78" s="4"/>
      <c r="T78" s="4"/>
      <c r="U78" s="4"/>
      <c r="W78" s="4"/>
      <c r="X78" s="4"/>
    </row>
    <row r="79" spans="3:24">
      <c r="C79" s="3"/>
      <c r="D79" s="4"/>
      <c r="F79" s="4"/>
      <c r="G79" s="3"/>
      <c r="H79" s="3"/>
      <c r="I79" s="4"/>
      <c r="J79" s="3"/>
      <c r="K79" s="3"/>
      <c r="N79" s="4"/>
      <c r="Q79" s="4"/>
      <c r="T79" s="4"/>
      <c r="U79" s="4"/>
      <c r="W79" s="4"/>
      <c r="X79" s="4"/>
    </row>
    <row r="80" spans="3:24">
      <c r="C80" s="3"/>
      <c r="D80" s="4"/>
      <c r="F80" s="4"/>
      <c r="G80" s="3"/>
      <c r="H80" s="3"/>
      <c r="I80" s="4"/>
      <c r="J80" s="3"/>
      <c r="K80" s="3"/>
      <c r="N80" s="4"/>
      <c r="Q80" s="4"/>
      <c r="T80" s="4"/>
      <c r="U80" s="4"/>
      <c r="W80" s="4"/>
      <c r="X80" s="4"/>
    </row>
    <row r="81" spans="3:24">
      <c r="C81" s="3"/>
      <c r="D81" s="4"/>
      <c r="F81" s="4"/>
      <c r="G81" s="3"/>
      <c r="H81" s="3"/>
      <c r="I81" s="4"/>
      <c r="J81" s="3"/>
      <c r="K81" s="3"/>
      <c r="N81" s="4"/>
      <c r="Q81" s="4"/>
      <c r="T81" s="4"/>
      <c r="U81" s="4"/>
      <c r="W81" s="4"/>
      <c r="X81" s="4"/>
    </row>
    <row r="82" spans="3:24">
      <c r="C82" s="3"/>
      <c r="D82" s="4"/>
      <c r="F82" s="4"/>
      <c r="G82" s="3"/>
      <c r="H82" s="3"/>
      <c r="I82" s="4"/>
      <c r="J82" s="3"/>
      <c r="K82" s="3"/>
      <c r="N82" s="4"/>
      <c r="Q82" s="4"/>
      <c r="T82" s="4"/>
      <c r="U82" s="4"/>
      <c r="W82" s="4"/>
      <c r="X82" s="4"/>
    </row>
    <row r="83" spans="3:24">
      <c r="C83" s="3"/>
      <c r="D83" s="4"/>
      <c r="F83" s="4"/>
      <c r="G83" s="3"/>
      <c r="H83" s="3"/>
      <c r="I83" s="4"/>
      <c r="J83" s="3"/>
      <c r="K83" s="3"/>
      <c r="N83" s="4"/>
      <c r="Q83" s="4"/>
      <c r="T83" s="4"/>
      <c r="U83" s="4"/>
      <c r="W83" s="4"/>
      <c r="X83" s="4"/>
    </row>
    <row r="84" spans="3:24">
      <c r="C84" s="3"/>
      <c r="D84" s="4"/>
      <c r="F84" s="4"/>
      <c r="G84" s="3"/>
      <c r="H84" s="3"/>
      <c r="I84" s="4"/>
      <c r="J84" s="3"/>
      <c r="K84" s="3"/>
      <c r="N84" s="4"/>
      <c r="Q84" s="4"/>
      <c r="T84" s="4"/>
      <c r="U84" s="4"/>
      <c r="W84" s="4"/>
      <c r="X84" s="4"/>
    </row>
    <row r="85" spans="3:24">
      <c r="C85" s="3"/>
      <c r="D85" s="4"/>
      <c r="F85" s="4"/>
      <c r="G85" s="3"/>
      <c r="H85" s="3"/>
      <c r="I85" s="4"/>
      <c r="J85" s="3"/>
      <c r="K85" s="3"/>
      <c r="N85" s="4"/>
      <c r="Q85" s="4"/>
      <c r="T85" s="4"/>
      <c r="U85" s="4"/>
      <c r="W85" s="4"/>
      <c r="X85" s="4"/>
    </row>
    <row r="86" spans="3:24">
      <c r="C86" s="3"/>
      <c r="D86" s="4"/>
      <c r="F86" s="4"/>
      <c r="G86" s="3"/>
      <c r="H86" s="3"/>
      <c r="I86" s="4"/>
      <c r="J86" s="3"/>
      <c r="K86" s="3"/>
      <c r="N86" s="4"/>
      <c r="Q86" s="4"/>
      <c r="T86" s="4"/>
      <c r="U86" s="4"/>
      <c r="W86" s="4"/>
      <c r="X86" s="4"/>
    </row>
    <row r="87" spans="3:24">
      <c r="C87" s="3"/>
      <c r="D87" s="4"/>
      <c r="F87" s="4"/>
      <c r="G87" s="3"/>
      <c r="H87" s="3"/>
      <c r="I87" s="4"/>
      <c r="J87" s="3"/>
      <c r="K87" s="3"/>
      <c r="N87" s="4"/>
      <c r="Q87" s="4"/>
      <c r="T87" s="4"/>
      <c r="U87" s="4"/>
      <c r="W87" s="4"/>
      <c r="X87" s="4"/>
    </row>
    <row r="88" spans="3:24">
      <c r="C88" s="3"/>
      <c r="D88" s="4"/>
      <c r="F88" s="4"/>
      <c r="G88" s="3"/>
      <c r="H88" s="3"/>
      <c r="I88" s="4"/>
      <c r="J88" s="3"/>
      <c r="K88" s="3"/>
      <c r="N88" s="4"/>
      <c r="Q88" s="4"/>
      <c r="T88" s="4"/>
      <c r="U88" s="4"/>
      <c r="W88" s="4"/>
      <c r="X88" s="4"/>
    </row>
    <row r="89" spans="3:24">
      <c r="C89" s="3"/>
      <c r="D89" s="4"/>
      <c r="F89" s="4"/>
      <c r="G89" s="3"/>
      <c r="H89" s="3"/>
      <c r="I89" s="4"/>
      <c r="J89" s="3"/>
      <c r="K89" s="3"/>
      <c r="N89" s="4"/>
      <c r="Q89" s="4"/>
      <c r="T89" s="4"/>
      <c r="U89" s="4"/>
      <c r="W89" s="4"/>
      <c r="X89" s="4"/>
    </row>
    <row r="90" spans="3:24">
      <c r="C90" s="3"/>
      <c r="D90" s="4"/>
      <c r="F90" s="4"/>
      <c r="G90" s="3"/>
      <c r="H90" s="3"/>
      <c r="I90" s="4"/>
      <c r="J90" s="3"/>
      <c r="K90" s="3"/>
      <c r="N90" s="4"/>
      <c r="Q90" s="4"/>
      <c r="T90" s="4"/>
      <c r="U90" s="4"/>
      <c r="W90" s="4"/>
      <c r="X90" s="4"/>
    </row>
    <row r="91" spans="3:24">
      <c r="C91" s="3"/>
      <c r="D91" s="4"/>
      <c r="F91" s="4"/>
      <c r="G91" s="3"/>
      <c r="H91" s="3"/>
      <c r="I91" s="4"/>
      <c r="J91" s="3"/>
      <c r="K91" s="3"/>
      <c r="N91" s="4"/>
      <c r="Q91" s="4"/>
      <c r="T91" s="4"/>
      <c r="U91" s="4"/>
      <c r="W91" s="4"/>
      <c r="X91" s="4"/>
    </row>
    <row r="92" spans="3:24">
      <c r="C92" s="3"/>
      <c r="D92" s="4"/>
      <c r="F92" s="4"/>
      <c r="G92" s="3"/>
      <c r="H92" s="3"/>
      <c r="I92" s="4"/>
      <c r="J92" s="3"/>
      <c r="K92" s="3"/>
      <c r="N92" s="4"/>
      <c r="Q92" s="4"/>
      <c r="T92" s="4"/>
      <c r="U92" s="4"/>
      <c r="W92" s="4"/>
      <c r="X92" s="4"/>
    </row>
    <row r="93" spans="3:24">
      <c r="C93" s="3"/>
      <c r="D93" s="4"/>
      <c r="F93" s="4"/>
      <c r="G93" s="3"/>
      <c r="H93" s="3"/>
      <c r="I93" s="4"/>
      <c r="J93" s="3"/>
      <c r="K93" s="3"/>
      <c r="N93" s="4"/>
      <c r="Q93" s="4"/>
      <c r="T93" s="4"/>
      <c r="U93" s="4"/>
      <c r="W93" s="4"/>
      <c r="X93" s="4"/>
    </row>
    <row r="94" spans="3:24">
      <c r="C94" s="3"/>
      <c r="D94" s="4"/>
      <c r="F94" s="4"/>
      <c r="G94" s="3"/>
      <c r="H94" s="3"/>
      <c r="I94" s="4"/>
      <c r="J94" s="3"/>
      <c r="K94" s="3"/>
      <c r="N94" s="4"/>
      <c r="Q94" s="4"/>
      <c r="T94" s="4"/>
      <c r="U94" s="4"/>
      <c r="W94" s="4"/>
      <c r="X94" s="4"/>
    </row>
    <row r="95" spans="3:24">
      <c r="C95" s="3"/>
      <c r="D95" s="4"/>
      <c r="F95" s="4"/>
      <c r="G95" s="3"/>
      <c r="H95" s="3"/>
      <c r="I95" s="4"/>
      <c r="J95" s="3"/>
      <c r="K95" s="3"/>
      <c r="N95" s="4"/>
      <c r="Q95" s="4"/>
      <c r="T95" s="4"/>
      <c r="U95" s="4"/>
      <c r="W95" s="4"/>
      <c r="X95" s="4"/>
    </row>
    <row r="96" spans="3:24">
      <c r="C96" s="3"/>
      <c r="D96" s="4"/>
      <c r="F96" s="4"/>
      <c r="G96" s="3"/>
      <c r="H96" s="3"/>
      <c r="I96" s="4"/>
      <c r="J96" s="3"/>
      <c r="K96" s="3"/>
      <c r="N96" s="4"/>
      <c r="Q96" s="4"/>
      <c r="T96" s="4"/>
      <c r="U96" s="4"/>
      <c r="W96" s="4"/>
      <c r="X96" s="4"/>
    </row>
    <row r="97" spans="3:24">
      <c r="C97" s="3"/>
      <c r="D97" s="4"/>
      <c r="F97" s="4"/>
      <c r="G97" s="3"/>
      <c r="H97" s="3"/>
      <c r="I97" s="4"/>
      <c r="J97" s="3"/>
      <c r="K97" s="3"/>
      <c r="N97" s="4"/>
      <c r="Q97" s="4"/>
      <c r="T97" s="4"/>
      <c r="U97" s="4"/>
      <c r="W97" s="4"/>
      <c r="X97" s="4"/>
    </row>
    <row r="98" spans="3:24">
      <c r="C98" s="3"/>
      <c r="D98" s="4"/>
      <c r="F98" s="4"/>
      <c r="G98" s="3"/>
      <c r="H98" s="3"/>
      <c r="I98" s="4"/>
      <c r="J98" s="3"/>
      <c r="K98" s="3"/>
      <c r="N98" s="4"/>
      <c r="Q98" s="4"/>
      <c r="T98" s="4"/>
      <c r="U98" s="4"/>
      <c r="W98" s="4"/>
      <c r="X98" s="4"/>
    </row>
    <row r="99" spans="3:24">
      <c r="C99" s="3"/>
      <c r="D99" s="4"/>
      <c r="F99" s="4"/>
      <c r="G99" s="3"/>
      <c r="H99" s="3"/>
      <c r="I99" s="4"/>
      <c r="J99" s="3"/>
      <c r="K99" s="3"/>
      <c r="N99" s="4"/>
      <c r="Q99" s="4"/>
      <c r="T99" s="4"/>
      <c r="U99" s="4"/>
      <c r="W99" s="4"/>
      <c r="X99" s="4"/>
    </row>
    <row r="100" spans="3:24">
      <c r="C100" s="3"/>
      <c r="D100" s="4"/>
      <c r="F100" s="4"/>
      <c r="G100" s="3"/>
      <c r="H100" s="3"/>
      <c r="I100" s="4"/>
      <c r="J100" s="3"/>
      <c r="K100" s="3"/>
      <c r="N100" s="4"/>
      <c r="Q100" s="4"/>
      <c r="T100" s="4"/>
      <c r="U100" s="4"/>
      <c r="W100" s="4"/>
      <c r="X100" s="4"/>
    </row>
    <row r="101" spans="3:24">
      <c r="C101" s="3"/>
      <c r="D101" s="4"/>
      <c r="F101" s="4"/>
      <c r="G101" s="3"/>
      <c r="H101" s="3"/>
      <c r="I101" s="4"/>
      <c r="J101" s="3"/>
      <c r="K101" s="3"/>
      <c r="N101" s="4"/>
      <c r="Q101" s="4"/>
      <c r="T101" s="4"/>
      <c r="U101" s="4"/>
      <c r="W101" s="4"/>
      <c r="X101" s="4"/>
    </row>
    <row r="102" spans="3:24">
      <c r="C102" s="3"/>
      <c r="D102" s="4"/>
      <c r="F102" s="4"/>
      <c r="G102" s="3"/>
      <c r="H102" s="3"/>
      <c r="I102" s="4"/>
      <c r="J102" s="3"/>
      <c r="K102" s="3"/>
      <c r="N102" s="4"/>
      <c r="Q102" s="4"/>
      <c r="T102" s="4"/>
      <c r="U102" s="4"/>
      <c r="W102" s="4"/>
      <c r="X102" s="4"/>
    </row>
    <row r="103" spans="3:24">
      <c r="C103" s="3"/>
      <c r="D103" s="4"/>
      <c r="F103" s="4"/>
      <c r="G103" s="3"/>
      <c r="H103" s="3"/>
      <c r="I103" s="4"/>
      <c r="J103" s="3"/>
      <c r="K103" s="3"/>
      <c r="N103" s="4"/>
      <c r="Q103" s="4"/>
      <c r="T103" s="4"/>
      <c r="U103" s="4"/>
      <c r="W103" s="4"/>
      <c r="X103" s="4"/>
    </row>
    <row r="104" spans="3:24">
      <c r="C104" s="3"/>
      <c r="D104" s="4"/>
      <c r="F104" s="4"/>
      <c r="G104" s="3"/>
      <c r="H104" s="3"/>
      <c r="I104" s="4"/>
      <c r="J104" s="3"/>
      <c r="K104" s="3"/>
      <c r="N104" s="4"/>
      <c r="Q104" s="4"/>
      <c r="T104" s="4"/>
      <c r="U104" s="4"/>
      <c r="W104" s="4"/>
      <c r="X104" s="4"/>
    </row>
    <row r="105" spans="3:24">
      <c r="C105" s="3"/>
      <c r="D105" s="4"/>
      <c r="F105" s="4"/>
      <c r="G105" s="3"/>
      <c r="H105" s="3"/>
      <c r="I105" s="4"/>
      <c r="J105" s="3"/>
      <c r="K105" s="3"/>
      <c r="N105" s="4"/>
      <c r="Q105" s="4"/>
      <c r="T105" s="4"/>
      <c r="U105" s="4"/>
      <c r="W105" s="4"/>
      <c r="X105" s="4"/>
    </row>
    <row r="106" spans="3:24">
      <c r="C106" s="3"/>
      <c r="D106" s="4"/>
      <c r="F106" s="4"/>
      <c r="G106" s="3"/>
      <c r="H106" s="3"/>
      <c r="I106" s="4"/>
      <c r="J106" s="3"/>
      <c r="K106" s="3"/>
      <c r="N106" s="4"/>
      <c r="Q106" s="4"/>
      <c r="T106" s="4"/>
      <c r="U106" s="4"/>
      <c r="W106" s="4"/>
      <c r="X106" s="4"/>
    </row>
    <row r="107" spans="3:24">
      <c r="C107" s="3"/>
      <c r="D107" s="4"/>
      <c r="F107" s="4"/>
      <c r="G107" s="3"/>
      <c r="H107" s="3"/>
      <c r="I107" s="4"/>
      <c r="J107" s="3"/>
      <c r="K107" s="3"/>
      <c r="N107" s="4"/>
      <c r="Q107" s="4"/>
      <c r="T107" s="4"/>
      <c r="U107" s="4"/>
      <c r="W107" s="4"/>
      <c r="X107" s="4"/>
    </row>
    <row r="108" spans="3:24">
      <c r="C108" s="3"/>
      <c r="D108" s="4"/>
      <c r="F108" s="4"/>
      <c r="G108" s="3"/>
      <c r="H108" s="3"/>
      <c r="I108" s="4"/>
      <c r="J108" s="3"/>
      <c r="K108" s="3"/>
      <c r="N108" s="4"/>
      <c r="Q108" s="4"/>
      <c r="T108" s="4"/>
      <c r="U108" s="4"/>
      <c r="W108" s="4"/>
      <c r="X108" s="4"/>
    </row>
    <row r="109" spans="3:24">
      <c r="C109" s="3"/>
      <c r="D109" s="4"/>
      <c r="F109" s="4"/>
      <c r="G109" s="3"/>
      <c r="H109" s="3"/>
      <c r="I109" s="4"/>
      <c r="J109" s="3"/>
      <c r="K109" s="3"/>
      <c r="N109" s="4"/>
      <c r="Q109" s="4"/>
      <c r="T109" s="4"/>
      <c r="U109" s="4"/>
      <c r="W109" s="4"/>
      <c r="X109" s="4"/>
    </row>
    <row r="110" spans="3:24">
      <c r="C110" s="3"/>
      <c r="D110" s="4"/>
      <c r="F110" s="4"/>
      <c r="G110" s="3"/>
      <c r="H110" s="3"/>
      <c r="I110" s="4"/>
      <c r="J110" s="3"/>
      <c r="K110" s="3"/>
      <c r="N110" s="4"/>
      <c r="Q110" s="4"/>
      <c r="T110" s="4"/>
      <c r="U110" s="4"/>
      <c r="W110" s="4"/>
      <c r="X110" s="4"/>
    </row>
    <row r="111" spans="3:24">
      <c r="C111" s="3"/>
      <c r="D111" s="4"/>
      <c r="F111" s="4"/>
      <c r="G111" s="3"/>
      <c r="H111" s="3"/>
      <c r="I111" s="4"/>
      <c r="J111" s="3"/>
      <c r="K111" s="3"/>
      <c r="N111" s="4"/>
      <c r="Q111" s="4"/>
      <c r="T111" s="4"/>
      <c r="U111" s="4"/>
      <c r="W111" s="4"/>
      <c r="X111" s="4"/>
    </row>
    <row r="112" spans="3:24">
      <c r="C112" s="3"/>
      <c r="D112" s="4"/>
      <c r="F112" s="4"/>
      <c r="G112" s="3"/>
      <c r="H112" s="3"/>
      <c r="I112" s="4"/>
      <c r="J112" s="3"/>
      <c r="K112" s="3"/>
      <c r="N112" s="4"/>
      <c r="Q112" s="4"/>
      <c r="T112" s="4"/>
      <c r="U112" s="4"/>
      <c r="W112" s="4"/>
      <c r="X112" s="4"/>
    </row>
    <row r="113" spans="3:24">
      <c r="C113" s="3"/>
      <c r="D113" s="4"/>
      <c r="F113" s="4"/>
      <c r="G113" s="3"/>
      <c r="H113" s="3"/>
      <c r="I113" s="4"/>
      <c r="J113" s="3"/>
      <c r="K113" s="3"/>
      <c r="N113" s="4"/>
      <c r="Q113" s="4"/>
      <c r="T113" s="4"/>
      <c r="U113" s="4"/>
      <c r="W113" s="4"/>
      <c r="X113" s="4"/>
    </row>
    <row r="114" spans="3:24">
      <c r="C114" s="3"/>
      <c r="D114" s="4"/>
      <c r="F114" s="4"/>
      <c r="G114" s="3"/>
      <c r="H114" s="3"/>
      <c r="I114" s="4"/>
      <c r="J114" s="3"/>
      <c r="K114" s="3"/>
      <c r="N114" s="4"/>
      <c r="Q114" s="4"/>
      <c r="T114" s="4"/>
      <c r="U114" s="4"/>
      <c r="W114" s="4"/>
      <c r="X114" s="4"/>
    </row>
    <row r="115" spans="3:24">
      <c r="C115" s="3"/>
      <c r="D115" s="4"/>
      <c r="F115" s="4"/>
      <c r="G115" s="3"/>
      <c r="H115" s="3"/>
      <c r="I115" s="4"/>
      <c r="J115" s="3"/>
      <c r="K115" s="3"/>
      <c r="N115" s="4"/>
      <c r="Q115" s="4"/>
      <c r="T115" s="4"/>
      <c r="U115" s="4"/>
      <c r="W115" s="4"/>
      <c r="X115" s="4"/>
    </row>
    <row r="116" spans="3:24">
      <c r="C116" s="3"/>
      <c r="D116" s="4"/>
      <c r="F116" s="4"/>
      <c r="G116" s="3"/>
      <c r="H116" s="3"/>
      <c r="I116" s="4"/>
      <c r="J116" s="3"/>
      <c r="K116" s="3"/>
      <c r="N116" s="4"/>
      <c r="Q116" s="4"/>
      <c r="T116" s="4"/>
      <c r="U116" s="4"/>
      <c r="W116" s="4"/>
      <c r="X116" s="4"/>
    </row>
    <row r="117" spans="3:24">
      <c r="C117" s="3"/>
      <c r="D117" s="4"/>
      <c r="F117" s="4"/>
      <c r="G117" s="3"/>
      <c r="H117" s="3"/>
      <c r="I117" s="4"/>
      <c r="J117" s="3"/>
      <c r="K117" s="3"/>
      <c r="N117" s="4"/>
      <c r="Q117" s="4"/>
      <c r="T117" s="4"/>
      <c r="U117" s="4"/>
      <c r="W117" s="4"/>
      <c r="X117" s="4"/>
    </row>
    <row r="118" spans="3:24">
      <c r="C118" s="3"/>
      <c r="D118" s="4"/>
      <c r="F118" s="4"/>
      <c r="G118" s="3"/>
      <c r="H118" s="3"/>
      <c r="I118" s="4"/>
      <c r="J118" s="3"/>
      <c r="K118" s="3"/>
      <c r="N118" s="4"/>
      <c r="Q118" s="4"/>
      <c r="T118" s="4"/>
      <c r="U118" s="4"/>
      <c r="W118" s="4"/>
      <c r="X118" s="4"/>
    </row>
    <row r="119" spans="3:24">
      <c r="C119" s="3"/>
      <c r="D119" s="4"/>
      <c r="F119" s="4"/>
      <c r="G119" s="3"/>
      <c r="H119" s="3"/>
      <c r="I119" s="4"/>
      <c r="J119" s="3"/>
      <c r="K119" s="3"/>
      <c r="N119" s="4"/>
      <c r="Q119" s="4"/>
      <c r="T119" s="4"/>
      <c r="U119" s="4"/>
      <c r="W119" s="4"/>
      <c r="X119" s="4"/>
    </row>
    <row r="120" spans="3:24">
      <c r="C120" s="3"/>
      <c r="D120" s="4"/>
      <c r="F120" s="4"/>
      <c r="G120" s="3"/>
      <c r="H120" s="3"/>
      <c r="I120" s="4"/>
      <c r="J120" s="3"/>
      <c r="K120" s="3"/>
      <c r="N120" s="4"/>
      <c r="Q120" s="4"/>
      <c r="T120" s="4"/>
      <c r="U120" s="4"/>
      <c r="W120" s="4"/>
      <c r="X120" s="4"/>
    </row>
    <row r="121" spans="3:24">
      <c r="C121" s="3"/>
      <c r="D121" s="4"/>
      <c r="F121" s="4"/>
      <c r="G121" s="3"/>
      <c r="H121" s="3"/>
      <c r="I121" s="4"/>
      <c r="J121" s="3"/>
      <c r="K121" s="3"/>
      <c r="N121" s="4"/>
      <c r="Q121" s="4"/>
      <c r="T121" s="4"/>
      <c r="U121" s="4"/>
      <c r="W121" s="4"/>
      <c r="X121" s="4"/>
    </row>
    <row r="122" spans="3:24">
      <c r="C122" s="3"/>
      <c r="D122" s="4"/>
      <c r="F122" s="4"/>
      <c r="G122" s="3"/>
      <c r="H122" s="3"/>
      <c r="I122" s="4"/>
      <c r="J122" s="3"/>
      <c r="K122" s="3"/>
      <c r="N122" s="4"/>
      <c r="Q122" s="4"/>
      <c r="T122" s="4"/>
      <c r="U122" s="4"/>
      <c r="W122" s="4"/>
      <c r="X122" s="4"/>
    </row>
    <row r="123" spans="3:24">
      <c r="C123" s="3"/>
      <c r="D123" s="4"/>
      <c r="F123" s="4"/>
      <c r="G123" s="3"/>
      <c r="H123" s="3"/>
      <c r="I123" s="4"/>
      <c r="J123" s="3"/>
      <c r="K123" s="3"/>
      <c r="N123" s="4"/>
      <c r="Q123" s="4"/>
      <c r="T123" s="4"/>
      <c r="U123" s="4"/>
      <c r="W123" s="4"/>
      <c r="X123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50D58-32B7-1E41-B716-3450B860DA18}">
  <dimension ref="A1:O59"/>
  <sheetViews>
    <sheetView tabSelected="1" topLeftCell="A26" workbookViewId="0">
      <selection activeCell="H51" sqref="H51"/>
    </sheetView>
  </sheetViews>
  <sheetFormatPr baseColWidth="10" defaultRowHeight="16"/>
  <cols>
    <col min="1" max="1" width="20.6640625" bestFit="1" customWidth="1"/>
    <col min="2" max="2" width="15.1640625" customWidth="1"/>
    <col min="3" max="3" width="11.6640625" customWidth="1"/>
    <col min="5" max="5" width="11.1640625" bestFit="1" customWidth="1"/>
    <col min="7" max="7" width="12.1640625" bestFit="1" customWidth="1"/>
    <col min="8" max="8" width="12.6640625" customWidth="1"/>
    <col min="9" max="10" width="12.1640625" customWidth="1"/>
    <col min="13" max="13" width="16.83203125" bestFit="1" customWidth="1"/>
  </cols>
  <sheetData>
    <row r="1" spans="1:15">
      <c r="A1" t="s">
        <v>1026</v>
      </c>
      <c r="D1" s="154">
        <v>65746</v>
      </c>
      <c r="E1" s="154"/>
      <c r="F1" s="54">
        <f>D1</f>
        <v>65746</v>
      </c>
      <c r="G1" s="4">
        <f>D1+2415018.5</f>
        <v>2480764.5</v>
      </c>
      <c r="J1" t="s">
        <v>693</v>
      </c>
    </row>
    <row r="2" spans="1:15">
      <c r="A2" t="s">
        <v>1015</v>
      </c>
      <c r="D2" s="156">
        <v>65817</v>
      </c>
      <c r="E2" s="156"/>
      <c r="F2" s="54">
        <f>D2</f>
        <v>65817</v>
      </c>
      <c r="G2" s="4">
        <f>D2+2415018.5</f>
        <v>2480835.5</v>
      </c>
      <c r="J2" t="s">
        <v>0</v>
      </c>
      <c r="K2">
        <f>Conversion!$B$5</f>
        <v>9460700000000000</v>
      </c>
    </row>
    <row r="3" spans="1:15">
      <c r="A3" t="s">
        <v>1028</v>
      </c>
      <c r="D3" s="154">
        <f>F3</f>
        <v>89454.842475957514</v>
      </c>
      <c r="E3" s="154"/>
      <c r="F3" s="54">
        <f>F2+(Mission!F18+Mission!B14)/3600/24</f>
        <v>89454.842475957514</v>
      </c>
      <c r="G3" s="4">
        <f>D3+2415018.5</f>
        <v>2504473.3424759577</v>
      </c>
      <c r="H3" s="4" t="s">
        <v>951</v>
      </c>
      <c r="I3" s="4">
        <f>D9+(Mission!D18+Mission!B15)/3600/24</f>
        <v>16774.451578292093</v>
      </c>
      <c r="J3" t="s">
        <v>15</v>
      </c>
      <c r="K3">
        <v>299792458</v>
      </c>
      <c r="L3" s="3">
        <f>K3^2</f>
        <v>8.987551787368176E+16</v>
      </c>
    </row>
    <row r="4" spans="1:15">
      <c r="A4" t="s">
        <v>1016</v>
      </c>
    </row>
    <row r="5" spans="1:15">
      <c r="A5" t="s">
        <v>1022</v>
      </c>
      <c r="D5" s="4">
        <f>Mission!B4</f>
        <v>7.8400000000000007</v>
      </c>
      <c r="E5" s="4"/>
    </row>
    <row r="6" spans="1:15">
      <c r="A6" t="s">
        <v>1023</v>
      </c>
      <c r="D6" s="4">
        <f>Mission!B5</f>
        <v>0.71430000000000005</v>
      </c>
      <c r="H6" s="159" t="s">
        <v>1037</v>
      </c>
      <c r="I6" s="159"/>
      <c r="J6" s="159"/>
      <c r="K6" s="159"/>
      <c r="L6" s="159"/>
      <c r="N6" t="s">
        <v>1065</v>
      </c>
    </row>
    <row r="7" spans="1:15">
      <c r="B7" t="s">
        <v>1038</v>
      </c>
      <c r="C7" t="s">
        <v>1039</v>
      </c>
      <c r="D7" t="s">
        <v>1040</v>
      </c>
      <c r="E7" t="s">
        <v>1019</v>
      </c>
      <c r="F7" t="s">
        <v>1021</v>
      </c>
      <c r="G7" t="s">
        <v>1041</v>
      </c>
      <c r="H7" s="160" t="s">
        <v>951</v>
      </c>
      <c r="I7" s="160" t="s">
        <v>899</v>
      </c>
      <c r="J7" s="160" t="s">
        <v>900</v>
      </c>
      <c r="K7" s="160" t="s">
        <v>8</v>
      </c>
      <c r="L7" s="160" t="s">
        <v>1042</v>
      </c>
      <c r="M7" s="160" t="s">
        <v>1018</v>
      </c>
      <c r="N7" t="s">
        <v>949</v>
      </c>
      <c r="O7" t="s">
        <v>1025</v>
      </c>
    </row>
    <row r="8" spans="1:15">
      <c r="A8" t="s">
        <v>1043</v>
      </c>
      <c r="B8" t="str">
        <f>CONCATENATE(TEXT((FLOOR(D8/364,1)),"000"),"-",TEXT(LOOKUP(C8,Calendar!A:A,Calendar!B:B),"00"),"-",TEXT(INT(1+C8-LOOKUP(C8,Calendar!A:A,Calendar!A:A)),"00")," MY")</f>
        <v>000-01-01 MY</v>
      </c>
      <c r="C8" s="54">
        <v>0</v>
      </c>
      <c r="D8">
        <v>0</v>
      </c>
      <c r="E8" s="158">
        <f t="shared" ref="E8:E48" si="0">G8</f>
        <v>65746</v>
      </c>
      <c r="F8" s="4">
        <f t="shared" ref="F8:F48" si="1">G8+2415018.5</f>
        <v>2480764.5</v>
      </c>
      <c r="G8" s="5">
        <f>F1</f>
        <v>65746</v>
      </c>
      <c r="H8" s="50">
        <v>0</v>
      </c>
      <c r="I8" s="161">
        <v>0</v>
      </c>
      <c r="J8" s="160">
        <f t="shared" ref="J8:J27" si="2">COSH($D$5*H8/$K$3)</f>
        <v>1</v>
      </c>
      <c r="K8" s="160">
        <v>0</v>
      </c>
      <c r="L8" s="160">
        <v>0</v>
      </c>
      <c r="M8" s="160">
        <v>0</v>
      </c>
      <c r="N8" s="43">
        <f t="shared" ref="N8:N29" si="3">K8/$K$2</f>
        <v>0</v>
      </c>
      <c r="O8" s="4">
        <v>0</v>
      </c>
    </row>
    <row r="9" spans="1:15">
      <c r="A9" t="s">
        <v>1017</v>
      </c>
      <c r="B9" t="str">
        <f>CONCATENATE(TEXT((FLOOR(D9/364,1)),"000"),"-",TEXT(LOOKUP(C9,Calendar!A:A,Calendar!B:B),"00"),"-",TEXT(INT(1+C9-LOOKUP(C9,Calendar!A:A,Calendar!A:A)),"00")," MY")</f>
        <v>000-04-09 MY</v>
      </c>
      <c r="C9" s="54">
        <f>MOD(D9,364)</f>
        <v>71</v>
      </c>
      <c r="D9" s="5">
        <f>F2-F1</f>
        <v>71</v>
      </c>
      <c r="E9" s="158">
        <f t="shared" si="0"/>
        <v>65817</v>
      </c>
      <c r="F9" s="4">
        <f t="shared" si="1"/>
        <v>2480835.5</v>
      </c>
      <c r="G9" s="5">
        <f>F2</f>
        <v>65817</v>
      </c>
      <c r="H9" s="50">
        <f t="shared" ref="H9:H28" si="4">(D9-$D$9)*86400</f>
        <v>0</v>
      </c>
      <c r="I9" s="161">
        <v>0</v>
      </c>
      <c r="J9" s="160">
        <f t="shared" si="2"/>
        <v>1</v>
      </c>
      <c r="K9" s="160">
        <v>0</v>
      </c>
      <c r="L9" s="160">
        <v>0</v>
      </c>
      <c r="M9" s="160">
        <v>0</v>
      </c>
      <c r="N9" s="43">
        <f t="shared" si="3"/>
        <v>0</v>
      </c>
      <c r="O9" s="4">
        <f t="shared" ref="O9:O48" si="5">(G9-$F$2)/365.26</f>
        <v>0</v>
      </c>
    </row>
    <row r="10" spans="1:15">
      <c r="A10" s="158"/>
      <c r="B10" t="str">
        <f>CONCATENATE(TEXT((FLOOR(D10/364,1)),"000"),"-",TEXT(LOOKUP(C10,Calendar!A:A,Calendar!B:B),"00"),"-",TEXT(INT(1+C10-LOOKUP(C10,Calendar!A:A,Calendar!A:A)),"00")," MY")</f>
        <v>000-05-01 MY</v>
      </c>
      <c r="C10" s="54">
        <f>MOD(D10,364)</f>
        <v>91</v>
      </c>
      <c r="D10" s="5">
        <f>LOOKUP(C9,Calendar!A:A,Calendar!A:A)+LOOKUP(C9,Calendar!A:A,Calendar!E:E)</f>
        <v>91</v>
      </c>
      <c r="E10" s="158">
        <f t="shared" si="0"/>
        <v>65837.006807713726</v>
      </c>
      <c r="F10" s="4">
        <f t="shared" si="1"/>
        <v>2480855.5068077138</v>
      </c>
      <c r="G10" s="5">
        <f t="shared" ref="G10:G28" si="6">$F$2+M10/86400</f>
        <v>65837.006807713726</v>
      </c>
      <c r="H10" s="50">
        <f t="shared" si="4"/>
        <v>1728000</v>
      </c>
      <c r="I10" s="161">
        <f t="shared" ref="I10:I27" si="7">TANH($D$5*H10/$K$3)</f>
        <v>4.5158926928075438E-2</v>
      </c>
      <c r="J10" s="160">
        <f t="shared" si="2"/>
        <v>1.001021226568839</v>
      </c>
      <c r="K10" s="160">
        <f>$K$3^2*($J$10-1)/($D$5)</f>
        <v>11707049329179.188</v>
      </c>
      <c r="L10" s="160">
        <f t="shared" ref="L10:L48" si="8">$K$3^2*(J10-1)/($D$5)</f>
        <v>11707049329179.188</v>
      </c>
      <c r="M10" s="50">
        <f>$K$3/$D$5*SINH($D$5*H10/$K$3)</f>
        <v>1728588.1864658836</v>
      </c>
      <c r="N10" s="43">
        <f t="shared" si="3"/>
        <v>1.2374400762289457E-3</v>
      </c>
      <c r="O10" s="4">
        <f t="shared" si="5"/>
        <v>5.4774154612401357E-2</v>
      </c>
    </row>
    <row r="11" spans="1:15">
      <c r="A11" s="158"/>
      <c r="B11" t="str">
        <f>CONCATENATE(TEXT((FLOOR(D11/364,1)),"000"),"-",TEXT(LOOKUP(C11,Calendar!A:A,Calendar!B:B),"00"),"-",TEXT(INT(1+C11-LOOKUP(C11,Calendar!A:A,Calendar!A:A)),"00")," MY")</f>
        <v>000-06-01 MY</v>
      </c>
      <c r="C11" s="54">
        <f t="shared" ref="C11:C48" si="9">MOD(D11,364)</f>
        <v>98</v>
      </c>
      <c r="D11" s="5">
        <f>LOOKUP(C10,Calendar!A:A,Calendar!A:A)+LOOKUP(C10,Calendar!A:A,Calendar!E:E)</f>
        <v>98</v>
      </c>
      <c r="E11" s="158">
        <f t="shared" si="0"/>
        <v>65844.016750935363</v>
      </c>
      <c r="F11" s="4">
        <f t="shared" si="1"/>
        <v>2480862.5167509355</v>
      </c>
      <c r="G11" s="5">
        <f t="shared" si="6"/>
        <v>65844.016750935363</v>
      </c>
      <c r="H11" s="50">
        <f t="shared" si="4"/>
        <v>2332800</v>
      </c>
      <c r="I11" s="161">
        <f t="shared" si="7"/>
        <v>6.0930474060658019E-2</v>
      </c>
      <c r="J11" s="160">
        <f t="shared" si="2"/>
        <v>1.0018614459362878</v>
      </c>
      <c r="K11" s="160">
        <f t="shared" ref="K11:K28" si="10">$K$3^2*(J11-1)/($D$5)</f>
        <v>21339083867056.789</v>
      </c>
      <c r="L11" s="160">
        <f t="shared" si="8"/>
        <v>21339083867056.789</v>
      </c>
      <c r="M11" s="50">
        <f t="shared" ref="M11:M48" si="11">$K$3/$D$5*SINH($D$5*H11/$K$3)</f>
        <v>2334247.2808150081</v>
      </c>
      <c r="N11" s="43">
        <f t="shared" si="3"/>
        <v>2.2555502095042428E-3</v>
      </c>
      <c r="O11" s="4">
        <f t="shared" si="5"/>
        <v>7.3965807740686729E-2</v>
      </c>
    </row>
    <row r="12" spans="1:15">
      <c r="A12" s="158"/>
      <c r="B12" t="str">
        <f>CONCATENATE(TEXT((FLOOR(D12/364,1)),"000"),"-",TEXT(LOOKUP(C12,Calendar!A:A,Calendar!B:B),"00"),"-",TEXT(INT(1+C12-LOOKUP(C12,Calendar!A:A,Calendar!A:A)),"00")," MY")</f>
        <v>000-07-01 MY</v>
      </c>
      <c r="C12" s="54">
        <f t="shared" si="9"/>
        <v>126</v>
      </c>
      <c r="D12" s="5">
        <f>LOOKUP(C11,Calendar!A:A,Calendar!A:A)+LOOKUP(C11,Calendar!A:A,Calendar!E:E)</f>
        <v>126</v>
      </c>
      <c r="E12" s="158">
        <f t="shared" si="0"/>
        <v>65872.141674068567</v>
      </c>
      <c r="F12" s="4">
        <f t="shared" si="1"/>
        <v>2480890.6416740688</v>
      </c>
      <c r="G12" s="5">
        <f t="shared" si="6"/>
        <v>65872.141674068567</v>
      </c>
      <c r="H12" s="50">
        <f t="shared" si="4"/>
        <v>4752000</v>
      </c>
      <c r="I12" s="161">
        <f t="shared" si="7"/>
        <v>0.12363577300323142</v>
      </c>
      <c r="J12" s="160">
        <f t="shared" si="2"/>
        <v>1.0077316543806827</v>
      </c>
      <c r="K12" s="160">
        <f t="shared" si="10"/>
        <v>88633474679104.141</v>
      </c>
      <c r="L12" s="160">
        <f t="shared" si="8"/>
        <v>88633474679104.141</v>
      </c>
      <c r="M12" s="50">
        <f t="shared" si="11"/>
        <v>4764240.6395247802</v>
      </c>
      <c r="N12" s="43">
        <f t="shared" si="3"/>
        <v>9.3685958416506333E-3</v>
      </c>
      <c r="O12" s="4">
        <f t="shared" si="5"/>
        <v>0.1509655425411138</v>
      </c>
    </row>
    <row r="13" spans="1:15">
      <c r="A13" s="158"/>
      <c r="B13" t="str">
        <f>CONCATENATE(TEXT((FLOOR(D13/364,1)),"000"),"-",TEXT(LOOKUP(C13,Calendar!A:A,Calendar!B:B),"00"),"-",TEXT(INT(1+C13-LOOKUP(C13,Calendar!A:A,Calendar!A:A)),"00")," MY")</f>
        <v>000-08-01 MY</v>
      </c>
      <c r="C13" s="54">
        <f t="shared" si="9"/>
        <v>154</v>
      </c>
      <c r="D13" s="5">
        <f>LOOKUP(C12,Calendar!A:A,Calendar!A:A)+LOOKUP(C12,Calendar!A:A,Calendar!E:E)</f>
        <v>154</v>
      </c>
      <c r="E13" s="158">
        <f t="shared" si="0"/>
        <v>65900.48737686449</v>
      </c>
      <c r="F13" s="4">
        <f t="shared" si="1"/>
        <v>2480918.9873768645</v>
      </c>
      <c r="G13" s="5">
        <f t="shared" si="6"/>
        <v>65900.48737686449</v>
      </c>
      <c r="H13" s="50">
        <f t="shared" si="4"/>
        <v>7171200</v>
      </c>
      <c r="I13" s="161">
        <f t="shared" si="7"/>
        <v>0.18536902477204156</v>
      </c>
      <c r="J13" s="160">
        <f t="shared" si="2"/>
        <v>1.0176366814717785</v>
      </c>
      <c r="K13" s="160">
        <f t="shared" si="10"/>
        <v>202181872557304.16</v>
      </c>
      <c r="L13" s="160">
        <f t="shared" si="8"/>
        <v>202181872557304.16</v>
      </c>
      <c r="M13" s="50">
        <f t="shared" si="11"/>
        <v>7213309.3610914815</v>
      </c>
      <c r="N13" s="43">
        <f t="shared" si="3"/>
        <v>2.1370709625852649E-2</v>
      </c>
      <c r="O13" s="4">
        <f t="shared" si="5"/>
        <v>0.22856972256609051</v>
      </c>
    </row>
    <row r="14" spans="1:15">
      <c r="A14" s="158"/>
      <c r="B14" t="str">
        <f>CONCATENATE(TEXT((FLOOR(D14/364,1)),"000"),"-",TEXT(LOOKUP(C14,Calendar!A:A,Calendar!B:B),"00"),"-",TEXT(INT(1+C14-LOOKUP(C14,Calendar!A:A,Calendar!A:A)),"00")," MY")</f>
        <v>000-09-01 MY</v>
      </c>
      <c r="C14" s="54">
        <f t="shared" si="9"/>
        <v>182</v>
      </c>
      <c r="D14" s="5">
        <f>LOOKUP(C13,Calendar!A:A,Calendar!A:A)+LOOKUP(C13,Calendar!A:A,Calendar!E:E)</f>
        <v>182</v>
      </c>
      <c r="E14" s="158">
        <f t="shared" si="0"/>
        <v>65929.167351610144</v>
      </c>
      <c r="F14" s="4">
        <f t="shared" si="1"/>
        <v>2480947.66735161</v>
      </c>
      <c r="G14" s="5">
        <f t="shared" si="6"/>
        <v>65929.167351610144</v>
      </c>
      <c r="H14" s="50">
        <f t="shared" si="4"/>
        <v>9590400</v>
      </c>
      <c r="I14" s="161">
        <f t="shared" si="7"/>
        <v>0.2456729951878788</v>
      </c>
      <c r="J14" s="160">
        <f t="shared" si="2"/>
        <v>1.0316161855728205</v>
      </c>
      <c r="K14" s="160">
        <f t="shared" si="10"/>
        <v>362438909636182.5</v>
      </c>
      <c r="L14" s="160">
        <f t="shared" si="8"/>
        <v>362438909636182.5</v>
      </c>
      <c r="M14" s="50">
        <f t="shared" si="11"/>
        <v>9691259.1791167818</v>
      </c>
      <c r="N14" s="43">
        <f t="shared" si="3"/>
        <v>3.830994637142944E-2</v>
      </c>
      <c r="O14" s="4">
        <f t="shared" si="5"/>
        <v>0.30708906425599208</v>
      </c>
    </row>
    <row r="15" spans="1:15">
      <c r="A15" s="158"/>
      <c r="B15" t="str">
        <f>CONCATENATE(TEXT((FLOOR(D15/364,1)),"000"),"-",TEXT(LOOKUP(C15,Calendar!A:A,Calendar!B:B),"00"),"-",TEXT(INT(1+C15-LOOKUP(C15,Calendar!A:A,Calendar!A:A)),"00")," MY")</f>
        <v>000-10-01 MY</v>
      </c>
      <c r="C15" s="54">
        <f t="shared" si="9"/>
        <v>189</v>
      </c>
      <c r="D15" s="5">
        <f>LOOKUP(C14,Calendar!A:A,Calendar!A:A)+LOOKUP(C14,Calendar!A:A,Calendar!E:E)</f>
        <v>189</v>
      </c>
      <c r="E15" s="158">
        <f t="shared" si="0"/>
        <v>65936.402996060104</v>
      </c>
      <c r="F15" s="4">
        <f t="shared" si="1"/>
        <v>2480954.90299606</v>
      </c>
      <c r="G15" s="5">
        <f t="shared" si="6"/>
        <v>65936.402996060104</v>
      </c>
      <c r="H15" s="50">
        <f t="shared" si="4"/>
        <v>10195200</v>
      </c>
      <c r="I15" s="161">
        <f t="shared" si="7"/>
        <v>0.26047602200696862</v>
      </c>
      <c r="J15" s="160">
        <f t="shared" si="2"/>
        <v>1.0357538964698496</v>
      </c>
      <c r="K15" s="160">
        <f t="shared" si="10"/>
        <v>409872444034405.06</v>
      </c>
      <c r="L15" s="160">
        <f t="shared" si="8"/>
        <v>409872444034405.06</v>
      </c>
      <c r="M15" s="50">
        <f t="shared" si="11"/>
        <v>10316418.859592894</v>
      </c>
      <c r="N15" s="43">
        <f t="shared" si="3"/>
        <v>4.3323691062437775E-2</v>
      </c>
      <c r="O15" s="4">
        <f t="shared" si="5"/>
        <v>0.32689863675218683</v>
      </c>
    </row>
    <row r="16" spans="1:15">
      <c r="A16" s="158"/>
      <c r="B16" t="str">
        <f>CONCATENATE(TEXT((FLOOR(D16/364,1)),"000"),"-",TEXT(LOOKUP(C16,Calendar!A:A,Calendar!B:B),"00"),"-",TEXT(INT(1+C16-LOOKUP(C16,Calendar!A:A,Calendar!A:A)),"00")," MY")</f>
        <v>000-11-01 MY</v>
      </c>
      <c r="C16" s="54">
        <f t="shared" si="9"/>
        <v>217</v>
      </c>
      <c r="D16" s="5">
        <f>LOOKUP(C15,Calendar!A:A,Calendar!A:A)+LOOKUP(C15,Calendar!A:A,Calendar!E:E)</f>
        <v>217</v>
      </c>
      <c r="E16" s="158">
        <f t="shared" si="0"/>
        <v>65965.662491889569</v>
      </c>
      <c r="F16" s="4">
        <f t="shared" si="1"/>
        <v>2480984.1624918897</v>
      </c>
      <c r="G16" s="5">
        <f t="shared" si="6"/>
        <v>65965.662491889569</v>
      </c>
      <c r="H16" s="50">
        <f t="shared" si="4"/>
        <v>12614400</v>
      </c>
      <c r="I16" s="161">
        <f t="shared" si="7"/>
        <v>0.31841702383244574</v>
      </c>
      <c r="J16" s="160">
        <f t="shared" si="2"/>
        <v>1.0549071396209662</v>
      </c>
      <c r="K16" s="160">
        <f t="shared" si="10"/>
        <v>629439745968990.25</v>
      </c>
      <c r="L16" s="160">
        <f t="shared" si="8"/>
        <v>629439745968990.25</v>
      </c>
      <c r="M16" s="50">
        <f t="shared" si="11"/>
        <v>12844439.299259346</v>
      </c>
      <c r="N16" s="43">
        <f t="shared" si="3"/>
        <v>6.6532047942434516E-2</v>
      </c>
      <c r="O16" s="4">
        <f t="shared" si="5"/>
        <v>0.40700457725885297</v>
      </c>
    </row>
    <row r="17" spans="1:15">
      <c r="A17" s="158"/>
      <c r="B17" t="str">
        <f>CONCATENATE(TEXT((FLOOR(D17/364,1)),"000"),"-",TEXT(LOOKUP(C17,Calendar!A:A,Calendar!B:B),"00"),"-",TEXT(INT(1+C17-LOOKUP(C17,Calendar!A:A,Calendar!A:A)),"00")," MY")</f>
        <v>000-12-01 MY</v>
      </c>
      <c r="C17" s="54">
        <f t="shared" si="9"/>
        <v>245</v>
      </c>
      <c r="D17" s="5">
        <f>LOOKUP(C16,Calendar!A:A,Calendar!A:A)+LOOKUP(C16,Calendar!A:A,Calendar!E:E)</f>
        <v>245</v>
      </c>
      <c r="E17" s="158">
        <f t="shared" si="0"/>
        <v>65995.517211846163</v>
      </c>
      <c r="F17" s="4">
        <f t="shared" si="1"/>
        <v>2481014.0172118461</v>
      </c>
      <c r="G17" s="5">
        <f t="shared" si="6"/>
        <v>65995.517211846163</v>
      </c>
      <c r="H17" s="50">
        <f t="shared" si="4"/>
        <v>15033600</v>
      </c>
      <c r="I17" s="161">
        <f t="shared" si="7"/>
        <v>0.37407268935677784</v>
      </c>
      <c r="J17" s="160">
        <f t="shared" si="2"/>
        <v>1.0782840855594049</v>
      </c>
      <c r="K17" s="160">
        <f t="shared" si="10"/>
        <v>897426368739684.75</v>
      </c>
      <c r="L17" s="160">
        <f t="shared" si="8"/>
        <v>897426368739684.75</v>
      </c>
      <c r="M17" s="50">
        <f t="shared" si="11"/>
        <v>15423887.103508202</v>
      </c>
      <c r="N17" s="43">
        <f t="shared" si="3"/>
        <v>9.4858347557758391E-2</v>
      </c>
      <c r="O17" s="4">
        <f t="shared" si="5"/>
        <v>0.48874010799475243</v>
      </c>
    </row>
    <row r="18" spans="1:15">
      <c r="A18" s="158"/>
      <c r="B18" t="str">
        <f>CONCATENATE(TEXT((FLOOR(D18/364,1)),"000"),"-",TEXT(LOOKUP(C18,Calendar!A:A,Calendar!B:B),"00"),"-",TEXT(INT(1+C18-LOOKUP(C18,Calendar!A:A,Calendar!A:A)),"00")," MY")</f>
        <v>000-13-01 MY</v>
      </c>
      <c r="C18" s="54">
        <f t="shared" si="9"/>
        <v>273</v>
      </c>
      <c r="D18" s="5">
        <f>LOOKUP(C17,Calendar!A:A,Calendar!A:A)+LOOKUP(C17,Calendar!A:A,Calendar!E:E)</f>
        <v>273</v>
      </c>
      <c r="E18" s="158">
        <f t="shared" si="0"/>
        <v>66026.086690113632</v>
      </c>
      <c r="F18" s="4">
        <f t="shared" si="1"/>
        <v>2481044.5866901134</v>
      </c>
      <c r="G18" s="5">
        <f t="shared" si="6"/>
        <v>66026.086690113632</v>
      </c>
      <c r="H18" s="50">
        <f t="shared" si="4"/>
        <v>17452800</v>
      </c>
      <c r="I18" s="161">
        <f t="shared" si="7"/>
        <v>0.42715832151105182</v>
      </c>
      <c r="J18" s="160">
        <f t="shared" si="2"/>
        <v>1.1059783323546171</v>
      </c>
      <c r="K18" s="160">
        <f t="shared" si="10"/>
        <v>1214905293846986</v>
      </c>
      <c r="L18" s="160">
        <f t="shared" si="8"/>
        <v>1214905293846986</v>
      </c>
      <c r="M18" s="50">
        <f t="shared" si="11"/>
        <v>18065090.025817819</v>
      </c>
      <c r="N18" s="43">
        <f t="shared" si="3"/>
        <v>0.12841600450780449</v>
      </c>
      <c r="O18" s="4">
        <f t="shared" si="5"/>
        <v>0.57243248675910963</v>
      </c>
    </row>
    <row r="19" spans="1:15">
      <c r="A19" s="158"/>
      <c r="B19" t="str">
        <f>CONCATENATE(TEXT((FLOOR(D19/364,1)),"000"),"-",TEXT(LOOKUP(C19,Calendar!A:A,Calendar!B:B),"00"),"-",TEXT(INT(1+C19-LOOKUP(C19,Calendar!A:A,Calendar!A:A)),"00")," MY")</f>
        <v>000-14-01 MY</v>
      </c>
      <c r="C19" s="54">
        <f t="shared" si="9"/>
        <v>280</v>
      </c>
      <c r="D19" s="5">
        <f>LOOKUP(C18,Calendar!A:A,Calendar!A:A)+LOOKUP(C18,Calendar!A:A,Calendar!E:E)</f>
        <v>280</v>
      </c>
      <c r="E19" s="158">
        <f t="shared" si="0"/>
        <v>66033.855014117536</v>
      </c>
      <c r="F19" s="4">
        <f t="shared" si="1"/>
        <v>2481052.3550141174</v>
      </c>
      <c r="G19" s="5">
        <f t="shared" si="6"/>
        <v>66033.855014117536</v>
      </c>
      <c r="H19" s="50">
        <f t="shared" si="4"/>
        <v>18057600</v>
      </c>
      <c r="I19" s="161">
        <f t="shared" si="7"/>
        <v>0.44000094252537209</v>
      </c>
      <c r="J19" s="160">
        <f t="shared" si="2"/>
        <v>1.1135890806599489</v>
      </c>
      <c r="K19" s="160">
        <f t="shared" si="10"/>
        <v>1302152735855652.2</v>
      </c>
      <c r="L19" s="160">
        <f t="shared" si="8"/>
        <v>1302152735855652.2</v>
      </c>
      <c r="M19" s="50">
        <f t="shared" si="11"/>
        <v>18736273.219754901</v>
      </c>
      <c r="N19" s="43">
        <f t="shared" si="3"/>
        <v>0.13763809610870784</v>
      </c>
      <c r="O19" s="4">
        <f t="shared" si="5"/>
        <v>0.59370041646371485</v>
      </c>
    </row>
    <row r="20" spans="1:15">
      <c r="A20" s="158"/>
      <c r="B20" t="str">
        <f>CONCATENATE(TEXT((FLOOR(D20/364,1)),"000"),"-",TEXT(LOOKUP(C20,Calendar!A:A,Calendar!B:B),"00"),"-",TEXT(INT(1+C20-LOOKUP(C20,Calendar!A:A,Calendar!A:A)),"00")," MY")</f>
        <v>000-15-01 MY</v>
      </c>
      <c r="C20" s="54">
        <f t="shared" si="9"/>
        <v>308</v>
      </c>
      <c r="D20" s="5">
        <f>LOOKUP(C19,Calendar!A:A,Calendar!A:A)+LOOKUP(C19,Calendar!A:A,Calendar!E:E)</f>
        <v>308</v>
      </c>
      <c r="E20" s="158">
        <f t="shared" si="0"/>
        <v>66065.490441460774</v>
      </c>
      <c r="F20" s="4">
        <f t="shared" si="1"/>
        <v>2481083.9904414606</v>
      </c>
      <c r="G20" s="5">
        <f t="shared" si="6"/>
        <v>66065.490441460774</v>
      </c>
      <c r="H20" s="50">
        <f t="shared" si="4"/>
        <v>20476800</v>
      </c>
      <c r="I20" s="161">
        <f t="shared" si="7"/>
        <v>0.48957218308044159</v>
      </c>
      <c r="J20" s="160">
        <f t="shared" si="2"/>
        <v>1.1468379510316236</v>
      </c>
      <c r="K20" s="160">
        <f t="shared" si="10"/>
        <v>1683308277101720.5</v>
      </c>
      <c r="L20" s="160">
        <f t="shared" si="8"/>
        <v>1683308277101720.5</v>
      </c>
      <c r="M20" s="50">
        <f t="shared" si="11"/>
        <v>21469574.142211389</v>
      </c>
      <c r="N20" s="43">
        <f t="shared" si="3"/>
        <v>0.17792639837450933</v>
      </c>
      <c r="O20" s="4">
        <f t="shared" si="5"/>
        <v>0.6803111248446958</v>
      </c>
    </row>
    <row r="21" spans="1:15">
      <c r="A21" s="158"/>
      <c r="B21" t="str">
        <f>CONCATENATE(TEXT((FLOOR(D21/364,1)),"000"),"-",TEXT(LOOKUP(C21,Calendar!A:A,Calendar!B:B),"00"),"-",TEXT(INT(1+C21-LOOKUP(C21,Calendar!A:A,Calendar!A:A)),"00")," MY")</f>
        <v>000-16-01 MY</v>
      </c>
      <c r="C21" s="54">
        <f t="shared" si="9"/>
        <v>336</v>
      </c>
      <c r="D21" s="5">
        <f>LOOKUP(C20,Calendar!A:A,Calendar!A:A)+LOOKUP(C20,Calendar!A:A,Calendar!E:E)</f>
        <v>336</v>
      </c>
      <c r="E21" s="158">
        <f t="shared" si="0"/>
        <v>66098.120790281755</v>
      </c>
      <c r="F21" s="4">
        <f t="shared" si="1"/>
        <v>2481116.6207902818</v>
      </c>
      <c r="G21" s="5">
        <f t="shared" si="6"/>
        <v>66098.120790281755</v>
      </c>
      <c r="H21" s="50">
        <f t="shared" si="4"/>
        <v>22896000</v>
      </c>
      <c r="I21" s="161">
        <f t="shared" si="7"/>
        <v>0.53616878074071528</v>
      </c>
      <c r="J21" s="160">
        <f t="shared" si="2"/>
        <v>1.1846786024885216</v>
      </c>
      <c r="K21" s="160">
        <f t="shared" si="10"/>
        <v>2117102683525981.5</v>
      </c>
      <c r="L21" s="160">
        <f t="shared" si="8"/>
        <v>2117102683525981.5</v>
      </c>
      <c r="M21" s="50">
        <f t="shared" si="11"/>
        <v>24288836.280343842</v>
      </c>
      <c r="N21" s="43">
        <f t="shared" si="3"/>
        <v>0.22377865100108676</v>
      </c>
      <c r="O21" s="4">
        <f t="shared" si="5"/>
        <v>0.76964570520110342</v>
      </c>
    </row>
    <row r="22" spans="1:15">
      <c r="A22" s="158"/>
      <c r="B22" t="str">
        <f>CONCATENATE(TEXT((FLOOR(D22/364,1)),"000"),"-",TEXT(LOOKUP(C22,Calendar!A:A,Calendar!B:B),"00"),"-",TEXT(INT(1+C22-LOOKUP(C22,Calendar!A:A,Calendar!A:A)),"00")," MY")</f>
        <v>001-01-01 MY</v>
      </c>
      <c r="C22" s="54">
        <f t="shared" si="9"/>
        <v>0</v>
      </c>
      <c r="D22" s="5">
        <f>LOOKUP(C21,Calendar!A:A,Calendar!A:A)+LOOKUP(C21,Calendar!A:A,Calendar!E:E)</f>
        <v>364</v>
      </c>
      <c r="E22" s="158">
        <f t="shared" si="0"/>
        <v>66131.876707999647</v>
      </c>
      <c r="F22" s="4">
        <f t="shared" si="1"/>
        <v>2481150.3767079995</v>
      </c>
      <c r="G22" s="5">
        <f t="shared" si="6"/>
        <v>66131.876707999647</v>
      </c>
      <c r="H22" s="50">
        <f t="shared" si="4"/>
        <v>25315200</v>
      </c>
      <c r="I22" s="161">
        <f t="shared" si="7"/>
        <v>0.57971182444920411</v>
      </c>
      <c r="J22" s="160">
        <f t="shared" si="2"/>
        <v>1.227262543783433</v>
      </c>
      <c r="K22" s="160">
        <f t="shared" si="10"/>
        <v>2605272808141112</v>
      </c>
      <c r="L22" s="160">
        <f t="shared" si="8"/>
        <v>2605272808141112</v>
      </c>
      <c r="M22" s="50">
        <f t="shared" si="11"/>
        <v>27205347.571169451</v>
      </c>
      <c r="N22" s="43">
        <f t="shared" si="3"/>
        <v>0.27537844008806028</v>
      </c>
      <c r="O22" s="4">
        <f t="shared" si="5"/>
        <v>0.86206184087950199</v>
      </c>
    </row>
    <row r="23" spans="1:15">
      <c r="A23" s="158"/>
      <c r="B23" t="str">
        <f>CONCATENATE(TEXT((FLOOR(D23/364,1)),"000"),"-",TEXT(LOOKUP(C23,Calendar!A:A,Calendar!B:B),"00"),"-",TEXT(INT(1+C23-LOOKUP(C23,Calendar!A:A,Calendar!A:A)),"00")," MY")</f>
        <v>000-02-01 MY</v>
      </c>
      <c r="C23" s="54">
        <f t="shared" si="9"/>
        <v>7</v>
      </c>
      <c r="D23" s="5">
        <f>LOOKUP(C22,Calendar!A:A,Calendar!A:A)+LOOKUP(C22,Calendar!A:A,Calendar!E:E)</f>
        <v>7</v>
      </c>
      <c r="E23" s="158">
        <f t="shared" si="0"/>
        <v>65752.776714282212</v>
      </c>
      <c r="F23" s="4">
        <f t="shared" si="1"/>
        <v>2480771.2767142821</v>
      </c>
      <c r="G23" s="5">
        <f t="shared" si="6"/>
        <v>65752.776714282212</v>
      </c>
      <c r="H23" s="50">
        <f t="shared" si="4"/>
        <v>-5529600</v>
      </c>
      <c r="I23" s="161">
        <f t="shared" si="7"/>
        <v>-0.14360731415643335</v>
      </c>
      <c r="J23" s="160">
        <f t="shared" si="2"/>
        <v>1.0104738132263229</v>
      </c>
      <c r="K23" s="160">
        <f t="shared" si="10"/>
        <v>120068799467855.67</v>
      </c>
      <c r="L23" s="160">
        <f t="shared" si="8"/>
        <v>120068799467855.67</v>
      </c>
      <c r="M23" s="50">
        <f t="shared" si="11"/>
        <v>-5548891.886017384</v>
      </c>
      <c r="N23" s="43">
        <f t="shared" si="3"/>
        <v>1.2691322995957559E-2</v>
      </c>
      <c r="O23" s="4">
        <f t="shared" si="5"/>
        <v>-0.17582895942010568</v>
      </c>
    </row>
    <row r="24" spans="1:15">
      <c r="A24" s="158"/>
      <c r="B24" t="str">
        <f>CONCATENATE(TEXT((FLOOR(D24/364,1)),"000"),"-",TEXT(LOOKUP(C24,Calendar!A:A,Calendar!B:B),"00"),"-",TEXT(INT(1+C24-LOOKUP(C24,Calendar!A:A,Calendar!A:A)),"00")," MY")</f>
        <v>000-03-01 MY</v>
      </c>
      <c r="C24" s="54">
        <f t="shared" si="9"/>
        <v>35</v>
      </c>
      <c r="D24" s="5">
        <f>LOOKUP(C23,Calendar!A:A,Calendar!A:A)+LOOKUP(C23,Calendar!A:A,Calendar!E:E)</f>
        <v>35</v>
      </c>
      <c r="E24" s="158">
        <f t="shared" si="0"/>
        <v>65780.960288332004</v>
      </c>
      <c r="F24" s="4">
        <f t="shared" si="1"/>
        <v>2480799.4602883318</v>
      </c>
      <c r="G24" s="5">
        <f t="shared" si="6"/>
        <v>65780.960288332004</v>
      </c>
      <c r="H24" s="50">
        <f t="shared" si="4"/>
        <v>-3110400</v>
      </c>
      <c r="I24" s="161">
        <f t="shared" si="7"/>
        <v>-8.1162469704221904E-2</v>
      </c>
      <c r="J24" s="160">
        <f t="shared" si="2"/>
        <v>1.0033100355141005</v>
      </c>
      <c r="K24" s="160">
        <f t="shared" si="10"/>
        <v>37945300511487.047</v>
      </c>
      <c r="L24" s="160">
        <f t="shared" si="8"/>
        <v>37945300511487.047</v>
      </c>
      <c r="M24" s="50">
        <f t="shared" si="11"/>
        <v>-3113831.0881153643</v>
      </c>
      <c r="N24" s="43">
        <f t="shared" si="3"/>
        <v>4.0108343475099145E-3</v>
      </c>
      <c r="O24" s="4">
        <f t="shared" si="5"/>
        <v>-9.8668651557783538E-2</v>
      </c>
    </row>
    <row r="25" spans="1:15">
      <c r="A25" s="158"/>
      <c r="B25" t="str">
        <f>CONCATENATE(TEXT((FLOOR(D25/364,1)),"000"),"-",TEXT(LOOKUP(C25,Calendar!A:A,Calendar!B:B),"00"),"-",TEXT(INT(1+C25-LOOKUP(C25,Calendar!A:A,Calendar!A:A)),"00")," MY")</f>
        <v>000-04-01 MY</v>
      </c>
      <c r="C25" s="54">
        <f t="shared" si="9"/>
        <v>63</v>
      </c>
      <c r="D25" s="5">
        <f>LOOKUP(C24,Calendar!A:A,Calendar!A:A)+LOOKUP(C24,Calendar!A:A,Calendar!E:E)</f>
        <v>63</v>
      </c>
      <c r="E25" s="158">
        <f t="shared" si="0"/>
        <v>65808.999564343685</v>
      </c>
      <c r="F25" s="4">
        <f t="shared" si="1"/>
        <v>2480827.4995643436</v>
      </c>
      <c r="G25" s="5">
        <f t="shared" si="6"/>
        <v>65808.999564343685</v>
      </c>
      <c r="H25" s="50">
        <f t="shared" si="4"/>
        <v>-691200</v>
      </c>
      <c r="I25" s="161">
        <f t="shared" si="7"/>
        <v>-1.8073896577172344E-2</v>
      </c>
      <c r="J25" s="160">
        <f t="shared" si="2"/>
        <v>1.0001633728960766</v>
      </c>
      <c r="K25" s="160">
        <f t="shared" si="10"/>
        <v>1872860158342.771</v>
      </c>
      <c r="L25" s="160">
        <f t="shared" si="8"/>
        <v>1872860158342.771</v>
      </c>
      <c r="M25" s="50">
        <f t="shared" si="11"/>
        <v>-691237.64070530294</v>
      </c>
      <c r="N25" s="43">
        <f t="shared" si="3"/>
        <v>1.9796211256490229E-4</v>
      </c>
      <c r="O25" s="4">
        <f t="shared" si="5"/>
        <v>-2.1903399376649368E-2</v>
      </c>
    </row>
    <row r="26" spans="1:15">
      <c r="A26" s="158"/>
      <c r="B26" t="str">
        <f>CONCATENATE(TEXT((FLOOR(D26/364,1)),"000"),"-",TEXT(LOOKUP(C26,Calendar!A:A,Calendar!B:B),"00"),"-",TEXT(INT(1+C26-LOOKUP(C26,Calendar!A:A,Calendar!A:A)),"00")," MY")</f>
        <v>000-05-01 MY</v>
      </c>
      <c r="C26" s="54">
        <f t="shared" si="9"/>
        <v>91</v>
      </c>
      <c r="D26" s="5">
        <f>LOOKUP(C25,Calendar!A:A,Calendar!A:A)+LOOKUP(C25,Calendar!A:A,Calendar!E:E)</f>
        <v>91</v>
      </c>
      <c r="E26" s="158">
        <f t="shared" si="0"/>
        <v>65837.006807713726</v>
      </c>
      <c r="F26" s="4">
        <f t="shared" si="1"/>
        <v>2480855.5068077138</v>
      </c>
      <c r="G26" s="5">
        <f t="shared" si="6"/>
        <v>65837.006807713726</v>
      </c>
      <c r="H26" s="50">
        <f t="shared" si="4"/>
        <v>1728000</v>
      </c>
      <c r="I26" s="161">
        <f t="shared" si="7"/>
        <v>4.5158926928075438E-2</v>
      </c>
      <c r="J26" s="160">
        <f t="shared" si="2"/>
        <v>1.001021226568839</v>
      </c>
      <c r="K26" s="160">
        <f t="shared" si="10"/>
        <v>11707049329179.188</v>
      </c>
      <c r="L26" s="160">
        <f t="shared" si="8"/>
        <v>11707049329179.188</v>
      </c>
      <c r="M26" s="50">
        <f t="shared" si="11"/>
        <v>1728588.1864658836</v>
      </c>
      <c r="N26" s="43">
        <f t="shared" si="3"/>
        <v>1.2374400762289457E-3</v>
      </c>
      <c r="O26" s="4">
        <f t="shared" si="5"/>
        <v>5.4774154612401357E-2</v>
      </c>
    </row>
    <row r="27" spans="1:15">
      <c r="A27" s="158"/>
      <c r="B27" t="str">
        <f>CONCATENATE(TEXT((FLOOR(D27/364,1)),"000"),"-",TEXT(LOOKUP(C27,Calendar!A:A,Calendar!B:B),"00"),"-",TEXT(INT(1+C27-LOOKUP(C27,Calendar!A:A,Calendar!A:A)),"00")," MY")</f>
        <v>000-06-01 MY</v>
      </c>
      <c r="C27" s="54">
        <f t="shared" si="9"/>
        <v>98</v>
      </c>
      <c r="D27" s="5">
        <f>LOOKUP(C26,Calendar!A:A,Calendar!A:A)+LOOKUP(C26,Calendar!A:A,Calendar!E:E)</f>
        <v>98</v>
      </c>
      <c r="E27" s="158">
        <f t="shared" si="0"/>
        <v>65844.016750935363</v>
      </c>
      <c r="F27" s="4">
        <f t="shared" si="1"/>
        <v>2480862.5167509355</v>
      </c>
      <c r="G27" s="5">
        <f t="shared" si="6"/>
        <v>65844.016750935363</v>
      </c>
      <c r="H27" s="50">
        <f t="shared" si="4"/>
        <v>2332800</v>
      </c>
      <c r="I27" s="161">
        <f t="shared" si="7"/>
        <v>6.0930474060658019E-2</v>
      </c>
      <c r="J27" s="160">
        <f t="shared" si="2"/>
        <v>1.0018614459362878</v>
      </c>
      <c r="K27" s="160">
        <f t="shared" si="10"/>
        <v>21339083867056.789</v>
      </c>
      <c r="L27" s="160">
        <f t="shared" si="8"/>
        <v>21339083867056.789</v>
      </c>
      <c r="M27" s="50">
        <f t="shared" si="11"/>
        <v>2334247.2808150081</v>
      </c>
      <c r="N27" s="43">
        <f t="shared" si="3"/>
        <v>2.2555502095042428E-3</v>
      </c>
      <c r="O27" s="4">
        <f t="shared" si="5"/>
        <v>7.3965807740686729E-2</v>
      </c>
    </row>
    <row r="28" spans="1:15">
      <c r="A28" t="s">
        <v>1020</v>
      </c>
      <c r="B28" t="str">
        <f>CONCATENATE(TEXT((FLOOR(D28/364,1)),"000"),"-",TEXT(LOOKUP(C28,Calendar!A:A,Calendar!B:B),"00"),"-",TEXT(INT(1+C28-LOOKUP(C28,Calendar!A:A,Calendar!A:A)),"00")," MY")</f>
        <v>001-06-06 MY</v>
      </c>
      <c r="C28" s="54">
        <f t="shared" si="9"/>
        <v>103.51055225043478</v>
      </c>
      <c r="D28" s="5">
        <f>($K$3/$D$5*ACOSH($D$5*K28/$L$3+1))/3600/24+$D$9</f>
        <v>467.51055225043478</v>
      </c>
      <c r="E28" s="158">
        <f t="shared" si="0"/>
        <v>66268.7238439598</v>
      </c>
      <c r="F28" s="4">
        <f t="shared" si="1"/>
        <v>2481287.2238439596</v>
      </c>
      <c r="G28" s="5">
        <f t="shared" si="6"/>
        <v>66268.7238439598</v>
      </c>
      <c r="H28" s="50">
        <f t="shared" si="4"/>
        <v>34258511.714437567</v>
      </c>
      <c r="I28" s="161">
        <f>$D$6*1</f>
        <v>0.71430000000000005</v>
      </c>
      <c r="J28" s="160">
        <f t="shared" ref="J28:J29" si="12">1/SQRT(1-I28^2/1)</f>
        <v>1.4288987859560189</v>
      </c>
      <c r="K28" s="160">
        <f t="shared" si="10"/>
        <v>4916773023366145</v>
      </c>
      <c r="L28" s="160">
        <f t="shared" si="8"/>
        <v>4916773023366145</v>
      </c>
      <c r="M28" s="50">
        <f t="shared" si="11"/>
        <v>39028940.118126489</v>
      </c>
      <c r="N28" s="43">
        <f t="shared" si="3"/>
        <v>0.51970499258682179</v>
      </c>
      <c r="O28" s="4">
        <f t="shared" si="5"/>
        <v>1.2367186222411446</v>
      </c>
    </row>
    <row r="29" spans="1:15">
      <c r="A29" t="s">
        <v>1024</v>
      </c>
      <c r="B29" t="str">
        <f>CONCATENATE(TEXT((FLOOR(D29/364,1)),"000"),"-",TEXT(LOOKUP(C29,Calendar!A:A,Calendar!B:B),"00"),"-",TEXT(INT(1+C29-LOOKUP(C29,Calendar!A:A,Calendar!A:A)),"00")," MY")</f>
        <v>044-16-26 MY</v>
      </c>
      <c r="C29" s="54">
        <f t="shared" si="9"/>
        <v>361.94102604165892</v>
      </c>
      <c r="D29" s="5">
        <f>$D$48-H29/86400</f>
        <v>16377.941026041659</v>
      </c>
      <c r="E29" s="158">
        <f t="shared" si="0"/>
        <v>89003.118631997713</v>
      </c>
      <c r="F29" s="4">
        <f t="shared" si="1"/>
        <v>2504021.6186319976</v>
      </c>
      <c r="G29" s="5">
        <f t="shared" ref="G29:G48" si="13">$F$3-M29/86400</f>
        <v>89003.118631997713</v>
      </c>
      <c r="H29" s="50">
        <f>H28</f>
        <v>34258511.714437567</v>
      </c>
      <c r="I29" s="161">
        <f>$D$6*1</f>
        <v>0.71430000000000005</v>
      </c>
      <c r="J29" s="160">
        <f t="shared" si="12"/>
        <v>1.4288987859560189</v>
      </c>
      <c r="K29" s="160">
        <f>K48-300000000^2*(J29-1)/($D$5)</f>
        <v>4.2553826699795386E+17</v>
      </c>
      <c r="L29" s="160">
        <f t="shared" si="8"/>
        <v>4916773023366145</v>
      </c>
      <c r="M29" s="50">
        <f t="shared" si="11"/>
        <v>39028940.118126489</v>
      </c>
      <c r="N29" s="43">
        <f t="shared" si="3"/>
        <v>44.979575189780235</v>
      </c>
      <c r="O29" s="4">
        <f t="shared" si="5"/>
        <v>63.478395203410486</v>
      </c>
    </row>
    <row r="30" spans="1:15">
      <c r="A30" s="158"/>
      <c r="B30" t="str">
        <f>CONCATENATE(TEXT((FLOOR(D30/364,1)),"000"),"-",TEXT(LOOKUP(C30,Calendar!A:A,Calendar!B:B),"00"),"-",TEXT(INT(1+C30-LOOKUP(C30,Calendar!A:A,Calendar!A:A)),"00")," MY")</f>
        <v>045-01-01 MY</v>
      </c>
      <c r="C30" s="54">
        <f t="shared" si="9"/>
        <v>0</v>
      </c>
      <c r="D30" s="5">
        <v>16380</v>
      </c>
      <c r="E30" s="158">
        <f t="shared" si="0"/>
        <v>89006.055819633693</v>
      </c>
      <c r="F30" s="4">
        <f t="shared" si="1"/>
        <v>2504024.5558196339</v>
      </c>
      <c r="G30" s="5">
        <f t="shared" si="13"/>
        <v>89006.055819633693</v>
      </c>
      <c r="H30" s="50">
        <f t="shared" ref="H30:H47" si="14">($I$3-D30)*86400</f>
        <v>34080616.36443688</v>
      </c>
      <c r="I30" s="161">
        <f t="shared" ref="I30:I47" si="15">TANH($D$5*H30/$K$3)</f>
        <v>0.71201387761665647</v>
      </c>
      <c r="J30" s="160">
        <f t="shared" ref="J30:J47" si="16">COSH($D$5*H30/$K$3)</f>
        <v>1.4241658888767239</v>
      </c>
      <c r="K30" s="160">
        <f t="shared" ref="K30:K47" si="17">$K$3^2*(J30-1)/($D$5)</f>
        <v>4862516444789044</v>
      </c>
      <c r="L30" s="160">
        <f t="shared" si="8"/>
        <v>4862516444789044</v>
      </c>
      <c r="M30" s="50">
        <f t="shared" si="11"/>
        <v>38775167.106377698</v>
      </c>
      <c r="N30" s="43">
        <f t="shared" ref="N30:N47" si="18">$N$48-K30/$K$2</f>
        <v>44.986029950765904</v>
      </c>
      <c r="O30" s="4">
        <f t="shared" si="5"/>
        <v>63.486436564731136</v>
      </c>
    </row>
    <row r="31" spans="1:15">
      <c r="A31" s="158"/>
      <c r="B31" t="str">
        <f>CONCATENATE(TEXT((FLOOR(D31/364,1)),"000"),"-",TEXT(LOOKUP(C31,Calendar!A:A,Calendar!B:B),"00"),"-",TEXT(INT(1+C31-LOOKUP(C31,Calendar!A:A,Calendar!A:A)),"00")," MY")</f>
        <v>045-02-01 MY</v>
      </c>
      <c r="C31" s="54">
        <f t="shared" si="9"/>
        <v>7</v>
      </c>
      <c r="D31" s="5">
        <f>D30+LOOKUP(C30,Calendar!A:A,Calendar!E:E)</f>
        <v>16387</v>
      </c>
      <c r="E31" s="158">
        <f t="shared" si="0"/>
        <v>89015.969261563194</v>
      </c>
      <c r="F31" s="4">
        <f t="shared" si="1"/>
        <v>2504034.4692615634</v>
      </c>
      <c r="G31" s="5">
        <f t="shared" si="13"/>
        <v>89015.969261563194</v>
      </c>
      <c r="H31" s="50">
        <f t="shared" si="14"/>
        <v>33475816.364436876</v>
      </c>
      <c r="I31" s="161">
        <f t="shared" si="15"/>
        <v>0.70412767544823984</v>
      </c>
      <c r="J31" s="160">
        <f t="shared" si="16"/>
        <v>1.4083051365961425</v>
      </c>
      <c r="K31" s="160">
        <f t="shared" si="17"/>
        <v>4680693316589627</v>
      </c>
      <c r="L31" s="160">
        <f t="shared" si="8"/>
        <v>4680693316589627</v>
      </c>
      <c r="M31" s="50">
        <f t="shared" si="11"/>
        <v>37918645.723668665</v>
      </c>
      <c r="N31" s="43">
        <f t="shared" si="18"/>
        <v>45.005248732483892</v>
      </c>
      <c r="O31" s="4">
        <f t="shared" si="5"/>
        <v>63.513577346446901</v>
      </c>
    </row>
    <row r="32" spans="1:15">
      <c r="A32" s="158"/>
      <c r="B32" t="str">
        <f>CONCATENATE(TEXT((FLOOR(D32/364,1)),"000"),"-",TEXT(LOOKUP(C32,Calendar!A:A,Calendar!B:B),"00"),"-",TEXT(INT(1+C32-LOOKUP(C32,Calendar!A:A,Calendar!A:A)),"00")," MY")</f>
        <v>045-03-01 MY</v>
      </c>
      <c r="C32" s="54">
        <f t="shared" si="9"/>
        <v>35</v>
      </c>
      <c r="D32" s="5">
        <f>D31+LOOKUP(C31,Calendar!A:A,Calendar!E:E)</f>
        <v>16415</v>
      </c>
      <c r="E32" s="158">
        <f t="shared" si="0"/>
        <v>89054.549521692868</v>
      </c>
      <c r="F32" s="4">
        <f t="shared" si="1"/>
        <v>2504073.049521693</v>
      </c>
      <c r="G32" s="5">
        <f t="shared" si="13"/>
        <v>89054.549521692868</v>
      </c>
      <c r="H32" s="50">
        <f t="shared" si="14"/>
        <v>31056616.364436876</v>
      </c>
      <c r="I32" s="161">
        <f t="shared" si="15"/>
        <v>0.6707882257645662</v>
      </c>
      <c r="J32" s="160">
        <f t="shared" si="16"/>
        <v>1.3483468264255578</v>
      </c>
      <c r="K32" s="160">
        <f t="shared" si="17"/>
        <v>3993348396001344</v>
      </c>
      <c r="L32" s="160">
        <f t="shared" si="8"/>
        <v>3993348396001344</v>
      </c>
      <c r="M32" s="50">
        <f t="shared" si="11"/>
        <v>34585311.248465486</v>
      </c>
      <c r="N32" s="43">
        <f t="shared" si="18"/>
        <v>45.077901381927198</v>
      </c>
      <c r="O32" s="4">
        <f t="shared" si="5"/>
        <v>63.619201450180334</v>
      </c>
    </row>
    <row r="33" spans="1:15">
      <c r="A33" s="158"/>
      <c r="B33" t="str">
        <f>CONCATENATE(TEXT((FLOOR(D33/364,1)),"000"),"-",TEXT(LOOKUP(C33,Calendar!A:A,Calendar!B:B),"00"),"-",TEXT(INT(1+C33-LOOKUP(C33,Calendar!A:A,Calendar!A:A)),"00")," MY")</f>
        <v>045-04-01 MY</v>
      </c>
      <c r="C33" s="54">
        <f t="shared" si="9"/>
        <v>63</v>
      </c>
      <c r="D33" s="5">
        <f>D32+LOOKUP(C32,Calendar!A:A,Calendar!E:E)</f>
        <v>16443</v>
      </c>
      <c r="E33" s="158">
        <f t="shared" si="0"/>
        <v>89091.527064006747</v>
      </c>
      <c r="F33" s="4">
        <f t="shared" si="1"/>
        <v>2504110.0270640068</v>
      </c>
      <c r="G33" s="5">
        <f t="shared" si="13"/>
        <v>89091.527064006747</v>
      </c>
      <c r="H33" s="50">
        <f t="shared" si="14"/>
        <v>28637416.364436876</v>
      </c>
      <c r="I33" s="161">
        <f t="shared" si="15"/>
        <v>0.63449777439287247</v>
      </c>
      <c r="J33" s="160">
        <f t="shared" si="16"/>
        <v>1.2937871111029493</v>
      </c>
      <c r="K33" s="160">
        <f t="shared" si="17"/>
        <v>3367891422830414</v>
      </c>
      <c r="L33" s="160">
        <f t="shared" si="8"/>
        <v>3367891422830414</v>
      </c>
      <c r="M33" s="50">
        <f t="shared" si="11"/>
        <v>31390451.592546448</v>
      </c>
      <c r="N33" s="43">
        <f t="shared" si="18"/>
        <v>45.144012449096749</v>
      </c>
      <c r="O33" s="4">
        <f t="shared" si="5"/>
        <v>63.720437671813905</v>
      </c>
    </row>
    <row r="34" spans="1:15">
      <c r="A34" s="158"/>
      <c r="B34" t="str">
        <f>CONCATENATE(TEXT((FLOOR(D34/364,1)),"000"),"-",TEXT(LOOKUP(C34,Calendar!A:A,Calendar!B:B),"00"),"-",TEXT(INT(1+C34-LOOKUP(C34,Calendar!A:A,Calendar!A:A)),"00")," MY")</f>
        <v>045-05-01 MY</v>
      </c>
      <c r="C34" s="54">
        <f t="shared" si="9"/>
        <v>91</v>
      </c>
      <c r="D34" s="5">
        <f>D33+LOOKUP(C33,Calendar!A:A,Calendar!E:E)</f>
        <v>16471</v>
      </c>
      <c r="E34" s="158">
        <f t="shared" si="0"/>
        <v>89127.049941487581</v>
      </c>
      <c r="F34" s="4">
        <f t="shared" si="1"/>
        <v>2504145.5499414876</v>
      </c>
      <c r="G34" s="5">
        <f t="shared" si="13"/>
        <v>89127.049941487581</v>
      </c>
      <c r="H34" s="50">
        <f t="shared" si="14"/>
        <v>26218216.364436876</v>
      </c>
      <c r="I34" s="161">
        <f t="shared" si="15"/>
        <v>0.59517615882683628</v>
      </c>
      <c r="J34" s="160">
        <f t="shared" si="16"/>
        <v>1.2444075410482265</v>
      </c>
      <c r="K34" s="160">
        <f t="shared" si="17"/>
        <v>2801818153564092.5</v>
      </c>
      <c r="L34" s="160">
        <f t="shared" si="8"/>
        <v>2801818153564092.5</v>
      </c>
      <c r="M34" s="50">
        <f t="shared" si="11"/>
        <v>28321274.978202395</v>
      </c>
      <c r="N34" s="43">
        <f t="shared" si="18"/>
        <v>45.20384663359328</v>
      </c>
      <c r="O34" s="4">
        <f t="shared" si="5"/>
        <v>63.817691347225491</v>
      </c>
    </row>
    <row r="35" spans="1:15">
      <c r="A35" s="158"/>
      <c r="B35" t="str">
        <f>CONCATENATE(TEXT((FLOOR(D35/364,1)),"000"),"-",TEXT(LOOKUP(C35,Calendar!A:A,Calendar!B:B),"00"),"-",TEXT(INT(1+C35-LOOKUP(C35,Calendar!A:A,Calendar!A:A)),"00")," MY")</f>
        <v>045-06-01 MY</v>
      </c>
      <c r="C35" s="54">
        <f t="shared" si="9"/>
        <v>98</v>
      </c>
      <c r="D35" s="5">
        <f>D34+LOOKUP(C34,Calendar!A:A,Calendar!E:E)</f>
        <v>16478</v>
      </c>
      <c r="E35" s="158">
        <f t="shared" si="0"/>
        <v>89135.720156654352</v>
      </c>
      <c r="F35" s="4">
        <f t="shared" si="1"/>
        <v>2504154.2201566542</v>
      </c>
      <c r="G35" s="5">
        <f t="shared" si="13"/>
        <v>89135.720156654352</v>
      </c>
      <c r="H35" s="50">
        <f t="shared" si="14"/>
        <v>25613416.364436876</v>
      </c>
      <c r="I35" s="161">
        <f t="shared" si="15"/>
        <v>0.58486629504264009</v>
      </c>
      <c r="J35" s="160">
        <f t="shared" si="16"/>
        <v>1.2328484331277316</v>
      </c>
      <c r="K35" s="160">
        <f t="shared" si="17"/>
        <v>2669307846100795</v>
      </c>
      <c r="L35" s="160">
        <f t="shared" si="8"/>
        <v>2669307846100795</v>
      </c>
      <c r="M35" s="50">
        <f t="shared" si="11"/>
        <v>27572168.38779299</v>
      </c>
      <c r="N35" s="43">
        <f t="shared" si="18"/>
        <v>45.217853029257796</v>
      </c>
      <c r="O35" s="4">
        <f t="shared" si="5"/>
        <v>63.841428452757903</v>
      </c>
    </row>
    <row r="36" spans="1:15">
      <c r="A36" s="158"/>
      <c r="B36" t="str">
        <f>CONCATENATE(TEXT((FLOOR(D36/364,1)),"000"),"-",TEXT(LOOKUP(C36,Calendar!A:A,Calendar!B:B),"00"),"-",TEXT(INT(1+C36-LOOKUP(C36,Calendar!A:A,Calendar!A:A)),"00")," MY")</f>
        <v>045-07-01 MY</v>
      </c>
      <c r="C36" s="54">
        <f t="shared" si="9"/>
        <v>126</v>
      </c>
      <c r="D36" s="5">
        <f>D35+LOOKUP(C35,Calendar!A:A,Calendar!E:E)</f>
        <v>16506</v>
      </c>
      <c r="E36" s="158">
        <f t="shared" si="0"/>
        <v>89169.624084209339</v>
      </c>
      <c r="F36" s="4">
        <f t="shared" si="1"/>
        <v>2504188.1240842096</v>
      </c>
      <c r="G36" s="5">
        <f t="shared" si="13"/>
        <v>89169.624084209339</v>
      </c>
      <c r="H36" s="50">
        <f t="shared" si="14"/>
        <v>23194216.364436876</v>
      </c>
      <c r="I36" s="161">
        <f t="shared" si="15"/>
        <v>0.5417023426601878</v>
      </c>
      <c r="J36" s="160">
        <f t="shared" si="16"/>
        <v>1.1896683703997093</v>
      </c>
      <c r="K36" s="160">
        <f t="shared" si="17"/>
        <v>2174303955858567</v>
      </c>
      <c r="L36" s="160">
        <f t="shared" si="8"/>
        <v>2174303955858567</v>
      </c>
      <c r="M36" s="50">
        <f t="shared" si="11"/>
        <v>24642869.047042865</v>
      </c>
      <c r="N36" s="43">
        <f t="shared" si="18"/>
        <v>45.270175150268102</v>
      </c>
      <c r="O36" s="4">
        <f t="shared" si="5"/>
        <v>63.93424980619104</v>
      </c>
    </row>
    <row r="37" spans="1:15">
      <c r="A37" s="158"/>
      <c r="B37" t="str">
        <f>CONCATENATE(TEXT((FLOOR(D37/364,1)),"000"),"-",TEXT(LOOKUP(C37,Calendar!A:A,Calendar!B:B),"00"),"-",TEXT(INT(1+C37-LOOKUP(C37,Calendar!A:A,Calendar!A:A)),"00")," MY")</f>
        <v>045-08-01 MY</v>
      </c>
      <c r="C37" s="54">
        <f t="shared" si="9"/>
        <v>154</v>
      </c>
      <c r="D37" s="5">
        <f>D36+LOOKUP(C36,Calendar!A:A,Calendar!E:E)</f>
        <v>16534</v>
      </c>
      <c r="E37" s="158">
        <f t="shared" si="0"/>
        <v>89202.3860366359</v>
      </c>
      <c r="F37" s="4">
        <f t="shared" si="1"/>
        <v>2504220.8860366358</v>
      </c>
      <c r="G37" s="5">
        <f t="shared" si="13"/>
        <v>89202.3860366359</v>
      </c>
      <c r="H37" s="50">
        <f t="shared" si="14"/>
        <v>20775016.364436876</v>
      </c>
      <c r="I37" s="161">
        <f t="shared" si="15"/>
        <v>0.49547907384694584</v>
      </c>
      <c r="J37" s="160">
        <f t="shared" si="16"/>
        <v>1.1512515758526682</v>
      </c>
      <c r="K37" s="160">
        <f t="shared" si="17"/>
        <v>1733904809817476.2</v>
      </c>
      <c r="L37" s="160">
        <f t="shared" si="8"/>
        <v>1733904809817476.2</v>
      </c>
      <c r="M37" s="50">
        <f t="shared" si="11"/>
        <v>21812236.35738679</v>
      </c>
      <c r="N37" s="43">
        <f t="shared" si="18"/>
        <v>45.316725526671654</v>
      </c>
      <c r="O37" s="4">
        <f t="shared" si="5"/>
        <v>64.023944687718071</v>
      </c>
    </row>
    <row r="38" spans="1:15">
      <c r="A38" s="158"/>
      <c r="B38" t="str">
        <f>CONCATENATE(TEXT((FLOOR(D38/364,1)),"000"),"-",TEXT(LOOKUP(C38,Calendar!A:A,Calendar!B:B),"00"),"-",TEXT(INT(1+C38-LOOKUP(C38,Calendar!A:A,Calendar!A:A)),"00")," MY")</f>
        <v>045-09-01 MY</v>
      </c>
      <c r="C38" s="54">
        <f t="shared" si="9"/>
        <v>182</v>
      </c>
      <c r="D38" s="5">
        <f>D37+LOOKUP(C37,Calendar!A:A,Calendar!E:E)</f>
        <v>16562</v>
      </c>
      <c r="E38" s="158">
        <f t="shared" si="0"/>
        <v>89234.137188275956</v>
      </c>
      <c r="F38" s="4">
        <f t="shared" si="1"/>
        <v>2504252.6371882758</v>
      </c>
      <c r="G38" s="5">
        <f t="shared" si="13"/>
        <v>89234.137188275956</v>
      </c>
      <c r="H38" s="50">
        <f t="shared" si="14"/>
        <v>18355816.364436876</v>
      </c>
      <c r="I38" s="161">
        <f t="shared" si="15"/>
        <v>0.44626824147288718</v>
      </c>
      <c r="J38" s="160">
        <f t="shared" si="16"/>
        <v>1.1174442339362964</v>
      </c>
      <c r="K38" s="160">
        <f t="shared" si="17"/>
        <v>1346347110497764.2</v>
      </c>
      <c r="L38" s="160">
        <f t="shared" si="8"/>
        <v>1346347110497764.2</v>
      </c>
      <c r="M38" s="50">
        <f t="shared" si="11"/>
        <v>19068936.855686504</v>
      </c>
      <c r="N38" s="43">
        <f t="shared" si="18"/>
        <v>45.357690539759453</v>
      </c>
      <c r="O38" s="4">
        <f t="shared" si="5"/>
        <v>64.11087222328193</v>
      </c>
    </row>
    <row r="39" spans="1:15">
      <c r="A39" s="158"/>
      <c r="B39" t="str">
        <f>CONCATENATE(TEXT((FLOOR(D39/364,1)),"000"),"-",TEXT(LOOKUP(C39,Calendar!A:A,Calendar!B:B),"00"),"-",TEXT(INT(1+C39-LOOKUP(C39,Calendar!A:A,Calendar!A:A)),"00")," MY")</f>
        <v>045-10-01 MY</v>
      </c>
      <c r="C39" s="54">
        <f t="shared" si="9"/>
        <v>189</v>
      </c>
      <c r="D39" s="5">
        <f>D38+LOOKUP(C38,Calendar!A:A,Calendar!E:E)</f>
        <v>16569</v>
      </c>
      <c r="E39" s="158">
        <f t="shared" si="0"/>
        <v>89241.932017879648</v>
      </c>
      <c r="F39" s="4">
        <f t="shared" si="1"/>
        <v>2504260.4320178796</v>
      </c>
      <c r="G39" s="5">
        <f t="shared" si="13"/>
        <v>89241.932017879648</v>
      </c>
      <c r="H39" s="50">
        <f t="shared" si="14"/>
        <v>17751016.364436876</v>
      </c>
      <c r="I39" s="161">
        <f t="shared" si="15"/>
        <v>0.43351280786341179</v>
      </c>
      <c r="J39" s="160">
        <f t="shared" si="16"/>
        <v>1.1096963654617584</v>
      </c>
      <c r="K39" s="160">
        <f t="shared" si="17"/>
        <v>1257527762083698.2</v>
      </c>
      <c r="L39" s="160">
        <f t="shared" si="8"/>
        <v>1257527762083698.2</v>
      </c>
      <c r="M39" s="50">
        <f t="shared" si="11"/>
        <v>18395463.577927079</v>
      </c>
      <c r="N39" s="43">
        <f t="shared" si="18"/>
        <v>45.367078782533675</v>
      </c>
      <c r="O39" s="4">
        <f t="shared" si="5"/>
        <v>64.132212719377009</v>
      </c>
    </row>
    <row r="40" spans="1:15">
      <c r="A40" s="158"/>
      <c r="B40" t="str">
        <f>CONCATENATE(TEXT((FLOOR(D40/364,1)),"000"),"-",TEXT(LOOKUP(C40,Calendar!A:A,Calendar!B:B),"00"),"-",TEXT(INT(1+C40-LOOKUP(C40,Calendar!A:A,Calendar!A:A)),"00")," MY")</f>
        <v>045-11-01 MY</v>
      </c>
      <c r="C40" s="54">
        <f t="shared" si="9"/>
        <v>217</v>
      </c>
      <c r="D40" s="5">
        <f>D39+LOOKUP(C39,Calendar!A:A,Calendar!E:E)</f>
        <v>16597</v>
      </c>
      <c r="E40" s="158">
        <f t="shared" si="0"/>
        <v>89272.598015615207</v>
      </c>
      <c r="F40" s="4">
        <f t="shared" si="1"/>
        <v>2504291.0980156153</v>
      </c>
      <c r="G40" s="5">
        <f t="shared" si="13"/>
        <v>89272.598015615207</v>
      </c>
      <c r="H40" s="50">
        <f t="shared" si="14"/>
        <v>15331816.364436876</v>
      </c>
      <c r="I40" s="161">
        <f t="shared" si="15"/>
        <v>0.38076053950213695</v>
      </c>
      <c r="J40" s="160">
        <f t="shared" si="16"/>
        <v>1.081462599553475</v>
      </c>
      <c r="K40" s="160">
        <f t="shared" si="17"/>
        <v>933863944158791.12</v>
      </c>
      <c r="L40" s="160">
        <f t="shared" si="8"/>
        <v>933863944158791.12</v>
      </c>
      <c r="M40" s="50">
        <f t="shared" si="11"/>
        <v>15745921.373575076</v>
      </c>
      <c r="N40" s="43">
        <f t="shared" si="18"/>
        <v>45.401290185276061</v>
      </c>
      <c r="O40" s="4">
        <f t="shared" si="5"/>
        <v>64.216169346808329</v>
      </c>
    </row>
    <row r="41" spans="1:15">
      <c r="A41" s="158"/>
      <c r="B41" t="str">
        <f>CONCATENATE(TEXT((FLOOR(D41/364,1)),"000"),"-",TEXT(LOOKUP(C41,Calendar!A:A,Calendar!B:B),"00"),"-",TEXT(INT(1+C41-LOOKUP(C41,Calendar!A:A,Calendar!A:A)),"00")," MY")</f>
        <v>045-12-01 MY</v>
      </c>
      <c r="C41" s="54">
        <f t="shared" si="9"/>
        <v>245</v>
      </c>
      <c r="D41" s="5">
        <f>D40+LOOKUP(C40,Calendar!A:A,Calendar!E:E)</f>
        <v>16625</v>
      </c>
      <c r="E41" s="158">
        <f t="shared" si="0"/>
        <v>89302.534331650633</v>
      </c>
      <c r="F41" s="4">
        <f t="shared" si="1"/>
        <v>2504321.0343316505</v>
      </c>
      <c r="G41" s="5">
        <f t="shared" si="13"/>
        <v>89302.534331650633</v>
      </c>
      <c r="H41" s="50">
        <f t="shared" si="14"/>
        <v>12912616.364436876</v>
      </c>
      <c r="I41" s="161">
        <f t="shared" si="15"/>
        <v>0.32540759165372002</v>
      </c>
      <c r="J41" s="160">
        <f t="shared" si="16"/>
        <v>1.0575588608338973</v>
      </c>
      <c r="K41" s="160">
        <f t="shared" si="17"/>
        <v>659838319600216.12</v>
      </c>
      <c r="L41" s="160">
        <f t="shared" si="8"/>
        <v>659838319600216.12</v>
      </c>
      <c r="M41" s="50">
        <f t="shared" si="11"/>
        <v>13159423.668114629</v>
      </c>
      <c r="N41" s="43">
        <f t="shared" si="18"/>
        <v>45.430254809940045</v>
      </c>
      <c r="O41" s="4">
        <f t="shared" si="5"/>
        <v>64.298128269316749</v>
      </c>
    </row>
    <row r="42" spans="1:15">
      <c r="A42" s="158"/>
      <c r="B42" t="str">
        <f>CONCATENATE(TEXT((FLOOR(D42/364,1)),"000"),"-",TEXT(LOOKUP(C42,Calendar!A:A,Calendar!B:B),"00"),"-",TEXT(INT(1+C42-LOOKUP(C42,Calendar!A:A,Calendar!A:A)),"00")," MY")</f>
        <v>045-13-01 MY</v>
      </c>
      <c r="C42" s="54">
        <f t="shared" si="9"/>
        <v>273</v>
      </c>
      <c r="D42" s="5">
        <f>D41+LOOKUP(C41,Calendar!A:A,Calendar!E:E)</f>
        <v>16653</v>
      </c>
      <c r="E42" s="158">
        <f t="shared" si="0"/>
        <v>89331.860826869146</v>
      </c>
      <c r="F42" s="4">
        <f t="shared" si="1"/>
        <v>2504350.360826869</v>
      </c>
      <c r="G42" s="5">
        <f t="shared" si="13"/>
        <v>89331.860826869146</v>
      </c>
      <c r="H42" s="50">
        <f t="shared" si="14"/>
        <v>10493416.364436876</v>
      </c>
      <c r="I42" s="161">
        <f t="shared" si="15"/>
        <v>0.26773079059084876</v>
      </c>
      <c r="J42" s="160">
        <f t="shared" si="16"/>
        <v>1.0378894420278868</v>
      </c>
      <c r="K42" s="160">
        <f t="shared" si="17"/>
        <v>434353727576679.69</v>
      </c>
      <c r="L42" s="160">
        <f t="shared" si="8"/>
        <v>434353727576679.69</v>
      </c>
      <c r="M42" s="50">
        <f t="shared" si="11"/>
        <v>10625614.481234629</v>
      </c>
      <c r="N42" s="43">
        <f t="shared" si="18"/>
        <v>45.454088626890538</v>
      </c>
      <c r="O42" s="4">
        <f t="shared" si="5"/>
        <v>64.378417639131428</v>
      </c>
    </row>
    <row r="43" spans="1:15">
      <c r="A43" s="158"/>
      <c r="B43" t="str">
        <f>CONCATENATE(TEXT((FLOOR(D43/364,1)),"000"),"-",TEXT(LOOKUP(C43,Calendar!A:A,Calendar!B:B),"00"),"-",TEXT(INT(1+C43-LOOKUP(C43,Calendar!A:A,Calendar!A:A)),"00")," MY")</f>
        <v>045-14-01 MY</v>
      </c>
      <c r="C43" s="54">
        <f t="shared" si="9"/>
        <v>280</v>
      </c>
      <c r="D43" s="5">
        <f>D42+LOOKUP(C42,Calendar!A:A,Calendar!E:E)</f>
        <v>16660</v>
      </c>
      <c r="E43" s="158">
        <f t="shared" si="0"/>
        <v>89339.110973137722</v>
      </c>
      <c r="F43" s="4">
        <f t="shared" si="1"/>
        <v>2504357.6109731379</v>
      </c>
      <c r="G43" s="5">
        <f t="shared" si="13"/>
        <v>89339.110973137722</v>
      </c>
      <c r="H43" s="50">
        <f t="shared" si="14"/>
        <v>9888616.364436876</v>
      </c>
      <c r="I43" s="161">
        <f t="shared" si="15"/>
        <v>0.25298691943740054</v>
      </c>
      <c r="J43" s="160">
        <f t="shared" si="16"/>
        <v>1.0336241031369116</v>
      </c>
      <c r="K43" s="160">
        <f t="shared" si="17"/>
        <v>385457102355613.94</v>
      </c>
      <c r="L43" s="160">
        <f t="shared" si="8"/>
        <v>385457102355613.94</v>
      </c>
      <c r="M43" s="50">
        <f t="shared" si="11"/>
        <v>9999201.8436300401</v>
      </c>
      <c r="N43" s="43">
        <f t="shared" si="18"/>
        <v>45.459257020901667</v>
      </c>
      <c r="O43" s="4">
        <f t="shared" si="5"/>
        <v>64.398266914356142</v>
      </c>
    </row>
    <row r="44" spans="1:15">
      <c r="A44" s="158"/>
      <c r="B44" t="str">
        <f>CONCATENATE(TEXT((FLOOR(D44/364,1)),"000"),"-",TEXT(LOOKUP(C44,Calendar!A:A,Calendar!B:B),"00"),"-",TEXT(INT(1+C44-LOOKUP(C44,Calendar!A:A,Calendar!A:A)),"00")," MY")</f>
        <v>045-15-01 MY</v>
      </c>
      <c r="C44" s="54">
        <f t="shared" si="9"/>
        <v>308</v>
      </c>
      <c r="D44" s="5">
        <f>D43+LOOKUP(C43,Calendar!A:A,Calendar!E:E)</f>
        <v>16688</v>
      </c>
      <c r="E44" s="158">
        <f t="shared" si="0"/>
        <v>89367.840071902392</v>
      </c>
      <c r="F44" s="4">
        <f t="shared" si="1"/>
        <v>2504386.3400719026</v>
      </c>
      <c r="G44" s="5">
        <f t="shared" si="13"/>
        <v>89367.840071902392</v>
      </c>
      <c r="H44" s="50">
        <f t="shared" si="14"/>
        <v>7469416.364436876</v>
      </c>
      <c r="I44" s="161">
        <f t="shared" si="15"/>
        <v>0.19288880498885991</v>
      </c>
      <c r="J44" s="160">
        <f t="shared" si="16"/>
        <v>1.0191387926888922</v>
      </c>
      <c r="K44" s="160">
        <f t="shared" si="17"/>
        <v>219401645968267.72</v>
      </c>
      <c r="L44" s="160">
        <f t="shared" si="8"/>
        <v>219401645968267.72</v>
      </c>
      <c r="M44" s="50">
        <f t="shared" si="11"/>
        <v>7517007.710362087</v>
      </c>
      <c r="N44" s="43">
        <f t="shared" si="18"/>
        <v>45.476809153025854</v>
      </c>
      <c r="O44" s="4">
        <f t="shared" si="5"/>
        <v>64.476920746598026</v>
      </c>
    </row>
    <row r="45" spans="1:15">
      <c r="A45" s="158"/>
      <c r="B45" t="str">
        <f>CONCATENATE(TEXT((FLOOR(D45/364,1)),"000"),"-",TEXT(LOOKUP(C45,Calendar!A:A,Calendar!B:B),"00"),"-",TEXT(INT(1+C45-LOOKUP(C45,Calendar!A:A,Calendar!A:A)),"00")," MY")</f>
        <v>045-16-01 MY</v>
      </c>
      <c r="C45" s="54">
        <f t="shared" si="9"/>
        <v>336</v>
      </c>
      <c r="D45" s="5">
        <f>D44+LOOKUP(C44,Calendar!A:A,Calendar!E:E)</f>
        <v>16716</v>
      </c>
      <c r="E45" s="158">
        <f t="shared" si="0"/>
        <v>89396.220825032928</v>
      </c>
      <c r="F45" s="4">
        <f t="shared" si="1"/>
        <v>2504414.7208250328</v>
      </c>
      <c r="G45" s="5">
        <f t="shared" si="13"/>
        <v>89396.220825032928</v>
      </c>
      <c r="H45" s="50">
        <f t="shared" si="14"/>
        <v>5050216.364436876</v>
      </c>
      <c r="I45" s="161">
        <f t="shared" si="15"/>
        <v>0.13130779227473696</v>
      </c>
      <c r="J45" s="160">
        <f t="shared" si="16"/>
        <v>1.0087339734970933</v>
      </c>
      <c r="K45" s="160">
        <f t="shared" si="17"/>
        <v>100123774380901.55</v>
      </c>
      <c r="L45" s="160">
        <f t="shared" si="8"/>
        <v>100123774380901.55</v>
      </c>
      <c r="M45" s="50">
        <f t="shared" si="11"/>
        <v>5064910.6398839299</v>
      </c>
      <c r="N45" s="43">
        <f t="shared" si="18"/>
        <v>45.489416874609603</v>
      </c>
      <c r="O45" s="4">
        <f t="shared" si="5"/>
        <v>64.554620886581958</v>
      </c>
    </row>
    <row r="46" spans="1:15">
      <c r="A46" s="158"/>
      <c r="B46" t="str">
        <f>CONCATENATE(TEXT((FLOOR(D46/364,1)),"000"),"-",TEXT(LOOKUP(C46,Calendar!A:A,Calendar!B:B),"00"),"-",TEXT(INT(1+C46-LOOKUP(C46,Calendar!A:A,Calendar!A:A)),"00")," MY")</f>
        <v>046-01-01 MY</v>
      </c>
      <c r="C46" s="54">
        <f t="shared" si="9"/>
        <v>0</v>
      </c>
      <c r="D46" s="5">
        <f>D45+LOOKUP(C45,Calendar!A:A,Calendar!E:E)</f>
        <v>16744</v>
      </c>
      <c r="E46" s="158">
        <f t="shared" si="0"/>
        <v>89424.36686515309</v>
      </c>
      <c r="F46" s="4">
        <f t="shared" si="1"/>
        <v>2504442.866865153</v>
      </c>
      <c r="G46" s="5">
        <f t="shared" si="13"/>
        <v>89424.36686515309</v>
      </c>
      <c r="H46" s="50">
        <f t="shared" si="14"/>
        <v>2631016.364436876</v>
      </c>
      <c r="I46" s="161">
        <f t="shared" si="15"/>
        <v>6.869645609844828E-2</v>
      </c>
      <c r="J46" s="160">
        <f t="shared" si="16"/>
        <v>1.0023679860995858</v>
      </c>
      <c r="K46" s="160">
        <f t="shared" si="17"/>
        <v>27145915435963.145</v>
      </c>
      <c r="L46" s="160">
        <f t="shared" si="8"/>
        <v>27145915435963.145</v>
      </c>
      <c r="M46" s="50">
        <f t="shared" si="11"/>
        <v>2633092.77350226</v>
      </c>
      <c r="N46" s="43">
        <f t="shared" si="18"/>
        <v>45.497130665232383</v>
      </c>
      <c r="O46" s="4">
        <f t="shared" si="5"/>
        <v>64.6316784349589</v>
      </c>
    </row>
    <row r="47" spans="1:15">
      <c r="A47" s="158"/>
      <c r="B47" t="str">
        <f>CONCATENATE(TEXT((FLOOR(D47/364,1)),"000"),"-",TEXT(LOOKUP(C47,Calendar!A:A,Calendar!B:B),"00"),"-",TEXT(INT(1+C47-LOOKUP(C47,Calendar!A:A,Calendar!A:A)),"00")," MY")</f>
        <v>046-02-01 MY</v>
      </c>
      <c r="C47" s="54">
        <f t="shared" si="9"/>
        <v>7</v>
      </c>
      <c r="D47" s="5">
        <f>D46+LOOKUP(C46,Calendar!A:A,Calendar!E:E)</f>
        <v>16751</v>
      </c>
      <c r="E47" s="158">
        <f t="shared" si="0"/>
        <v>89431.379921664062</v>
      </c>
      <c r="F47" s="4">
        <f t="shared" si="1"/>
        <v>2504449.879921664</v>
      </c>
      <c r="G47" s="5">
        <f t="shared" si="13"/>
        <v>89431.379921664062</v>
      </c>
      <c r="H47" s="50">
        <f t="shared" si="14"/>
        <v>2026216.364436876</v>
      </c>
      <c r="I47" s="161">
        <f t="shared" si="15"/>
        <v>5.2938907835577129E-2</v>
      </c>
      <c r="J47" s="160">
        <f t="shared" si="16"/>
        <v>1.0014042161880381</v>
      </c>
      <c r="K47" s="160">
        <f t="shared" si="17"/>
        <v>16097532794200.434</v>
      </c>
      <c r="L47" s="160">
        <f t="shared" si="8"/>
        <v>16097532794200.434</v>
      </c>
      <c r="M47" s="50">
        <f t="shared" si="11"/>
        <v>2027164.6909543455</v>
      </c>
      <c r="N47" s="43">
        <f t="shared" si="18"/>
        <v>45.498298483960575</v>
      </c>
      <c r="O47" s="4">
        <f t="shared" si="5"/>
        <v>64.650878611575493</v>
      </c>
    </row>
    <row r="48" spans="1:15">
      <c r="A48" t="s">
        <v>1027</v>
      </c>
      <c r="B48" t="str">
        <f>CONCATENATE(TEXT((FLOOR(D48/364,1)),"000"),"-",TEXT(LOOKUP(C48,Calendar!A:A,Calendar!B:B),"00"),"-",TEXT(INT(1+C48-LOOKUP(C48,Calendar!A:A,Calendar!A:A)),"00")," MY")</f>
        <v>046-02-24 MY</v>
      </c>
      <c r="C48" s="54">
        <f t="shared" si="9"/>
        <v>30.451578292093473</v>
      </c>
      <c r="D48" s="5">
        <f>I3</f>
        <v>16774.451578292093</v>
      </c>
      <c r="E48" s="158">
        <f t="shared" si="0"/>
        <v>89454.842475957514</v>
      </c>
      <c r="F48" s="4">
        <f t="shared" si="1"/>
        <v>2504473.3424759577</v>
      </c>
      <c r="G48" s="5">
        <f t="shared" si="13"/>
        <v>89454.842475957514</v>
      </c>
      <c r="H48" s="50">
        <v>0</v>
      </c>
      <c r="I48" s="161">
        <v>0</v>
      </c>
      <c r="J48" s="160">
        <v>1</v>
      </c>
      <c r="K48" s="160">
        <f>Mission!D6</f>
        <v>4.3046185E+17</v>
      </c>
      <c r="L48" s="160">
        <f t="shared" si="8"/>
        <v>0</v>
      </c>
      <c r="M48" s="50">
        <f t="shared" si="11"/>
        <v>0</v>
      </c>
      <c r="N48" s="43">
        <f>K48/$K$2</f>
        <v>45.5</v>
      </c>
      <c r="O48" s="4">
        <f t="shared" si="5"/>
        <v>64.715113825651628</v>
      </c>
    </row>
    <row r="49" spans="1:12">
      <c r="D49" s="4"/>
      <c r="E49" s="4"/>
    </row>
    <row r="50" spans="1:12">
      <c r="A50" t="s">
        <v>1029</v>
      </c>
      <c r="B50" t="s">
        <v>12</v>
      </c>
      <c r="C50" t="s">
        <v>1030</v>
      </c>
      <c r="D50" t="s">
        <v>1031</v>
      </c>
    </row>
    <row r="51" spans="1:12">
      <c r="B51">
        <v>-150</v>
      </c>
      <c r="C51">
        <f ca="1">364*RAND()+B51*364</f>
        <v>-54574.208077808922</v>
      </c>
      <c r="D51">
        <f ca="1">INT(2^32*RAND())</f>
        <v>1377349778</v>
      </c>
      <c r="E51">
        <f ca="1">YEAR(F51)</f>
        <v>1975</v>
      </c>
      <c r="F51" s="158">
        <f ca="1">G51-2415018.5</f>
        <v>27748.299999999814</v>
      </c>
      <c r="G51">
        <f ca="1">ROUND($F$28+(C51-$D$28)/$J$28,1)</f>
        <v>2442766.7999999998</v>
      </c>
      <c r="H51" t="str">
        <f ca="1">LOWER(CONCATENATE(DEC2HEX(G51),"-",DEC2HEX(D51)))</f>
        <v>25460e-5218b092</v>
      </c>
    </row>
    <row r="52" spans="1:12">
      <c r="B52">
        <v>2</v>
      </c>
      <c r="C52">
        <f ca="1">364*RAND()+B52*364</f>
        <v>863.69289073759978</v>
      </c>
      <c r="D52">
        <f ca="1">INT(2^32*RAND())</f>
        <v>2837066691</v>
      </c>
      <c r="E52">
        <f ca="1">YEAR(F52)</f>
        <v>2082</v>
      </c>
      <c r="F52" s="158">
        <f ca="1">G52-2415018.5</f>
        <v>66546</v>
      </c>
      <c r="G52">
        <f ca="1">ROUND($F$28+(C52-$D$28)/$J$28,1)</f>
        <v>2481564.5</v>
      </c>
      <c r="H52" t="str">
        <f ca="1">LOWER(CONCATENATE(DEC2HEX(G52),"-",DEC2HEX(D52)))</f>
        <v>25dd9c-a91a33c3</v>
      </c>
    </row>
    <row r="54" spans="1:12">
      <c r="A54" t="s">
        <v>1032</v>
      </c>
      <c r="B54">
        <v>1998</v>
      </c>
      <c r="C54">
        <f ca="1">364*RAND()</f>
        <v>49.576829106605018</v>
      </c>
      <c r="D54" s="154">
        <f>DATE(B54,1,1)</f>
        <v>35796</v>
      </c>
      <c r="E54" s="4">
        <f>D54+2415018.5</f>
        <v>2450814.5</v>
      </c>
      <c r="F54">
        <f ca="1">INT(2^32*RAND())</f>
        <v>4285676835</v>
      </c>
      <c r="G54" t="str">
        <f>DEC2HEX(E54)</f>
        <v>25657E</v>
      </c>
      <c r="H54" t="str">
        <f ca="1">DEC2HEX(F54)</f>
        <v>FF723D23</v>
      </c>
      <c r="I54" t="str">
        <f ca="1">LOWER(CONCATENATE(G54,"-",H54))</f>
        <v>25657e-ff723d23</v>
      </c>
      <c r="J54">
        <f>B54</f>
        <v>1998</v>
      </c>
      <c r="K54" s="158">
        <f>E54-2415018.5</f>
        <v>35796</v>
      </c>
      <c r="L54" s="4">
        <f>E54</f>
        <v>2450814.5</v>
      </c>
    </row>
    <row r="56" spans="1:12">
      <c r="A56" t="s">
        <v>1033</v>
      </c>
      <c r="B56" s="155" t="s">
        <v>1036</v>
      </c>
      <c r="C56">
        <f>YEAR(D56)</f>
        <v>2084</v>
      </c>
      <c r="D56" s="158">
        <f>E56-2415018.5</f>
        <v>67470.5</v>
      </c>
      <c r="E56">
        <f>HEX2DEC(B56)</f>
        <v>2482489</v>
      </c>
    </row>
    <row r="57" spans="1:12">
      <c r="A57" t="s">
        <v>1034</v>
      </c>
      <c r="B57" s="157" t="s">
        <v>1035</v>
      </c>
      <c r="C57" s="155"/>
      <c r="D57" s="154">
        <f>DATEVALUE(B57)+2415018.5</f>
        <v>2467985.5</v>
      </c>
      <c r="F57">
        <f ca="1">INT(2^32*RAND())</f>
        <v>4270745659</v>
      </c>
      <c r="G57" t="str">
        <f>DEC2HEX(D57)</f>
        <v>25A891</v>
      </c>
      <c r="H57" t="str">
        <f ca="1">DEC2HEX(F57)</f>
        <v>FE8E683B</v>
      </c>
      <c r="I57" t="str">
        <f ca="1">LOWER(CONCATENATE(G57,"-",H57))</f>
        <v>25a891-fe8e683b</v>
      </c>
    </row>
    <row r="59" spans="1:12">
      <c r="B59" s="158">
        <f>(E29-E28)*0.5+E28</f>
        <v>77635.921237978764</v>
      </c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0EBA7-5463-DF4B-A77B-D565CCB24752}">
  <dimension ref="A1:G17"/>
  <sheetViews>
    <sheetView workbookViewId="0">
      <selection activeCell="H6" sqref="H6"/>
    </sheetView>
  </sheetViews>
  <sheetFormatPr baseColWidth="10" defaultRowHeight="16"/>
  <sheetData>
    <row r="1" spans="1:7">
      <c r="A1" t="s">
        <v>1044</v>
      </c>
      <c r="B1" t="s">
        <v>1045</v>
      </c>
      <c r="C1" t="s">
        <v>1045</v>
      </c>
      <c r="D1" t="s">
        <v>1046</v>
      </c>
      <c r="E1" t="s">
        <v>1047</v>
      </c>
      <c r="F1" t="s">
        <v>1066</v>
      </c>
      <c r="G1">
        <f>SUM(E:E)</f>
        <v>364</v>
      </c>
    </row>
    <row r="2" spans="1:7">
      <c r="A2" s="137">
        <v>0</v>
      </c>
      <c r="B2" s="137">
        <f>1</f>
        <v>1</v>
      </c>
      <c r="C2" s="137" t="s">
        <v>1048</v>
      </c>
      <c r="D2" s="137">
        <f>IF(MOD(B2,4)=1,1,0)</f>
        <v>1</v>
      </c>
      <c r="E2" s="137">
        <f>IF(D2,7,28)</f>
        <v>7</v>
      </c>
    </row>
    <row r="3" spans="1:7">
      <c r="A3">
        <f>A2+E2</f>
        <v>7</v>
      </c>
      <c r="B3">
        <f>B2+1</f>
        <v>2</v>
      </c>
      <c r="C3" t="s">
        <v>1049</v>
      </c>
      <c r="D3">
        <f t="shared" ref="D3:D17" si="0">IF(MOD(B3,4)=1,1,0)</f>
        <v>0</v>
      </c>
      <c r="E3">
        <f t="shared" ref="E3:E17" si="1">IF(D3,7,28)</f>
        <v>28</v>
      </c>
    </row>
    <row r="4" spans="1:7">
      <c r="A4">
        <f t="shared" ref="A4:A17" si="2">A3+E3</f>
        <v>35</v>
      </c>
      <c r="B4">
        <f t="shared" ref="B4:B17" si="3">B3+1</f>
        <v>3</v>
      </c>
      <c r="C4" t="s">
        <v>1050</v>
      </c>
      <c r="D4">
        <f t="shared" si="0"/>
        <v>0</v>
      </c>
      <c r="E4">
        <f t="shared" si="1"/>
        <v>28</v>
      </c>
    </row>
    <row r="5" spans="1:7">
      <c r="A5">
        <f t="shared" si="2"/>
        <v>63</v>
      </c>
      <c r="B5">
        <f t="shared" si="3"/>
        <v>4</v>
      </c>
      <c r="C5" t="s">
        <v>1051</v>
      </c>
      <c r="D5">
        <f t="shared" si="0"/>
        <v>0</v>
      </c>
      <c r="E5">
        <f t="shared" si="1"/>
        <v>28</v>
      </c>
    </row>
    <row r="6" spans="1:7">
      <c r="A6" s="137">
        <f t="shared" si="2"/>
        <v>91</v>
      </c>
      <c r="B6" s="137">
        <f t="shared" si="3"/>
        <v>5</v>
      </c>
      <c r="C6" s="137" t="s">
        <v>1052</v>
      </c>
      <c r="D6" s="137">
        <f t="shared" si="0"/>
        <v>1</v>
      </c>
      <c r="E6" s="137">
        <f t="shared" si="1"/>
        <v>7</v>
      </c>
    </row>
    <row r="7" spans="1:7">
      <c r="A7">
        <f t="shared" si="2"/>
        <v>98</v>
      </c>
      <c r="B7">
        <f t="shared" si="3"/>
        <v>6</v>
      </c>
      <c r="C7" t="s">
        <v>1053</v>
      </c>
      <c r="D7">
        <f t="shared" si="0"/>
        <v>0</v>
      </c>
      <c r="E7">
        <f t="shared" si="1"/>
        <v>28</v>
      </c>
    </row>
    <row r="8" spans="1:7">
      <c r="A8">
        <f t="shared" si="2"/>
        <v>126</v>
      </c>
      <c r="B8">
        <f t="shared" si="3"/>
        <v>7</v>
      </c>
      <c r="C8" t="s">
        <v>1054</v>
      </c>
      <c r="D8">
        <f t="shared" si="0"/>
        <v>0</v>
      </c>
      <c r="E8">
        <f t="shared" si="1"/>
        <v>28</v>
      </c>
    </row>
    <row r="9" spans="1:7">
      <c r="A9">
        <f t="shared" si="2"/>
        <v>154</v>
      </c>
      <c r="B9">
        <f t="shared" si="3"/>
        <v>8</v>
      </c>
      <c r="C9" t="s">
        <v>1055</v>
      </c>
      <c r="D9">
        <f t="shared" si="0"/>
        <v>0</v>
      </c>
      <c r="E9">
        <f t="shared" si="1"/>
        <v>28</v>
      </c>
    </row>
    <row r="10" spans="1:7">
      <c r="A10" s="137">
        <f t="shared" si="2"/>
        <v>182</v>
      </c>
      <c r="B10" s="137">
        <f t="shared" si="3"/>
        <v>9</v>
      </c>
      <c r="C10" s="137" t="s">
        <v>1056</v>
      </c>
      <c r="D10" s="137">
        <f t="shared" si="0"/>
        <v>1</v>
      </c>
      <c r="E10" s="137">
        <f t="shared" si="1"/>
        <v>7</v>
      </c>
    </row>
    <row r="11" spans="1:7">
      <c r="A11">
        <f t="shared" si="2"/>
        <v>189</v>
      </c>
      <c r="B11">
        <f t="shared" si="3"/>
        <v>10</v>
      </c>
      <c r="C11" t="s">
        <v>1057</v>
      </c>
      <c r="D11">
        <f t="shared" si="0"/>
        <v>0</v>
      </c>
      <c r="E11">
        <f t="shared" si="1"/>
        <v>28</v>
      </c>
    </row>
    <row r="12" spans="1:7">
      <c r="A12">
        <f t="shared" si="2"/>
        <v>217</v>
      </c>
      <c r="B12">
        <f t="shared" si="3"/>
        <v>11</v>
      </c>
      <c r="C12" t="s">
        <v>1058</v>
      </c>
      <c r="D12">
        <f t="shared" si="0"/>
        <v>0</v>
      </c>
      <c r="E12">
        <f t="shared" si="1"/>
        <v>28</v>
      </c>
    </row>
    <row r="13" spans="1:7">
      <c r="A13">
        <f t="shared" si="2"/>
        <v>245</v>
      </c>
      <c r="B13">
        <f t="shared" si="3"/>
        <v>12</v>
      </c>
      <c r="C13" t="s">
        <v>1059</v>
      </c>
      <c r="D13">
        <f t="shared" si="0"/>
        <v>0</v>
      </c>
      <c r="E13">
        <f t="shared" si="1"/>
        <v>28</v>
      </c>
    </row>
    <row r="14" spans="1:7">
      <c r="A14" s="137">
        <f t="shared" si="2"/>
        <v>273</v>
      </c>
      <c r="B14" s="137">
        <f t="shared" si="3"/>
        <v>13</v>
      </c>
      <c r="C14" s="137" t="s">
        <v>1060</v>
      </c>
      <c r="D14" s="137">
        <f t="shared" si="0"/>
        <v>1</v>
      </c>
      <c r="E14" s="137">
        <f t="shared" si="1"/>
        <v>7</v>
      </c>
    </row>
    <row r="15" spans="1:7">
      <c r="A15">
        <f t="shared" si="2"/>
        <v>280</v>
      </c>
      <c r="B15">
        <f t="shared" si="3"/>
        <v>14</v>
      </c>
      <c r="C15" t="s">
        <v>1061</v>
      </c>
      <c r="D15">
        <f t="shared" si="0"/>
        <v>0</v>
      </c>
      <c r="E15">
        <f t="shared" si="1"/>
        <v>28</v>
      </c>
    </row>
    <row r="16" spans="1:7">
      <c r="A16">
        <f t="shared" si="2"/>
        <v>308</v>
      </c>
      <c r="B16">
        <f t="shared" si="3"/>
        <v>15</v>
      </c>
      <c r="C16" t="s">
        <v>1062</v>
      </c>
      <c r="D16">
        <f t="shared" si="0"/>
        <v>0</v>
      </c>
      <c r="E16">
        <f t="shared" si="1"/>
        <v>28</v>
      </c>
    </row>
    <row r="17" spans="1:5">
      <c r="A17">
        <f t="shared" si="2"/>
        <v>336</v>
      </c>
      <c r="B17">
        <f t="shared" si="3"/>
        <v>16</v>
      </c>
      <c r="C17" t="s">
        <v>1063</v>
      </c>
      <c r="D17">
        <f t="shared" si="0"/>
        <v>0</v>
      </c>
      <c r="E17">
        <f t="shared" si="1"/>
        <v>28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35416-020F-0944-9A66-25BCA98D2542}">
  <dimension ref="A1:O115"/>
  <sheetViews>
    <sheetView topLeftCell="A11" zoomScale="115" workbookViewId="0">
      <selection activeCell="B43" sqref="B43"/>
    </sheetView>
  </sheetViews>
  <sheetFormatPr baseColWidth="10" defaultRowHeight="16"/>
  <cols>
    <col min="1" max="1" width="19" bestFit="1" customWidth="1"/>
    <col min="2" max="2" width="20.6640625" customWidth="1"/>
    <col min="3" max="3" width="14.1640625" bestFit="1" customWidth="1"/>
    <col min="4" max="4" width="12.1640625" bestFit="1" customWidth="1"/>
    <col min="5" max="5" width="11.6640625" bestFit="1" customWidth="1"/>
    <col min="6" max="6" width="12.83203125" bestFit="1" customWidth="1"/>
    <col min="8" max="8" width="13.6640625" customWidth="1"/>
    <col min="9" max="9" width="12.1640625" bestFit="1" customWidth="1"/>
  </cols>
  <sheetData>
    <row r="1" spans="1:8" ht="18">
      <c r="A1" t="s">
        <v>8</v>
      </c>
      <c r="B1" s="57">
        <v>1</v>
      </c>
      <c r="E1" s="57"/>
      <c r="F1" s="40"/>
    </row>
    <row r="2" spans="1:8" ht="18">
      <c r="A2" t="s">
        <v>1</v>
      </c>
      <c r="B2">
        <f>Mission!B4</f>
        <v>7.8400000000000007</v>
      </c>
      <c r="D2" t="s">
        <v>925</v>
      </c>
      <c r="E2" s="57"/>
      <c r="F2" s="40"/>
    </row>
    <row r="3" spans="1:8" ht="18">
      <c r="E3" s="57"/>
      <c r="F3" s="40"/>
    </row>
    <row r="4" spans="1:8">
      <c r="A4" t="s">
        <v>8</v>
      </c>
      <c r="B4">
        <f>Propulsion!$D$8</f>
        <v>4.3046185E+17</v>
      </c>
      <c r="C4" t="s">
        <v>924</v>
      </c>
      <c r="D4">
        <f>Propulsion!D9</f>
        <v>2.15230925E+17</v>
      </c>
      <c r="E4" t="s">
        <v>924</v>
      </c>
    </row>
    <row r="5" spans="1:8">
      <c r="A5" t="s">
        <v>13</v>
      </c>
      <c r="B5" s="3">
        <f>Mission!B15</f>
        <v>1374661192.9355617</v>
      </c>
      <c r="C5" t="s">
        <v>923</v>
      </c>
      <c r="D5" s="5">
        <f>B5/Conversion!$C$3</f>
        <v>43.561279078396474</v>
      </c>
      <c r="E5" s="3" t="s">
        <v>6</v>
      </c>
      <c r="F5" s="3"/>
    </row>
    <row r="6" spans="1:8">
      <c r="A6" t="s">
        <v>14</v>
      </c>
      <c r="B6" s="3">
        <f>Mission!B14</f>
        <v>1964251709.6864765</v>
      </c>
      <c r="C6" t="s">
        <v>923</v>
      </c>
      <c r="D6" s="5">
        <f>B6/Conversion!$C$3</f>
        <v>62.244658789812036</v>
      </c>
      <c r="E6" s="3" t="s">
        <v>6</v>
      </c>
      <c r="F6" s="3"/>
    </row>
    <row r="8" spans="1:8">
      <c r="A8" t="s">
        <v>836</v>
      </c>
      <c r="B8">
        <v>20</v>
      </c>
    </row>
    <row r="9" spans="1:8">
      <c r="A9" t="s">
        <v>837</v>
      </c>
      <c r="B9">
        <v>0</v>
      </c>
    </row>
    <row r="10" spans="1:8">
      <c r="A10" t="s">
        <v>838</v>
      </c>
      <c r="B10" s="5">
        <f>D5+B8+IF(B9,D5,0)</f>
        <v>63.561279078396474</v>
      </c>
      <c r="C10" t="s">
        <v>839</v>
      </c>
      <c r="D10" s="5">
        <f>D6+B8+IF(B9,D6,0)</f>
        <v>82.244658789812036</v>
      </c>
      <c r="G10" t="s">
        <v>965</v>
      </c>
      <c r="H10" s="3">
        <f>(4*PI()*700^2)*0.5</f>
        <v>3078760.8005179972</v>
      </c>
    </row>
    <row r="11" spans="1:8">
      <c r="A11" t="s">
        <v>99</v>
      </c>
      <c r="B11" s="85">
        <v>3000</v>
      </c>
      <c r="E11" s="5"/>
    </row>
    <row r="12" spans="1:8">
      <c r="A12" t="s">
        <v>347</v>
      </c>
      <c r="B12" s="55">
        <v>3</v>
      </c>
      <c r="E12" s="64"/>
    </row>
    <row r="13" spans="1:8">
      <c r="A13" t="s">
        <v>835</v>
      </c>
      <c r="B13" s="55" t="s">
        <v>830</v>
      </c>
      <c r="C13" t="str">
        <f>LOOKUP(B13,Population!L9:L12,Population!M9:M12)</f>
        <v>Based on Polynsesian colonization. Primarily unmarried people in their 20s</v>
      </c>
      <c r="E13" s="64"/>
    </row>
    <row r="14" spans="1:8">
      <c r="A14" t="s">
        <v>731</v>
      </c>
      <c r="B14" s="49">
        <f>B37/B12*Geometry!C15*0.91</f>
        <v>21362664.233384952</v>
      </c>
      <c r="C14" s="66"/>
      <c r="D14" s="39"/>
    </row>
    <row r="15" spans="1:8">
      <c r="A15" s="97" t="s">
        <v>749</v>
      </c>
      <c r="B15" s="96">
        <f>CEILING(POWER(B14*3/(4*PI()),1/3),2.5)*4</f>
        <v>690</v>
      </c>
      <c r="D15" s="39"/>
    </row>
    <row r="16" spans="1:8">
      <c r="A16" s="98"/>
      <c r="B16" s="99"/>
      <c r="C16" s="69"/>
    </row>
    <row r="17" spans="1:8">
      <c r="A17" s="98" t="s">
        <v>875</v>
      </c>
      <c r="B17" s="99">
        <f>B18*0.4</f>
        <v>260</v>
      </c>
      <c r="C17" s="69">
        <v>25</v>
      </c>
    </row>
    <row r="18" spans="1:8" ht="17" thickBot="1">
      <c r="A18" t="s">
        <v>359</v>
      </c>
      <c r="B18" s="65">
        <v>650</v>
      </c>
      <c r="C18">
        <f>B18*2</f>
        <v>1300</v>
      </c>
      <c r="D18">
        <f>B18*2*PI()</f>
        <v>4084.0704496667308</v>
      </c>
      <c r="E18" s="15">
        <f>D57</f>
        <v>1873.6767951057668</v>
      </c>
      <c r="F18" s="4">
        <f>B82</f>
        <v>1307.0014892786471</v>
      </c>
    </row>
    <row r="19" spans="1:8">
      <c r="A19" s="111" t="s">
        <v>150</v>
      </c>
      <c r="B19" s="112" t="s">
        <v>792</v>
      </c>
      <c r="C19" s="113" t="s">
        <v>824</v>
      </c>
      <c r="D19" s="113" t="s">
        <v>844</v>
      </c>
      <c r="E19" s="114" t="s">
        <v>34</v>
      </c>
      <c r="F19" s="115" t="s">
        <v>36</v>
      </c>
    </row>
    <row r="20" spans="1:8">
      <c r="A20" s="116" t="s">
        <v>12</v>
      </c>
      <c r="B20" s="117">
        <v>0</v>
      </c>
      <c r="C20" s="118">
        <f>D5+1</f>
        <v>44.561279078396474</v>
      </c>
      <c r="D20" s="118">
        <f>B10</f>
        <v>63.561279078396474</v>
      </c>
      <c r="E20" s="119">
        <v>34</v>
      </c>
      <c r="F20" s="120">
        <v>100</v>
      </c>
    </row>
    <row r="21" spans="1:8">
      <c r="A21" s="116" t="s">
        <v>823</v>
      </c>
      <c r="B21" s="121">
        <f>LOOKUP(B20,'Population Model'!$A$3:$A$100,'Population Model'!$B$3:$B$100)</f>
        <v>599</v>
      </c>
      <c r="C21" s="121">
        <f>LOOKUP(C20,'Population Model'!$A$3:$A$100,'Population Model'!$B$3:$B$100)</f>
        <v>2737</v>
      </c>
      <c r="D21" s="121">
        <f>LOOKUP(D20,'Population Model'!$A$3:$A$100,'Population Model'!$B$3:$B$100)</f>
        <v>3034</v>
      </c>
      <c r="E21" s="118">
        <f>Population!B3</f>
        <v>3136</v>
      </c>
      <c r="F21" s="122">
        <f>LOOKUP(F20,'Population Model'!$A$3:$A$100,'Population Model'!$B$3:$B$100)</f>
        <v>3115</v>
      </c>
    </row>
    <row r="22" spans="1:8" ht="17" thickBot="1">
      <c r="A22" s="123" t="s">
        <v>822</v>
      </c>
      <c r="B22" s="124">
        <f>LOOKUP(B20,'Population Model'!$A$3:$A$100,'Population Model'!$C$3:$C$100)</f>
        <v>599</v>
      </c>
      <c r="C22" s="124">
        <f>LOOKUP(C20,'Population Model'!$A$3:$A$100,'Population Model'!$C$3:$C$100)</f>
        <v>1354</v>
      </c>
      <c r="D22" s="124">
        <f>LOOKUP(D20,'Population Model'!$A$3:$A$100,'Population Model'!$C$3:$C$100)</f>
        <v>1400</v>
      </c>
      <c r="E22" s="124">
        <f>LOOKUP(E20,'Population Model'!$A$3:$A$100,'Population Model'!$C$3:$C$100)</f>
        <v>1135</v>
      </c>
      <c r="F22" s="125">
        <f>LOOKUP(F20,'Population Model'!$A$3:$A$100,'Population Model'!$C$3:$C$100)</f>
        <v>1199</v>
      </c>
    </row>
    <row r="24" spans="1:8">
      <c r="A24" t="s">
        <v>718</v>
      </c>
      <c r="B24" s="17">
        <f>Population!C22</f>
        <v>1278.7104586852502</v>
      </c>
      <c r="C24">
        <v>500</v>
      </c>
    </row>
    <row r="25" spans="1:8">
      <c r="A25" t="s">
        <v>719</v>
      </c>
      <c r="B25" s="17">
        <f>Population!C24</f>
        <v>462</v>
      </c>
      <c r="C25">
        <v>1000</v>
      </c>
    </row>
    <row r="26" spans="1:8">
      <c r="B26" s="17"/>
    </row>
    <row r="27" spans="1:8">
      <c r="A27" t="s">
        <v>709</v>
      </c>
      <c r="B27" s="17" t="s">
        <v>710</v>
      </c>
      <c r="C27" t="s">
        <v>711</v>
      </c>
      <c r="D27" t="s">
        <v>720</v>
      </c>
      <c r="E27" t="s">
        <v>28</v>
      </c>
      <c r="F27" t="s">
        <v>721</v>
      </c>
    </row>
    <row r="28" spans="1:8">
      <c r="A28" t="s">
        <v>145</v>
      </c>
      <c r="B28" s="17">
        <f>Cattle!C11</f>
        <v>223000</v>
      </c>
    </row>
    <row r="29" spans="1:8">
      <c r="A29" t="s">
        <v>146</v>
      </c>
      <c r="B29" s="17">
        <f>Agriculture!C45*0.75</f>
        <v>10235187.765780646</v>
      </c>
      <c r="G29" t="s">
        <v>779</v>
      </c>
    </row>
    <row r="30" spans="1:8">
      <c r="A30" t="s">
        <v>877</v>
      </c>
      <c r="B30" s="17"/>
    </row>
    <row r="31" spans="1:8">
      <c r="A31" t="s">
        <v>609</v>
      </c>
      <c r="B31" s="17">
        <f>B28+B29</f>
        <v>10458187.765780646</v>
      </c>
      <c r="C31">
        <f>Geometry!C21*$B$12</f>
        <v>10900212.35544068</v>
      </c>
      <c r="D31" s="39">
        <f>C31/B31</f>
        <v>1.042265887700577</v>
      </c>
      <c r="E31" s="4">
        <f>C31*Conversion!$F$18</f>
        <v>2693.5514751529463</v>
      </c>
      <c r="F31" s="43">
        <f>E31/$B$11</f>
        <v>0.89785049171764875</v>
      </c>
      <c r="G31">
        <f>E31*Conversion!D15</f>
        <v>1090.0416106895489</v>
      </c>
      <c r="H31" s="39">
        <f>B31/B37</f>
        <v>0.74249094611114197</v>
      </c>
    </row>
    <row r="32" spans="1:8">
      <c r="A32" t="s">
        <v>147</v>
      </c>
      <c r="B32" s="17">
        <f>B24*C24+B25*C25</f>
        <v>1101355.229342625</v>
      </c>
      <c r="C32">
        <f>Geometry!C20*$B$12</f>
        <v>960327.40916188969</v>
      </c>
      <c r="D32" s="39">
        <f t="shared" ref="D32:D34" si="0">C32/B32</f>
        <v>0.87195065095853608</v>
      </c>
      <c r="E32" s="4">
        <f>C32*Conversion!$F$18</f>
        <v>237.30650607799456</v>
      </c>
      <c r="F32" s="43">
        <f>E32/$B$11</f>
        <v>7.9102168692664857E-2</v>
      </c>
    </row>
    <row r="33" spans="1:9">
      <c r="A33" t="s">
        <v>708</v>
      </c>
      <c r="B33" s="17">
        <f>B11*40*Conversion!E15/1000</f>
        <v>485622.77040000004</v>
      </c>
      <c r="C33">
        <f>Geometry!C19*$B$12</f>
        <v>576196.38037651568</v>
      </c>
      <c r="D33" s="39">
        <f t="shared" si="0"/>
        <v>1.1865102204781532</v>
      </c>
      <c r="E33" s="4">
        <f>C33*Conversion!$F$18</f>
        <v>142.38388755484078</v>
      </c>
      <c r="F33" s="43">
        <f>E33/$B$11</f>
        <v>4.7461295851613593E-2</v>
      </c>
    </row>
    <row r="34" spans="1:9">
      <c r="A34" t="s">
        <v>898</v>
      </c>
      <c r="B34" s="17">
        <f>(B60+B62+Agriculture!E40)/1000/2</f>
        <v>2040107.3553898828</v>
      </c>
      <c r="C34">
        <f>Geometry!C22*$B$12</f>
        <v>720245.36250189459</v>
      </c>
      <c r="D34" s="39">
        <f t="shared" si="0"/>
        <v>0.35304287325813266</v>
      </c>
      <c r="E34" s="4">
        <f>C34*Conversion!$F$18</f>
        <v>177.97983152784317</v>
      </c>
      <c r="F34" s="43">
        <f>E34/$B$11</f>
        <v>5.9326610509281057E-2</v>
      </c>
    </row>
    <row r="35" spans="1:9">
      <c r="A35" t="s">
        <v>723</v>
      </c>
      <c r="B35" s="17">
        <f>E21*250</f>
        <v>784000</v>
      </c>
      <c r="C35">
        <f>Geometry!C23*$B$12</f>
        <v>720495.18250189465</v>
      </c>
      <c r="D35" s="39">
        <f t="shared" ref="D35" si="1">C35/B35</f>
        <v>0.91899895727282477</v>
      </c>
      <c r="E35" s="4">
        <f>C35*Conversion!$F$18</f>
        <v>178.04156454804317</v>
      </c>
      <c r="F35" s="43">
        <f>E35/$B$11</f>
        <v>5.9347188182681053E-2</v>
      </c>
    </row>
    <row r="36" spans="1:9">
      <c r="B36" s="17"/>
      <c r="D36" s="3"/>
    </row>
    <row r="37" spans="1:9">
      <c r="A37" t="s">
        <v>149</v>
      </c>
      <c r="B37" s="45">
        <f>SUM(B31:B34)</f>
        <v>14085273.120913155</v>
      </c>
      <c r="C37" s="66">
        <f>B52</f>
        <v>37922259.125155583</v>
      </c>
      <c r="D37" s="39">
        <f>C37/B37</f>
        <v>2.6923339575751912</v>
      </c>
      <c r="E37" t="s">
        <v>218</v>
      </c>
      <c r="F37">
        <f>B41/B11</f>
        <v>3.1235981042585461</v>
      </c>
    </row>
    <row r="38" spans="1:9">
      <c r="A38" t="s">
        <v>16</v>
      </c>
      <c r="B38" s="89">
        <f>B52</f>
        <v>37922259.125155583</v>
      </c>
      <c r="C38" t="s">
        <v>18</v>
      </c>
      <c r="E38">
        <f>19000*6000</f>
        <v>114000000</v>
      </c>
      <c r="F38" s="22">
        <f>E38/B38</f>
        <v>3.0061500192739978</v>
      </c>
    </row>
    <row r="39" spans="1:9">
      <c r="B39" s="90">
        <f>B38/1000000</f>
        <v>37.922259125155584</v>
      </c>
      <c r="C39" t="s">
        <v>26</v>
      </c>
    </row>
    <row r="40" spans="1:9">
      <c r="B40" s="91">
        <f>B38/5400</f>
        <v>7022.6405787325157</v>
      </c>
      <c r="C40" t="s">
        <v>27</v>
      </c>
      <c r="H40">
        <f>750/0.26</f>
        <v>2884.6153846153843</v>
      </c>
    </row>
    <row r="41" spans="1:9">
      <c r="B41" s="91">
        <f>B38/4046.85642</f>
        <v>9370.7943127756389</v>
      </c>
      <c r="C41" t="s">
        <v>28</v>
      </c>
      <c r="D41" s="4">
        <f>B38/Conversion!E17</f>
        <v>3792.2259125155583</v>
      </c>
      <c r="G41">
        <v>109.72799999999999</v>
      </c>
      <c r="H41">
        <f>G41/H40</f>
        <v>3.8039040000000003E-2</v>
      </c>
    </row>
    <row r="42" spans="1:9">
      <c r="B42" s="17">
        <f>B38*Conversion!G18</f>
        <v>14.641784248222571</v>
      </c>
      <c r="C42" t="s">
        <v>29</v>
      </c>
    </row>
    <row r="43" spans="1:9">
      <c r="A43" t="s">
        <v>269</v>
      </c>
      <c r="B43" s="91">
        <f>B11/(180)</f>
        <v>16.666666666666668</v>
      </c>
      <c r="C43" t="s">
        <v>29</v>
      </c>
    </row>
    <row r="44" spans="1:9">
      <c r="E44" s="7"/>
    </row>
    <row r="45" spans="1:9">
      <c r="A45" t="s">
        <v>358</v>
      </c>
      <c r="B45" s="65">
        <f>Geometry!E40</f>
        <v>260</v>
      </c>
      <c r="C45">
        <f>B18/B45</f>
        <v>2.5</v>
      </c>
      <c r="D45">
        <f>B45*2</f>
        <v>520</v>
      </c>
      <c r="E45" s="64"/>
    </row>
    <row r="46" spans="1:9">
      <c r="A46" t="s">
        <v>352</v>
      </c>
      <c r="B46" s="47">
        <f>Geometry!C18</f>
        <v>12640753.041718528</v>
      </c>
      <c r="C46" s="4">
        <f>B46*Conversion!F18</f>
        <v>3123.656484139065</v>
      </c>
      <c r="E46" s="15"/>
      <c r="G46" s="4"/>
      <c r="I46" s="4"/>
    </row>
    <row r="47" spans="1:9">
      <c r="A47" t="s">
        <v>356</v>
      </c>
      <c r="B47" s="52">
        <f>Geometry!E38</f>
        <v>149.05855855855856</v>
      </c>
      <c r="E47" s="15"/>
      <c r="G47" s="4"/>
      <c r="I47" s="4"/>
    </row>
    <row r="48" spans="1:9">
      <c r="A48" t="s">
        <v>351</v>
      </c>
      <c r="B48" s="47">
        <f>Geometry!E45</f>
        <v>849486.65353067999</v>
      </c>
      <c r="E48" s="15"/>
      <c r="G48" s="4"/>
    </row>
    <row r="49" spans="1:10">
      <c r="A49" t="s">
        <v>353</v>
      </c>
      <c r="B49" s="47">
        <f>Geometry!E46</f>
        <v>73622176.639325604</v>
      </c>
      <c r="E49" s="7"/>
      <c r="I49" s="54"/>
    </row>
    <row r="50" spans="1:10">
      <c r="A50" t="s">
        <v>354</v>
      </c>
      <c r="B50" s="47">
        <f>Geometry!E48</f>
        <v>8494866535.3067999</v>
      </c>
      <c r="E50" s="7"/>
      <c r="G50" s="54"/>
    </row>
    <row r="51" spans="1:10">
      <c r="A51" t="s">
        <v>376</v>
      </c>
      <c r="B51" s="47">
        <f>B49*B66</f>
        <v>13218581253.604702</v>
      </c>
      <c r="E51" s="7"/>
      <c r="G51" s="54"/>
    </row>
    <row r="52" spans="1:10">
      <c r="A52" t="s">
        <v>357</v>
      </c>
      <c r="B52" s="47">
        <f>B46*B12</f>
        <v>37922259.125155583</v>
      </c>
      <c r="E52" s="7"/>
      <c r="G52" s="54"/>
    </row>
    <row r="53" spans="1:10">
      <c r="F53" s="4"/>
    </row>
    <row r="54" spans="1:10">
      <c r="A54" t="s">
        <v>290</v>
      </c>
      <c r="B54" s="45">
        <f>Agriculture!C47</f>
        <v>14940078.564019119</v>
      </c>
    </row>
    <row r="55" spans="1:10">
      <c r="A55" t="s">
        <v>22</v>
      </c>
      <c r="B55" s="45">
        <f>Agriculture!C47*Conversion!B10</f>
        <v>25398133558.832504</v>
      </c>
      <c r="C55" t="s">
        <v>49</v>
      </c>
      <c r="F55" s="3">
        <f>Conversion!$D$32</f>
        <v>73155600</v>
      </c>
      <c r="G55" t="s">
        <v>887</v>
      </c>
    </row>
    <row r="56" spans="1:10">
      <c r="B56" s="3"/>
    </row>
    <row r="57" spans="1:10">
      <c r="A57" t="s">
        <v>24</v>
      </c>
      <c r="B57" s="45">
        <f>D58+B64+B62+B61*B11+D60+D59</f>
        <v>137069950152.03943</v>
      </c>
      <c r="C57" t="s">
        <v>49</v>
      </c>
      <c r="D57" s="4">
        <f>B57/$F$55</f>
        <v>1873.6767951057668</v>
      </c>
      <c r="E57" t="s">
        <v>886</v>
      </c>
      <c r="F57" s="3"/>
    </row>
    <row r="58" spans="1:10">
      <c r="A58" t="s">
        <v>68</v>
      </c>
      <c r="B58" s="60">
        <v>98100000000</v>
      </c>
      <c r="C58" t="s">
        <v>49</v>
      </c>
      <c r="D58" s="59">
        <f>SUM(B73:B80)</f>
        <v>95614478149.072998</v>
      </c>
      <c r="E58" t="s">
        <v>49</v>
      </c>
      <c r="F58" s="5">
        <f>D58/$F$55</f>
        <v>1307.0014892786471</v>
      </c>
      <c r="G58" t="str">
        <f>$G$55</f>
        <v>Musashi Class Battleship</v>
      </c>
    </row>
    <row r="59" spans="1:10">
      <c r="A59" t="s">
        <v>67</v>
      </c>
      <c r="B59" s="60">
        <f>220000000+Mission!B9*(Vehicle!B58+SUM(Vehicle!B60:B64))</f>
        <v>60456192449.128387</v>
      </c>
      <c r="D59" s="59">
        <f>D97</f>
        <v>105248228.66451912</v>
      </c>
      <c r="E59" s="3" t="s">
        <v>49</v>
      </c>
      <c r="F59" s="5">
        <f t="shared" ref="F59:F60" si="2">D59/$F$55</f>
        <v>1.4386899795028558</v>
      </c>
      <c r="G59" t="str">
        <f>$G$55</f>
        <v>Musashi Class Battleship</v>
      </c>
      <c r="H59" s="3" t="s">
        <v>943</v>
      </c>
      <c r="J59" s="4"/>
    </row>
    <row r="60" spans="1:10">
      <c r="A60" t="s">
        <v>655</v>
      </c>
      <c r="B60" s="60">
        <v>4000000000</v>
      </c>
      <c r="D60" s="45">
        <f>B79*0.25+(B63+B73+B74)*B63</f>
        <v>40275223774.301903</v>
      </c>
      <c r="E60" s="3" t="s">
        <v>49</v>
      </c>
      <c r="F60" s="5">
        <f t="shared" si="2"/>
        <v>550.54191031584594</v>
      </c>
      <c r="G60" t="str">
        <f>$G$55</f>
        <v>Musashi Class Battleship</v>
      </c>
    </row>
    <row r="61" spans="1:10">
      <c r="A61" t="s">
        <v>332</v>
      </c>
      <c r="B61" s="60">
        <v>5000</v>
      </c>
      <c r="E61" s="3"/>
    </row>
    <row r="62" spans="1:10">
      <c r="A62" t="s">
        <v>245</v>
      </c>
      <c r="B62" s="47">
        <f>B11*20000</f>
        <v>60000000</v>
      </c>
      <c r="E62" s="3"/>
    </row>
    <row r="63" spans="1:10">
      <c r="A63" t="s">
        <v>605</v>
      </c>
      <c r="B63" s="47">
        <v>10</v>
      </c>
      <c r="E63" s="3"/>
    </row>
    <row r="64" spans="1:10">
      <c r="A64" t="s">
        <v>132</v>
      </c>
      <c r="B64" s="47">
        <v>1000000000</v>
      </c>
      <c r="E64" t="s">
        <v>801</v>
      </c>
    </row>
    <row r="65" spans="1:6">
      <c r="B65" s="55">
        <f>3220/(390*55*30)</f>
        <v>5.0038850038850039E-3</v>
      </c>
      <c r="C65" t="s">
        <v>369</v>
      </c>
    </row>
    <row r="66" spans="1:6">
      <c r="A66" t="s">
        <v>214</v>
      </c>
      <c r="B66" s="55">
        <f>B65*1016.04691/0.0283168466</f>
        <v>179.54618916474604</v>
      </c>
    </row>
    <row r="67" spans="1:6">
      <c r="A67" t="s">
        <v>317</v>
      </c>
      <c r="B67" s="55">
        <v>310</v>
      </c>
      <c r="E67" t="s">
        <v>331</v>
      </c>
      <c r="F67" s="63" t="s">
        <v>329</v>
      </c>
    </row>
    <row r="68" spans="1:6">
      <c r="A68" t="s">
        <v>334</v>
      </c>
      <c r="B68" s="55">
        <v>10000</v>
      </c>
      <c r="C68" t="s">
        <v>324</v>
      </c>
      <c r="F68" t="s">
        <v>335</v>
      </c>
    </row>
    <row r="69" spans="1:6">
      <c r="B69" s="55"/>
      <c r="E69" t="s">
        <v>339</v>
      </c>
      <c r="F69" t="s">
        <v>338</v>
      </c>
    </row>
    <row r="70" spans="1:6">
      <c r="B70" s="45">
        <f>SUM(B58:B64)</f>
        <v>163616197459.12839</v>
      </c>
      <c r="C70" t="s">
        <v>49</v>
      </c>
      <c r="E70" s="3"/>
    </row>
    <row r="71" spans="1:6">
      <c r="A71" t="s">
        <v>54</v>
      </c>
      <c r="B71" s="45">
        <f>(B70)*B2</f>
        <v>1282750988079.5667</v>
      </c>
      <c r="C71" t="s">
        <v>930</v>
      </c>
      <c r="E71" t="s">
        <v>61</v>
      </c>
    </row>
    <row r="72" spans="1:6">
      <c r="A72" t="s">
        <v>154</v>
      </c>
      <c r="B72" s="49">
        <v>1000</v>
      </c>
    </row>
    <row r="73" spans="1:6">
      <c r="A73" t="s">
        <v>23</v>
      </c>
      <c r="B73" s="45">
        <f>B71/B72*3</f>
        <v>3848252964.2386999</v>
      </c>
      <c r="C73" t="s">
        <v>49</v>
      </c>
      <c r="E73" t="s">
        <v>60</v>
      </c>
      <c r="F73" t="s">
        <v>57</v>
      </c>
    </row>
    <row r="74" spans="1:6">
      <c r="A74" t="s">
        <v>155</v>
      </c>
      <c r="B74" s="45">
        <f>'Power Consumption'!C43</f>
        <v>166684422.64066342</v>
      </c>
      <c r="C74" t="s">
        <v>49</v>
      </c>
      <c r="D74" s="3">
        <f>B74/B73</f>
        <v>4.3314310205082529E-2</v>
      </c>
      <c r="E74" s="72">
        <f>B74/12</f>
        <v>13890368.553388618</v>
      </c>
    </row>
    <row r="75" spans="1:6">
      <c r="A75" t="s">
        <v>327</v>
      </c>
      <c r="B75" s="45">
        <f>B55</f>
        <v>25398133558.832504</v>
      </c>
    </row>
    <row r="76" spans="1:6">
      <c r="A76" t="s">
        <v>336</v>
      </c>
      <c r="B76" s="45">
        <f>B49*B12*Conversion!B9*0.9</f>
        <v>243505349.23456943</v>
      </c>
      <c r="C76" t="s">
        <v>49</v>
      </c>
      <c r="E76" t="s">
        <v>337</v>
      </c>
    </row>
    <row r="77" spans="1:6">
      <c r="A77" t="s">
        <v>333</v>
      </c>
      <c r="B77" s="45">
        <f>B50*B12</f>
        <v>25484599605.920399</v>
      </c>
      <c r="C77" s="3"/>
    </row>
    <row r="78" spans="1:6">
      <c r="A78" t="s">
        <v>377</v>
      </c>
      <c r="B78" s="45">
        <f>B51*B12</f>
        <v>39655743760.814102</v>
      </c>
      <c r="D78" s="3"/>
      <c r="E78" s="3"/>
    </row>
    <row r="79" spans="1:6">
      <c r="A79" t="s">
        <v>246</v>
      </c>
      <c r="B79" s="45">
        <f>(B58+B59+SUM(B73:B78))*Conversion!B24*3/Conversion!B23</f>
        <v>503399222.0330801</v>
      </c>
      <c r="C79" s="43">
        <f>B79/D58</f>
        <v>5.2648848979568548E-3</v>
      </c>
      <c r="D79" s="43"/>
    </row>
    <row r="80" spans="1:6">
      <c r="A80" t="s">
        <v>588</v>
      </c>
      <c r="B80" s="45">
        <f>Geometry!E62</f>
        <v>314159265.35897917</v>
      </c>
      <c r="C80" s="43"/>
      <c r="D80" s="43"/>
    </row>
    <row r="81" spans="1:6">
      <c r="A81" t="s">
        <v>62</v>
      </c>
      <c r="B81" s="44">
        <f>D58</f>
        <v>95614478149.072998</v>
      </c>
      <c r="C81" s="11">
        <f>B73/D58</f>
        <v>4.0247596794272832E-2</v>
      </c>
      <c r="D81" s="11"/>
    </row>
    <row r="82" spans="1:6">
      <c r="B82" s="58">
        <f>D58/F55</f>
        <v>1307.0014892786471</v>
      </c>
      <c r="C82" t="str">
        <f>G55</f>
        <v>Musashi Class Battleship</v>
      </c>
    </row>
    <row r="83" spans="1:6">
      <c r="A83" t="s">
        <v>928</v>
      </c>
      <c r="B83" s="45">
        <f>'Power Consumption'!C40/3600000</f>
        <v>7.0167920979368158E-17</v>
      </c>
      <c r="C83" t="s">
        <v>927</v>
      </c>
      <c r="E83" t="s">
        <v>162</v>
      </c>
      <c r="F83" t="s">
        <v>53</v>
      </c>
    </row>
    <row r="85" spans="1:6">
      <c r="A85" t="s">
        <v>159</v>
      </c>
      <c r="B85" s="45">
        <f>'Power Consumption'!C44*'Power Consumption'!C7</f>
        <v>467888125.32235026</v>
      </c>
    </row>
    <row r="86" spans="1:6">
      <c r="A86" t="s">
        <v>158</v>
      </c>
      <c r="B86" s="45">
        <f>B71*B83*Mission!$D$19*2/0.4</f>
        <v>15417.695467668556</v>
      </c>
    </row>
    <row r="87" spans="1:6">
      <c r="A87" t="s">
        <v>958</v>
      </c>
      <c r="B87" s="45">
        <f>(B70*Mission!B9)-SUM(B85:B86)</f>
        <v>95069284119.848969</v>
      </c>
    </row>
    <row r="88" spans="1:6">
      <c r="A88" t="s">
        <v>184</v>
      </c>
      <c r="B88" s="45">
        <f>B85+B86</f>
        <v>467903543.01781791</v>
      </c>
      <c r="D88" t="s">
        <v>348</v>
      </c>
    </row>
    <row r="89" spans="1:6">
      <c r="B89" s="45"/>
    </row>
    <row r="90" spans="1:6">
      <c r="A90" t="s">
        <v>845</v>
      </c>
      <c r="B90" s="45" t="s">
        <v>846</v>
      </c>
      <c r="D90" s="23" t="s">
        <v>53</v>
      </c>
    </row>
    <row r="91" spans="1:6">
      <c r="A91" t="s">
        <v>55</v>
      </c>
      <c r="B91" s="3">
        <f>B88*(100/(100+3000))</f>
        <v>15093662.677994126</v>
      </c>
      <c r="C91" t="s">
        <v>49</v>
      </c>
      <c r="D91">
        <v>2.0141017781100001</v>
      </c>
      <c r="E91" s="3">
        <f>B91/(Conversion!$B$7*D91)</f>
        <v>1.2444357410488498E-17</v>
      </c>
      <c r="F91" t="s">
        <v>183</v>
      </c>
    </row>
    <row r="92" spans="1:6">
      <c r="A92" t="s">
        <v>56</v>
      </c>
      <c r="B92" s="3">
        <f>B88*(3000/(100+3000))</f>
        <v>452809880.33982378</v>
      </c>
      <c r="C92" t="s">
        <v>49</v>
      </c>
      <c r="D92">
        <v>6.0151228873999996</v>
      </c>
      <c r="E92" s="3">
        <f>B92/(Conversion!$B$7*D92)</f>
        <v>1.2500593682169186E-16</v>
      </c>
    </row>
    <row r="93" spans="1:6">
      <c r="A93" t="s">
        <v>847</v>
      </c>
      <c r="B93" s="3"/>
      <c r="D93">
        <v>15.994</v>
      </c>
      <c r="E93" s="3"/>
    </row>
    <row r="94" spans="1:6">
      <c r="A94" t="s">
        <v>849</v>
      </c>
      <c r="B94" s="3"/>
      <c r="D94" s="40">
        <v>12.010999999999999</v>
      </c>
      <c r="E94" s="3"/>
    </row>
    <row r="95" spans="1:6">
      <c r="A95" t="s">
        <v>966</v>
      </c>
      <c r="B95" s="4">
        <f>B18*3</f>
        <v>1950</v>
      </c>
      <c r="D95" s="40"/>
      <c r="E95" s="3"/>
    </row>
    <row r="96" spans="1:6">
      <c r="A96" t="s">
        <v>851</v>
      </c>
      <c r="B96" s="3">
        <f>(B95^2*PI())*1.25</f>
        <v>14932382.581593987</v>
      </c>
      <c r="C96" t="s">
        <v>18</v>
      </c>
      <c r="D96" s="40">
        <f>SQRT(B96/PI())</f>
        <v>2180.1662780622951</v>
      </c>
      <c r="E96" s="4">
        <f>D96*2</f>
        <v>4360.3325561245902</v>
      </c>
    </row>
    <row r="97" spans="1:15">
      <c r="A97" t="s">
        <v>942</v>
      </c>
      <c r="B97" s="40">
        <v>795</v>
      </c>
      <c r="C97" t="s">
        <v>214</v>
      </c>
      <c r="D97" s="136">
        <f>E91*(2*D92+D91)*Conversion!B7</f>
        <v>105248228.66451912</v>
      </c>
      <c r="E97" s="3" t="s">
        <v>49</v>
      </c>
      <c r="F97" s="3">
        <f>D97/B97</f>
        <v>132387.70901197373</v>
      </c>
      <c r="G97" t="s">
        <v>850</v>
      </c>
      <c r="H97" s="4">
        <f>F97/$B$96</f>
        <v>8.8658128258217814E-3</v>
      </c>
    </row>
    <row r="98" spans="1:15">
      <c r="B98" s="40"/>
      <c r="D98" s="136"/>
      <c r="E98" s="3"/>
      <c r="F98" s="3"/>
      <c r="H98" s="4"/>
    </row>
    <row r="99" spans="1:15">
      <c r="A99" t="s">
        <v>182</v>
      </c>
      <c r="B99" s="40">
        <v>1107</v>
      </c>
      <c r="C99" t="s">
        <v>214</v>
      </c>
      <c r="D99" s="3">
        <f>E91*(2*D91+D93)*Conversion!B7</f>
        <v>150046233.92533147</v>
      </c>
      <c r="E99" t="s">
        <v>49</v>
      </c>
      <c r="F99" s="3">
        <f>D99/B99</f>
        <v>135543.12007708353</v>
      </c>
      <c r="G99" t="s">
        <v>850</v>
      </c>
      <c r="H99" s="4">
        <f>F99/$B$96</f>
        <v>9.0771261274913504E-3</v>
      </c>
      <c r="K99" t="s">
        <v>964</v>
      </c>
    </row>
    <row r="100" spans="1:15">
      <c r="B100" s="40"/>
      <c r="D100" s="3"/>
      <c r="F100" s="3"/>
      <c r="H100" s="4"/>
    </row>
    <row r="101" spans="1:15">
      <c r="A101" t="s">
        <v>848</v>
      </c>
      <c r="B101" s="40">
        <v>2110</v>
      </c>
      <c r="C101" t="s">
        <v>214</v>
      </c>
      <c r="D101" s="3">
        <f>E92*(D92*2+D93*3+D94)*Conversion!B7</f>
        <v>5421807319.8949404</v>
      </c>
      <c r="E101" t="s">
        <v>49</v>
      </c>
      <c r="F101" s="3">
        <f>D101/B101</f>
        <v>2569576.9288601615</v>
      </c>
      <c r="G101" t="s">
        <v>850</v>
      </c>
      <c r="H101" s="4">
        <f>F101/$B$96</f>
        <v>0.17208083939849517</v>
      </c>
      <c r="M101" t="s">
        <v>932</v>
      </c>
    </row>
    <row r="102" spans="1:15">
      <c r="F102" s="77">
        <f>D99/B77</f>
        <v>5.8877218494919501E-3</v>
      </c>
      <c r="H102" s="4">
        <f>H99+H101</f>
        <v>0.18115796552598651</v>
      </c>
      <c r="K102" t="s">
        <v>891</v>
      </c>
      <c r="L102" t="s">
        <v>890</v>
      </c>
    </row>
    <row r="103" spans="1:15">
      <c r="A103" t="s">
        <v>960</v>
      </c>
      <c r="B103">
        <v>1000</v>
      </c>
      <c r="C103" t="s">
        <v>214</v>
      </c>
      <c r="D103" s="3">
        <f>$B$87</f>
        <v>95069284119.848969</v>
      </c>
      <c r="E103" t="s">
        <v>49</v>
      </c>
      <c r="F103" s="3">
        <f>D103/B103</f>
        <v>95069284.119848967</v>
      </c>
      <c r="G103" t="s">
        <v>850</v>
      </c>
      <c r="H103" s="4">
        <f>F103/$B$96</f>
        <v>6.3666520463407927</v>
      </c>
      <c r="I103">
        <f>POWER(3*F103/(4*PI()),1/3)</f>
        <v>283.12868473179935</v>
      </c>
      <c r="J103" s="4">
        <f>I103*2</f>
        <v>566.25736946359871</v>
      </c>
    </row>
    <row r="104" spans="1:15">
      <c r="A104" t="s">
        <v>959</v>
      </c>
      <c r="B104">
        <v>5745</v>
      </c>
      <c r="C104" t="s">
        <v>214</v>
      </c>
      <c r="D104" s="3">
        <f>$B$87</f>
        <v>95069284119.848969</v>
      </c>
      <c r="E104" t="s">
        <v>49</v>
      </c>
      <c r="F104" s="3">
        <f>D104/B104</f>
        <v>16548178.26281096</v>
      </c>
      <c r="G104" t="s">
        <v>850</v>
      </c>
      <c r="H104" s="4">
        <f>F104/$B$96</f>
        <v>1.1082074928356471</v>
      </c>
      <c r="I104">
        <f>POWER(3*F104/(4*PI()),1/3)</f>
        <v>158.08373698550912</v>
      </c>
      <c r="J104" s="4">
        <f>I104*2</f>
        <v>316.16747397101824</v>
      </c>
    </row>
    <row r="105" spans="1:15">
      <c r="A105" t="s">
        <v>961</v>
      </c>
      <c r="B105">
        <v>7874</v>
      </c>
      <c r="C105" t="s">
        <v>214</v>
      </c>
      <c r="D105" s="3">
        <f>$B$87</f>
        <v>95069284119.848969</v>
      </c>
      <c r="E105" t="s">
        <v>49</v>
      </c>
      <c r="F105" s="3">
        <f>D105/B105</f>
        <v>12073823.230867282</v>
      </c>
      <c r="G105" t="s">
        <v>850</v>
      </c>
      <c r="H105" s="4">
        <f>F105/$B$96</f>
        <v>0.80856642701813486</v>
      </c>
      <c r="I105">
        <f>POWER(3*F105/(4*PI()),1/3)</f>
        <v>142.31545576550377</v>
      </c>
      <c r="J105" s="4">
        <f>I105*2</f>
        <v>284.63091153100754</v>
      </c>
    </row>
    <row r="106" spans="1:15">
      <c r="A106" t="s">
        <v>962</v>
      </c>
      <c r="B106">
        <v>600</v>
      </c>
      <c r="C106" t="s">
        <v>214</v>
      </c>
      <c r="D106" s="3">
        <f>$B$87</f>
        <v>95069284119.848969</v>
      </c>
      <c r="E106" t="s">
        <v>49</v>
      </c>
      <c r="F106" s="3">
        <f>D106/B106</f>
        <v>158448806.86641493</v>
      </c>
      <c r="G106" t="s">
        <v>850</v>
      </c>
      <c r="H106" s="4">
        <f>F106/$B$96</f>
        <v>10.611086743901321</v>
      </c>
      <c r="I106">
        <f>POWER(3*(F106*0.02)/(4*PI()),1/3)</f>
        <v>91.1192465286355</v>
      </c>
      <c r="J106" s="4">
        <f>I106*2</f>
        <v>182.238493057271</v>
      </c>
      <c r="K106" s="4">
        <f>675+L106</f>
        <v>1350</v>
      </c>
      <c r="L106">
        <v>675</v>
      </c>
      <c r="M106" s="3">
        <f>2*PI()^2*K106*L106^2</f>
        <v>12141463964.165113</v>
      </c>
      <c r="O106">
        <f>L106+675</f>
        <v>1350</v>
      </c>
    </row>
    <row r="107" spans="1:15">
      <c r="H107" s="4"/>
      <c r="M107" s="145">
        <f>M106/F106</f>
        <v>76.627045695593921</v>
      </c>
      <c r="O107" s="4">
        <f>K106+L106</f>
        <v>2025</v>
      </c>
    </row>
    <row r="108" spans="1:15">
      <c r="A108" t="s">
        <v>185</v>
      </c>
      <c r="B108" s="3">
        <f>D99/B109</f>
        <v>1497467404444426</v>
      </c>
      <c r="C108" t="s">
        <v>49</v>
      </c>
      <c r="E108" t="s">
        <v>59</v>
      </c>
      <c r="F108" t="s">
        <v>58</v>
      </c>
      <c r="M108">
        <f>1/M107</f>
        <v>1.3050222554221483E-2</v>
      </c>
      <c r="O108" s="4">
        <f>K106-L106</f>
        <v>675</v>
      </c>
    </row>
    <row r="109" spans="1:15">
      <c r="B109" s="3">
        <f>(33.4*3)/1000/1000000</f>
        <v>1.0019999999999998E-7</v>
      </c>
      <c r="E109" t="s">
        <v>186</v>
      </c>
      <c r="F109" t="s">
        <v>181</v>
      </c>
    </row>
    <row r="110" spans="1:15">
      <c r="B110" s="4">
        <f>B108/220000000000000</f>
        <v>6.8066700202019366</v>
      </c>
      <c r="E110" t="s">
        <v>187</v>
      </c>
    </row>
    <row r="111" spans="1:15">
      <c r="B111" s="4"/>
    </row>
    <row r="112" spans="1:15">
      <c r="A112" t="s">
        <v>188</v>
      </c>
      <c r="B112" s="3">
        <f>D99/B113</f>
        <v>4492402213333277.5</v>
      </c>
    </row>
    <row r="113" spans="2:10">
      <c r="B113" s="3">
        <f>(33.4)/1000/1000000</f>
        <v>3.3400000000000001E-8</v>
      </c>
    </row>
    <row r="114" spans="2:10">
      <c r="B114" s="51">
        <f>200000000*1000000000000</f>
        <v>2E+20</v>
      </c>
      <c r="E114" t="s">
        <v>190</v>
      </c>
      <c r="H114">
        <f>188/2</f>
        <v>94</v>
      </c>
      <c r="I114">
        <f>H114*H114*PI()</f>
        <v>27759.112687119414</v>
      </c>
    </row>
    <row r="115" spans="2:10">
      <c r="B115" s="3">
        <f>B112/B114</f>
        <v>2.2462011066666388E-5</v>
      </c>
      <c r="E115" t="s">
        <v>189</v>
      </c>
      <c r="I115">
        <f>I114*120</f>
        <v>3331093.5224543298</v>
      </c>
      <c r="J115" s="4">
        <f>I115/SUM(F99:F101)</f>
        <v>1.2314032139767734</v>
      </c>
    </row>
  </sheetData>
  <hyperlinks>
    <hyperlink ref="D90" r:id="rId1" xr:uid="{440F8B25-ECA3-FF40-B914-AC6B05C395EC}"/>
  </hyperlinks>
  <pageMargins left="0.7" right="0.7" top="0.75" bottom="0.75" header="0.3" footer="0.3"/>
  <pageSetup orientation="portrait" horizontalDpi="0" verticalDpi="0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EED8CC38-60B7-F145-B437-6B6CCD293042}">
          <x14:formula1>
            <xm:f>Population!$L$3:$L$7</xm:f>
          </x14:formula1>
          <xm:sqref>B13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2E0A3-DE4C-BD4F-9029-36C92E1BA4D3}">
  <dimension ref="A1:T13"/>
  <sheetViews>
    <sheetView workbookViewId="0">
      <selection activeCell="D3" sqref="D3"/>
    </sheetView>
  </sheetViews>
  <sheetFormatPr baseColWidth="10" defaultRowHeight="16"/>
  <cols>
    <col min="1" max="1" width="27.6640625" bestFit="1" customWidth="1"/>
    <col min="2" max="2" width="10.6640625" bestFit="1" customWidth="1"/>
    <col min="3" max="3" width="9.6640625" bestFit="1" customWidth="1"/>
    <col min="4" max="8" width="27.6640625" customWidth="1"/>
    <col min="10" max="10" width="11.6640625" bestFit="1" customWidth="1"/>
    <col min="11" max="11" width="11.6640625" customWidth="1"/>
    <col min="12" max="12" width="12.6640625" bestFit="1" customWidth="1"/>
    <col min="13" max="13" width="13" customWidth="1"/>
  </cols>
  <sheetData>
    <row r="1" spans="1:20">
      <c r="B1" t="s">
        <v>706</v>
      </c>
      <c r="C1" t="s">
        <v>623</v>
      </c>
    </row>
    <row r="2" spans="1:20">
      <c r="B2" t="s">
        <v>807</v>
      </c>
      <c r="D2" t="s">
        <v>808</v>
      </c>
    </row>
    <row r="3" spans="1:20">
      <c r="A3" t="s">
        <v>700</v>
      </c>
      <c r="B3">
        <f>SUM(H:H)</f>
        <v>1624720.3809523808</v>
      </c>
      <c r="C3">
        <f>CEILING(B3/2000,1)</f>
        <v>813</v>
      </c>
    </row>
    <row r="4" spans="1:20">
      <c r="A4" t="s">
        <v>701</v>
      </c>
      <c r="B4">
        <f>SUM(F:F)</f>
        <v>44114.394766318088</v>
      </c>
      <c r="C4">
        <f>CEILING(B4/2000,1)</f>
        <v>23</v>
      </c>
    </row>
    <row r="5" spans="1:20">
      <c r="A5" t="s">
        <v>804</v>
      </c>
      <c r="B5">
        <v>10</v>
      </c>
    </row>
    <row r="7" spans="1:20">
      <c r="A7" t="s">
        <v>657</v>
      </c>
      <c r="B7" t="s">
        <v>698</v>
      </c>
      <c r="C7" t="s">
        <v>699</v>
      </c>
      <c r="D7" t="s">
        <v>150</v>
      </c>
      <c r="E7" t="s">
        <v>702</v>
      </c>
      <c r="F7" t="s">
        <v>703</v>
      </c>
      <c r="G7" t="s">
        <v>704</v>
      </c>
      <c r="H7" t="s">
        <v>705</v>
      </c>
      <c r="I7" t="s">
        <v>660</v>
      </c>
      <c r="J7" t="s">
        <v>614</v>
      </c>
      <c r="K7" t="s">
        <v>661</v>
      </c>
      <c r="L7" t="s">
        <v>662</v>
      </c>
      <c r="M7">
        <v>24</v>
      </c>
      <c r="N7">
        <f>24*7</f>
        <v>168</v>
      </c>
      <c r="O7">
        <v>320</v>
      </c>
      <c r="P7">
        <v>960</v>
      </c>
      <c r="Q7">
        <v>3840</v>
      </c>
      <c r="R7">
        <v>5760</v>
      </c>
      <c r="S7">
        <v>11520</v>
      </c>
      <c r="T7">
        <v>15360</v>
      </c>
    </row>
    <row r="8" spans="1:20">
      <c r="A8" t="s">
        <v>659</v>
      </c>
      <c r="B8" s="54">
        <f>SUM(G:G)*SUM(D10:D13)/1000</f>
        <v>5810.2726785714276</v>
      </c>
      <c r="C8">
        <v>1</v>
      </c>
      <c r="D8">
        <f>CEILING(B8*C8,1)</f>
        <v>5811</v>
      </c>
      <c r="E8">
        <v>1</v>
      </c>
      <c r="F8" s="5">
        <f>E8*B8</f>
        <v>5810.2726785714276</v>
      </c>
      <c r="G8" s="5">
        <f>SUM(J8:L8)*3840/I8</f>
        <v>133.88690476190476</v>
      </c>
      <c r="H8" s="5">
        <f>G8*D8</f>
        <v>778016.80357142852</v>
      </c>
      <c r="I8">
        <f>I10*3</f>
        <v>46080</v>
      </c>
      <c r="J8">
        <v>1000</v>
      </c>
      <c r="K8">
        <f>J8*0.25</f>
        <v>250</v>
      </c>
      <c r="L8" s="5">
        <f>M8*(I8/$M$7)+N8*(I8/$N$7)+O8*(I8/$O$7)+P8*(I8/$P$7)+Q8*(I8/$Q$7)+R8*(I8/$R$7)+S8*(I8/$S$7)+T8*(I8/$T$7)</f>
        <v>356.64285714285711</v>
      </c>
      <c r="M8" s="4">
        <f>1/60</f>
        <v>1.6666666666666666E-2</v>
      </c>
      <c r="N8" s="4">
        <f>2/60</f>
        <v>3.3333333333333333E-2</v>
      </c>
      <c r="O8" s="4">
        <f>5/60</f>
        <v>8.3333333333333329E-2</v>
      </c>
      <c r="P8">
        <v>1</v>
      </c>
      <c r="Q8">
        <v>1</v>
      </c>
      <c r="R8">
        <v>2</v>
      </c>
      <c r="S8">
        <v>10</v>
      </c>
      <c r="T8">
        <f>K8*0.25</f>
        <v>62.5</v>
      </c>
    </row>
    <row r="10" spans="1:20">
      <c r="A10" t="s">
        <v>658</v>
      </c>
      <c r="B10" s="54">
        <f>Vehicle!E21+Vehicle!B37/240</f>
        <v>61824.638003804816</v>
      </c>
      <c r="C10">
        <v>0.1</v>
      </c>
      <c r="D10" s="4">
        <f>CEILING(B10*C10,1)</f>
        <v>6183</v>
      </c>
      <c r="E10" s="4">
        <v>0.5</v>
      </c>
      <c r="F10" s="5">
        <f t="shared" ref="F10:F13" si="0">E10*B10</f>
        <v>30912.319001902408</v>
      </c>
      <c r="G10" s="5">
        <f>SUM(J10:L10)*3840/I10</f>
        <v>41.595238095238095</v>
      </c>
      <c r="H10" s="5">
        <f>G10*D10</f>
        <v>257183.35714285713</v>
      </c>
      <c r="I10">
        <f>15360</f>
        <v>15360</v>
      </c>
      <c r="J10">
        <v>100</v>
      </c>
      <c r="K10">
        <f>J10*0.1</f>
        <v>10</v>
      </c>
      <c r="L10" s="5">
        <f>M10*(I10/$M$7)+N10*(I10/$N$7)+O10*(I10/$O$7)+P10*(I10/$P$7)+Q10*(I10/$Q$7)+R10*(I10/$R$7)+S10*(I10/$S$7)+T10*(I10/$T$7)</f>
        <v>56.38095238095238</v>
      </c>
      <c r="M10" s="4">
        <f>1/60</f>
        <v>1.6666666666666666E-2</v>
      </c>
      <c r="N10" s="4">
        <f>2/60</f>
        <v>3.3333333333333333E-2</v>
      </c>
      <c r="O10" s="4">
        <f>5/60</f>
        <v>8.3333333333333329E-2</v>
      </c>
      <c r="P10">
        <v>1</v>
      </c>
      <c r="Q10">
        <v>1</v>
      </c>
      <c r="R10">
        <v>2</v>
      </c>
      <c r="S10">
        <v>10</v>
      </c>
    </row>
    <row r="11" spans="1:20">
      <c r="A11" t="s">
        <v>697</v>
      </c>
      <c r="B11" s="54">
        <f>(Agriculture!E37+Agriculture!E38)/1000</f>
        <v>2887.8158256808101</v>
      </c>
      <c r="C11">
        <v>0.1</v>
      </c>
      <c r="D11" s="4">
        <f t="shared" ref="D11:D13" si="1">CEILING(B11*C11,1)</f>
        <v>289</v>
      </c>
      <c r="E11" s="4">
        <v>1</v>
      </c>
      <c r="F11" s="5">
        <f t="shared" si="0"/>
        <v>2887.8158256808101</v>
      </c>
      <c r="G11" s="5">
        <f>SUM(J11:L11)*3840/I11</f>
        <v>133.88690476190476</v>
      </c>
      <c r="H11" s="5">
        <f t="shared" ref="H11:H12" si="2">G11*D11</f>
        <v>38693.315476190473</v>
      </c>
      <c r="I11">
        <f>I8</f>
        <v>46080</v>
      </c>
      <c r="J11">
        <v>1000</v>
      </c>
      <c r="K11">
        <f>J11*0.25</f>
        <v>250</v>
      </c>
      <c r="L11" s="5">
        <f>M11*(I11/$M$7)+N11*(I11/$N$7)+O11*(I11/$O$7)+P11*(I11/$P$7)+Q11*(I11/$Q$7)+R11*(I11/$R$7)+S11*(I11/$S$7)+T11*(I11/$T$7)</f>
        <v>356.64285714285711</v>
      </c>
      <c r="M11" s="4">
        <f>1/60</f>
        <v>1.6666666666666666E-2</v>
      </c>
      <c r="N11" s="4">
        <f>2/60</f>
        <v>3.3333333333333333E-2</v>
      </c>
      <c r="O11" s="4">
        <f>5/60</f>
        <v>8.3333333333333329E-2</v>
      </c>
      <c r="P11">
        <v>1</v>
      </c>
      <c r="Q11">
        <v>1</v>
      </c>
      <c r="R11">
        <v>2</v>
      </c>
      <c r="S11">
        <v>10</v>
      </c>
      <c r="T11">
        <f>K11*0.25</f>
        <v>62.5</v>
      </c>
    </row>
    <row r="12" spans="1:20">
      <c r="A12" t="s">
        <v>663</v>
      </c>
      <c r="B12" s="54">
        <f>SUM(Crops!AD:AD)/100</f>
        <v>1367.9872601634406</v>
      </c>
      <c r="C12">
        <v>0.25</v>
      </c>
      <c r="D12" s="4">
        <f t="shared" si="1"/>
        <v>342</v>
      </c>
      <c r="E12" s="4">
        <v>1</v>
      </c>
      <c r="F12" s="5">
        <f t="shared" si="0"/>
        <v>1367.9872601634406</v>
      </c>
      <c r="G12" s="5">
        <f>SUM(J12:L12)*3840/I12</f>
        <v>41.595238095238095</v>
      </c>
      <c r="H12" s="5">
        <f t="shared" si="2"/>
        <v>14225.571428571429</v>
      </c>
      <c r="I12">
        <f>15360</f>
        <v>15360</v>
      </c>
      <c r="J12">
        <v>100</v>
      </c>
      <c r="K12">
        <f>J12*0.1</f>
        <v>10</v>
      </c>
      <c r="L12" s="5">
        <f>M12*(I12/$M$7)+N12*(I12/$N$7)+O12*(I12/$O$7)+P12*(I12/$P$7)+Q12*(I12/$Q$7)+R12*(I12/$R$7)+S12*(I12/$S$7)+T12*(I12/$T$7)</f>
        <v>56.38095238095238</v>
      </c>
      <c r="M12" s="4">
        <f>1/60</f>
        <v>1.6666666666666666E-2</v>
      </c>
      <c r="N12" s="4">
        <f>2/60</f>
        <v>3.3333333333333333E-2</v>
      </c>
      <c r="O12" s="4">
        <f>5/60</f>
        <v>8.3333333333333329E-2</v>
      </c>
      <c r="P12">
        <v>1</v>
      </c>
      <c r="Q12">
        <v>1</v>
      </c>
      <c r="R12">
        <v>2</v>
      </c>
      <c r="S12">
        <v>10</v>
      </c>
    </row>
    <row r="13" spans="1:20">
      <c r="A13" t="s">
        <v>805</v>
      </c>
      <c r="B13">
        <f>(Vehicle!E21*B5)</f>
        <v>31360</v>
      </c>
      <c r="C13">
        <v>0.05</v>
      </c>
      <c r="D13" s="4">
        <f t="shared" si="1"/>
        <v>1568</v>
      </c>
      <c r="E13" s="4">
        <v>0.1</v>
      </c>
      <c r="F13" s="5">
        <f t="shared" si="0"/>
        <v>3136</v>
      </c>
      <c r="G13" s="5">
        <f>SUM(J13:L13)*3840/I13</f>
        <v>342.22023809523802</v>
      </c>
      <c r="H13" s="5">
        <f t="shared" ref="H13" si="3">G13*D13</f>
        <v>536601.33333333326</v>
      </c>
      <c r="I13">
        <f>I10</f>
        <v>15360</v>
      </c>
      <c r="J13">
        <v>1000</v>
      </c>
      <c r="K13">
        <f>J13*0.25</f>
        <v>250</v>
      </c>
      <c r="L13" s="5">
        <f>M13*(I13/$M$7)+N13*(I13/$N$7)+O13*(I13/$O$7)+P13*(I13/$P$7)+Q13*(I13/$Q$7)+R13*(I13/$R$7)+S13*(I13/$S$7)+T13*(I13/$T$7)</f>
        <v>118.88095238095238</v>
      </c>
      <c r="M13" s="4">
        <f>1/60</f>
        <v>1.6666666666666666E-2</v>
      </c>
      <c r="N13" s="4">
        <f>2/60</f>
        <v>3.3333333333333333E-2</v>
      </c>
      <c r="O13" s="4">
        <f>5/60</f>
        <v>8.3333333333333329E-2</v>
      </c>
      <c r="P13">
        <v>1</v>
      </c>
      <c r="Q13">
        <v>1</v>
      </c>
      <c r="R13">
        <v>2</v>
      </c>
      <c r="S13">
        <v>10</v>
      </c>
      <c r="T13">
        <f>K13*0.25</f>
        <v>62.5</v>
      </c>
    </row>
  </sheetData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E40A2-0352-B744-BB5D-40DBFBFA564D}">
  <dimension ref="A1:H45"/>
  <sheetViews>
    <sheetView workbookViewId="0">
      <selection activeCell="C2" sqref="C2"/>
    </sheetView>
  </sheetViews>
  <sheetFormatPr baseColWidth="10" defaultRowHeight="16"/>
  <cols>
    <col min="1" max="1" width="23.83203125" bestFit="1" customWidth="1"/>
    <col min="2" max="3" width="12.1640625" bestFit="1" customWidth="1"/>
    <col min="4" max="4" width="14.6640625" customWidth="1"/>
  </cols>
  <sheetData>
    <row r="1" spans="1:8">
      <c r="A1" s="84" t="s">
        <v>693</v>
      </c>
      <c r="B1" t="s">
        <v>737</v>
      </c>
      <c r="C1" t="s">
        <v>738</v>
      </c>
      <c r="D1" t="s">
        <v>775</v>
      </c>
    </row>
    <row r="2" spans="1:8" ht="17">
      <c r="A2" s="84" t="s">
        <v>736</v>
      </c>
      <c r="B2">
        <v>365.25</v>
      </c>
      <c r="C2" s="94">
        <v>365.24250000000001</v>
      </c>
      <c r="D2">
        <v>360</v>
      </c>
    </row>
    <row r="3" spans="1:8">
      <c r="A3" t="s">
        <v>9</v>
      </c>
      <c r="B3">
        <f>B2*3600*24</f>
        <v>31557600</v>
      </c>
      <c r="C3" s="48">
        <f>C2*3600*24</f>
        <v>31556952</v>
      </c>
      <c r="D3">
        <f>D2*3600*24</f>
        <v>31104000</v>
      </c>
      <c r="E3" t="s">
        <v>133</v>
      </c>
    </row>
    <row r="4" spans="1:8">
      <c r="A4" t="s">
        <v>169</v>
      </c>
      <c r="B4">
        <f>B3/3600</f>
        <v>8766</v>
      </c>
      <c r="C4" s="48">
        <f>C3/3600</f>
        <v>8765.82</v>
      </c>
      <c r="D4">
        <f>D3/3600</f>
        <v>8640</v>
      </c>
    </row>
    <row r="5" spans="1:8">
      <c r="A5" t="s">
        <v>0</v>
      </c>
      <c r="B5">
        <v>9460700000000000</v>
      </c>
    </row>
    <row r="6" spans="1:8">
      <c r="A6" t="s">
        <v>15</v>
      </c>
      <c r="B6" s="3">
        <v>299792458</v>
      </c>
      <c r="C6" s="3">
        <f>B6*B6</f>
        <v>8.987551787368176E+16</v>
      </c>
    </row>
    <row r="7" spans="1:8">
      <c r="A7" t="s">
        <v>180</v>
      </c>
      <c r="B7" s="3">
        <v>6.0220000000000003E+23</v>
      </c>
      <c r="E7">
        <v>2130</v>
      </c>
    </row>
    <row r="8" spans="1:8">
      <c r="A8" t="s">
        <v>341</v>
      </c>
      <c r="B8" s="3">
        <f>3*SQRT(3)</f>
        <v>5.196152422706632</v>
      </c>
      <c r="C8">
        <f>1.4422*3</f>
        <v>4.3266</v>
      </c>
    </row>
    <row r="9" spans="1:8">
      <c r="A9" t="s">
        <v>596</v>
      </c>
      <c r="B9">
        <v>1.2250000000000001</v>
      </c>
      <c r="C9" t="s">
        <v>214</v>
      </c>
    </row>
    <row r="10" spans="1:8">
      <c r="A10" t="s">
        <v>316</v>
      </c>
      <c r="B10">
        <v>1700</v>
      </c>
      <c r="C10" t="s">
        <v>214</v>
      </c>
    </row>
    <row r="11" spans="1:8">
      <c r="A11" t="s">
        <v>10</v>
      </c>
      <c r="B11">
        <v>9.8000000000000007</v>
      </c>
      <c r="C11" t="s">
        <v>4</v>
      </c>
    </row>
    <row r="13" spans="1:8">
      <c r="A13" s="84" t="s">
        <v>225</v>
      </c>
    </row>
    <row r="14" spans="1:8">
      <c r="A14" t="s">
        <v>75</v>
      </c>
      <c r="C14" t="s">
        <v>77</v>
      </c>
      <c r="D14" t="s">
        <v>143</v>
      </c>
      <c r="E14" t="s">
        <v>18</v>
      </c>
      <c r="F14" t="s">
        <v>690</v>
      </c>
      <c r="G14" t="s">
        <v>691</v>
      </c>
      <c r="H14" t="s">
        <v>692</v>
      </c>
    </row>
    <row r="15" spans="1:8">
      <c r="A15" t="s">
        <v>690</v>
      </c>
      <c r="C15">
        <v>4.0468600000000002E-3</v>
      </c>
      <c r="D15" s="43">
        <f>1/F17</f>
        <v>0.40468564300507887</v>
      </c>
      <c r="E15">
        <v>4046.8564200000001</v>
      </c>
      <c r="F15">
        <v>1</v>
      </c>
      <c r="G15">
        <v>1.5625000000000001E-3</v>
      </c>
    </row>
    <row r="16" spans="1:8" ht="17">
      <c r="A16" t="s">
        <v>77</v>
      </c>
      <c r="C16">
        <v>1</v>
      </c>
      <c r="D16">
        <v>100</v>
      </c>
      <c r="E16">
        <f>E17*D16</f>
        <v>1000000</v>
      </c>
      <c r="F16">
        <v>247.10538099999999</v>
      </c>
      <c r="G16" s="80">
        <v>0.38610216000000003</v>
      </c>
    </row>
    <row r="17" spans="1:8" ht="17">
      <c r="A17" t="s">
        <v>143</v>
      </c>
      <c r="C17">
        <f>1/D16</f>
        <v>0.01</v>
      </c>
      <c r="D17">
        <v>1</v>
      </c>
      <c r="E17" s="61">
        <v>10000</v>
      </c>
      <c r="F17" s="81">
        <v>2.4710538099999999</v>
      </c>
      <c r="G17">
        <v>3.8610200000000002E-3</v>
      </c>
    </row>
    <row r="18" spans="1:8" ht="17">
      <c r="A18" t="s">
        <v>18</v>
      </c>
      <c r="C18">
        <v>9.9999999999999995E-7</v>
      </c>
      <c r="D18">
        <f>1/E17</f>
        <v>1E-4</v>
      </c>
      <c r="E18" s="61">
        <v>1</v>
      </c>
      <c r="F18" s="83">
        <v>2.4710999999999998E-4</v>
      </c>
      <c r="G18" s="3">
        <v>3.861E-7</v>
      </c>
      <c r="H18">
        <v>10.76</v>
      </c>
    </row>
    <row r="21" spans="1:8">
      <c r="A21" s="84" t="s">
        <v>501</v>
      </c>
    </row>
    <row r="22" spans="1:8" ht="17">
      <c r="A22" t="s">
        <v>431</v>
      </c>
      <c r="D22" s="82">
        <v>2241.7023100000001</v>
      </c>
    </row>
    <row r="23" spans="1:8" ht="20">
      <c r="A23" t="s">
        <v>19</v>
      </c>
      <c r="B23" s="20">
        <f>13790*3</f>
        <v>41370</v>
      </c>
      <c r="C23" t="s">
        <v>21</v>
      </c>
    </row>
    <row r="24" spans="1:8">
      <c r="A24" t="s">
        <v>20</v>
      </c>
      <c r="B24">
        <f>27.4</f>
        <v>27.4</v>
      </c>
    </row>
    <row r="25" spans="1:8">
      <c r="A25" t="s">
        <v>247</v>
      </c>
      <c r="B25" t="s">
        <v>252</v>
      </c>
    </row>
    <row r="26" spans="1:8">
      <c r="A26" t="s">
        <v>248</v>
      </c>
      <c r="B26">
        <v>640</v>
      </c>
      <c r="C26" t="s">
        <v>249</v>
      </c>
    </row>
    <row r="27" spans="1:8">
      <c r="A27" t="s">
        <v>250</v>
      </c>
      <c r="B27">
        <v>240</v>
      </c>
      <c r="C27" t="s">
        <v>249</v>
      </c>
    </row>
    <row r="28" spans="1:8">
      <c r="A28" t="s">
        <v>211</v>
      </c>
      <c r="B28">
        <v>8.4499999999999993</v>
      </c>
      <c r="C28" t="s">
        <v>251</v>
      </c>
      <c r="E28" t="s">
        <v>52</v>
      </c>
    </row>
    <row r="29" spans="1:8">
      <c r="A29" t="s">
        <v>25</v>
      </c>
      <c r="B29" s="3">
        <v>6668000000000000</v>
      </c>
      <c r="C29" t="s">
        <v>49</v>
      </c>
      <c r="D29" s="4">
        <f>B29/(Vehicle!B79+Vehicle!B73)</f>
        <v>1532291.5790548786</v>
      </c>
    </row>
    <row r="30" spans="1:8">
      <c r="A30" t="s">
        <v>50</v>
      </c>
      <c r="B30" s="3">
        <v>9.1E+20</v>
      </c>
      <c r="C30" s="22"/>
      <c r="D30" s="4">
        <f>B30/(Vehicle!B55+Vehicle!B92)</f>
        <v>35201810028.374557</v>
      </c>
    </row>
    <row r="31" spans="1:8">
      <c r="A31" t="s">
        <v>177</v>
      </c>
      <c r="B31">
        <v>104600</v>
      </c>
      <c r="C31" s="22" t="s">
        <v>991</v>
      </c>
      <c r="D31" s="3">
        <f>B31*1016.05</f>
        <v>106278830</v>
      </c>
      <c r="E31" t="s">
        <v>49</v>
      </c>
    </row>
    <row r="32" spans="1:8">
      <c r="A32" t="s">
        <v>887</v>
      </c>
      <c r="B32" s="54">
        <v>72000</v>
      </c>
      <c r="C32" s="22" t="s">
        <v>991</v>
      </c>
      <c r="D32" s="3">
        <f>B32*1016.05</f>
        <v>73155600</v>
      </c>
      <c r="E32" t="s">
        <v>49</v>
      </c>
    </row>
    <row r="33" spans="1:7">
      <c r="A33" t="s">
        <v>732</v>
      </c>
      <c r="B33">
        <v>0.74569987000000004</v>
      </c>
    </row>
    <row r="34" spans="1:7">
      <c r="A34" t="s">
        <v>733</v>
      </c>
      <c r="B34">
        <f>1/B33</f>
        <v>1.3410220924404881</v>
      </c>
    </row>
    <row r="35" spans="1:7">
      <c r="A35" t="s">
        <v>734</v>
      </c>
      <c r="B35" s="3">
        <v>312</v>
      </c>
      <c r="C35" t="s">
        <v>224</v>
      </c>
      <c r="D35" t="s">
        <v>223</v>
      </c>
    </row>
    <row r="37" spans="1:7">
      <c r="A37" t="s">
        <v>167</v>
      </c>
      <c r="B37" s="48">
        <f>1000/B3</f>
        <v>3.1688087814028949E-5</v>
      </c>
      <c r="C37" s="48">
        <f>1/B37</f>
        <v>31557.600000000002</v>
      </c>
    </row>
    <row r="38" spans="1:7">
      <c r="A38" t="s">
        <v>771</v>
      </c>
      <c r="B38" s="48">
        <f>1000/(3600*24)</f>
        <v>1.1574074074074073E-2</v>
      </c>
      <c r="C38">
        <f>1/B38</f>
        <v>86.4</v>
      </c>
    </row>
    <row r="40" spans="1:7">
      <c r="A40" t="s">
        <v>219</v>
      </c>
      <c r="B40" s="48">
        <f>41868/1000</f>
        <v>41.868000000000002</v>
      </c>
      <c r="D40" t="s">
        <v>220</v>
      </c>
    </row>
    <row r="41" spans="1:7">
      <c r="A41" t="s">
        <v>599</v>
      </c>
      <c r="B41">
        <v>333</v>
      </c>
      <c r="C41" t="s">
        <v>3</v>
      </c>
    </row>
    <row r="42" spans="1:7">
      <c r="A42" t="s">
        <v>601</v>
      </c>
      <c r="B42">
        <v>109.72799999999999</v>
      </c>
      <c r="C42" t="s">
        <v>3</v>
      </c>
    </row>
    <row r="44" spans="1:7">
      <c r="A44" t="s">
        <v>740</v>
      </c>
      <c r="B44" s="4">
        <v>3.24</v>
      </c>
      <c r="C44" t="s">
        <v>600</v>
      </c>
      <c r="D44">
        <v>550</v>
      </c>
      <c r="E44" t="s">
        <v>3</v>
      </c>
      <c r="F44">
        <f>B44/D44*Conversion!B41</f>
        <v>1.9616727272727275</v>
      </c>
      <c r="G44" t="s">
        <v>600</v>
      </c>
    </row>
    <row r="45" spans="1:7">
      <c r="A45" t="s">
        <v>741</v>
      </c>
      <c r="B45">
        <v>7.2</v>
      </c>
      <c r="C45" t="s">
        <v>600</v>
      </c>
      <c r="D45">
        <f>Vehicle!B45*2</f>
        <v>520</v>
      </c>
      <c r="E45" t="s">
        <v>3</v>
      </c>
      <c r="F45">
        <f>B45/D45*Conversion!B42</f>
        <v>1.5193107692307692</v>
      </c>
      <c r="G45" t="s">
        <v>600</v>
      </c>
    </row>
  </sheetData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83514-39E3-3B40-8427-EAE05288B8F8}">
  <dimension ref="A1:S64"/>
  <sheetViews>
    <sheetView workbookViewId="0">
      <selection activeCell="R7" sqref="R7"/>
    </sheetView>
  </sheetViews>
  <sheetFormatPr baseColWidth="10" defaultRowHeight="16"/>
  <cols>
    <col min="5" max="5" width="14.83203125" customWidth="1"/>
    <col min="6" max="6" width="16.6640625" bestFit="1" customWidth="1"/>
    <col min="7" max="9" width="14.1640625" customWidth="1"/>
    <col min="13" max="13" width="14.83203125" bestFit="1" customWidth="1"/>
  </cols>
  <sheetData>
    <row r="1" spans="1:19">
      <c r="A1" t="s">
        <v>359</v>
      </c>
      <c r="E1" s="4">
        <f>Vehicle!B18</f>
        <v>650</v>
      </c>
      <c r="G1" s="127" t="s">
        <v>858</v>
      </c>
      <c r="H1" s="127">
        <v>847</v>
      </c>
      <c r="I1" s="131"/>
      <c r="J1" s="128" t="s">
        <v>868</v>
      </c>
      <c r="K1" s="128"/>
      <c r="L1" s="131" t="s">
        <v>878</v>
      </c>
      <c r="M1" s="131"/>
      <c r="O1">
        <f>80*50</f>
        <v>4000</v>
      </c>
    </row>
    <row r="2" spans="1:19">
      <c r="A2" t="s">
        <v>349</v>
      </c>
      <c r="E2">
        <f>Vehicle!B68</f>
        <v>10000</v>
      </c>
      <c r="F2" t="s">
        <v>324</v>
      </c>
      <c r="G2" s="127" t="s">
        <v>865</v>
      </c>
      <c r="H2" s="127" t="s">
        <v>859</v>
      </c>
      <c r="I2" s="131"/>
      <c r="J2" s="128">
        <f>H4*H4*(3*SQRT(3)/8)</f>
        <v>889.19158333567236</v>
      </c>
      <c r="K2" s="128" t="s">
        <v>18</v>
      </c>
      <c r="L2" s="131">
        <f>Vehicle!B11/F20</f>
        <v>8.3333290018300108</v>
      </c>
      <c r="M2" s="131">
        <f>J2/8</f>
        <v>111.14894791695905</v>
      </c>
      <c r="O2" s="127">
        <f>SQRT(O1*8/(3*SQRT(3)))</f>
        <v>78.475492170205655</v>
      </c>
    </row>
    <row r="3" spans="1:19">
      <c r="A3" t="s">
        <v>7</v>
      </c>
      <c r="E3" s="43">
        <v>9.8000000000000007</v>
      </c>
      <c r="G3" s="127" t="s">
        <v>866</v>
      </c>
      <c r="H3" s="127">
        <f>SQRT(H1*8/(3*SQRT(3)))</f>
        <v>36.111519048769395</v>
      </c>
      <c r="I3" s="131"/>
      <c r="J3" s="128">
        <f>J2*Conversion!$H$18</f>
        <v>9567.7014366918338</v>
      </c>
      <c r="K3" s="128" t="s">
        <v>692</v>
      </c>
      <c r="L3" s="131"/>
      <c r="M3" s="131"/>
    </row>
    <row r="4" spans="1:19">
      <c r="A4" t="s">
        <v>361</v>
      </c>
      <c r="E4" s="43">
        <f>SQRT(E3*1.05/E1)</f>
        <v>0.1258203847982084</v>
      </c>
      <c r="F4">
        <f>E3/E1</f>
        <v>1.5076923076923078E-2</v>
      </c>
      <c r="G4" s="127" t="s">
        <v>867</v>
      </c>
      <c r="H4" s="127">
        <v>37</v>
      </c>
      <c r="I4" s="131">
        <f>35.3/2</f>
        <v>17.649999999999999</v>
      </c>
      <c r="J4" s="129">
        <f>J2*Conversion!F18</f>
        <v>0.21972813215807799</v>
      </c>
      <c r="K4" s="128" t="s">
        <v>28</v>
      </c>
      <c r="L4" s="131"/>
      <c r="M4" s="131"/>
      <c r="O4" t="s">
        <v>888</v>
      </c>
    </row>
    <row r="5" spans="1:19">
      <c r="A5" t="s">
        <v>360</v>
      </c>
      <c r="E5" s="43">
        <f>E4*30/PI()</f>
        <v>1.2014961709415539</v>
      </c>
      <c r="G5" s="127" t="s">
        <v>862</v>
      </c>
      <c r="H5" s="127">
        <v>42</v>
      </c>
      <c r="I5" s="131" t="s">
        <v>860</v>
      </c>
      <c r="J5" s="131"/>
      <c r="K5" s="131"/>
      <c r="L5" s="131"/>
      <c r="M5" s="131"/>
      <c r="O5" t="s">
        <v>889</v>
      </c>
      <c r="P5">
        <f>H4</f>
        <v>37</v>
      </c>
      <c r="R5">
        <v>100</v>
      </c>
    </row>
    <row r="6" spans="1:19">
      <c r="A6" t="s">
        <v>372</v>
      </c>
      <c r="E6" s="43">
        <f>Vehicle!B66</f>
        <v>179.54618916474604</v>
      </c>
      <c r="G6" s="127" t="s">
        <v>863</v>
      </c>
      <c r="H6" s="127" t="s">
        <v>864</v>
      </c>
      <c r="I6" s="130">
        <v>0</v>
      </c>
      <c r="J6" s="130">
        <v>0</v>
      </c>
      <c r="K6" s="130"/>
      <c r="L6" s="130" t="s">
        <v>225</v>
      </c>
      <c r="M6" s="130" t="s">
        <v>861</v>
      </c>
      <c r="O6" t="s">
        <v>891</v>
      </c>
      <c r="P6">
        <f>P5/2</f>
        <v>18.5</v>
      </c>
      <c r="R6">
        <f>R5/2</f>
        <v>50</v>
      </c>
    </row>
    <row r="7" spans="1:19">
      <c r="A7" t="s">
        <v>375</v>
      </c>
      <c r="E7" s="43">
        <f>2*E1*PI()/6</f>
        <v>680.67840827778844</v>
      </c>
      <c r="G7" s="127">
        <v>0</v>
      </c>
      <c r="H7" s="127">
        <v>1</v>
      </c>
      <c r="I7" s="127">
        <f t="shared" ref="I7:I14" si="0">$H$4*0.5+$H$5*G7</f>
        <v>18.5</v>
      </c>
      <c r="J7" s="127">
        <f t="shared" ref="J7:J12" si="1">J6+H7</f>
        <v>1</v>
      </c>
      <c r="K7" s="127">
        <f t="shared" ref="K7:K14" si="2">J7*$J$2</f>
        <v>889.19158333567236</v>
      </c>
      <c r="L7" s="127">
        <f t="shared" ref="L7:L14" si="3">I7*I7*PI()</f>
        <v>1075.2100856911068</v>
      </c>
      <c r="M7" s="127">
        <f t="shared" ref="M7:M14" si="4">K7/L7</f>
        <v>0.82699334313268802</v>
      </c>
      <c r="O7" t="s">
        <v>890</v>
      </c>
      <c r="P7">
        <f>COS(30*PI()/180)*P6</f>
        <v>16.021469970012117</v>
      </c>
      <c r="Q7">
        <f>P7*2</f>
        <v>32.042939940024233</v>
      </c>
      <c r="R7">
        <f>COS(30*PI()/180)*R6</f>
        <v>43.301270189221938</v>
      </c>
      <c r="S7">
        <f>R7*2</f>
        <v>86.602540378443877</v>
      </c>
    </row>
    <row r="8" spans="1:19">
      <c r="A8" t="s">
        <v>373</v>
      </c>
      <c r="E8">
        <f>$F$4*($E$1-E41)/9.8</f>
        <v>0.2</v>
      </c>
      <c r="G8" s="127">
        <f>G7+1</f>
        <v>1</v>
      </c>
      <c r="H8" s="127">
        <v>6</v>
      </c>
      <c r="I8" s="127">
        <f t="shared" si="0"/>
        <v>60.5</v>
      </c>
      <c r="J8" s="127">
        <f t="shared" si="1"/>
        <v>7</v>
      </c>
      <c r="K8" s="127">
        <f t="shared" si="2"/>
        <v>6224.3410833497064</v>
      </c>
      <c r="L8" s="127">
        <f t="shared" si="3"/>
        <v>11499.01451030204</v>
      </c>
      <c r="M8" s="127">
        <f t="shared" si="4"/>
        <v>0.54129343673523322</v>
      </c>
      <c r="O8" t="s">
        <v>892</v>
      </c>
      <c r="P8">
        <f>P7*2/SQRT(3)</f>
        <v>18.500000000000004</v>
      </c>
      <c r="R8">
        <f>R7*2/SQRT(3)</f>
        <v>50.000000000000007</v>
      </c>
    </row>
    <row r="9" spans="1:19">
      <c r="G9" s="127">
        <f t="shared" ref="G9:G12" si="5">G8+1</f>
        <v>2</v>
      </c>
      <c r="H9" s="127">
        <v>12</v>
      </c>
      <c r="I9" s="127">
        <f t="shared" si="0"/>
        <v>102.5</v>
      </c>
      <c r="J9" s="127">
        <f t="shared" si="1"/>
        <v>19</v>
      </c>
      <c r="K9" s="127">
        <f t="shared" si="2"/>
        <v>16894.640083377773</v>
      </c>
      <c r="L9" s="127">
        <f t="shared" si="3"/>
        <v>33006.357816777767</v>
      </c>
      <c r="M9" s="127">
        <f t="shared" si="4"/>
        <v>0.51186017485364299</v>
      </c>
    </row>
    <row r="10" spans="1:19">
      <c r="A10" t="s">
        <v>579</v>
      </c>
      <c r="C10" s="4">
        <f>Geometry!E41</f>
        <v>520</v>
      </c>
      <c r="D10" s="4">
        <f>Geometry!E40</f>
        <v>260</v>
      </c>
      <c r="E10">
        <f>D10*D10</f>
        <v>67600</v>
      </c>
      <c r="G10" s="127">
        <f t="shared" si="5"/>
        <v>3</v>
      </c>
      <c r="H10" s="127">
        <v>18</v>
      </c>
      <c r="I10" s="127">
        <f t="shared" si="0"/>
        <v>144.5</v>
      </c>
      <c r="J10" s="127">
        <f t="shared" si="1"/>
        <v>37</v>
      </c>
      <c r="K10" s="127">
        <f t="shared" si="2"/>
        <v>32900.088583419878</v>
      </c>
      <c r="L10" s="127">
        <f t="shared" si="3"/>
        <v>65597.240005118278</v>
      </c>
      <c r="M10" s="127">
        <f t="shared" si="4"/>
        <v>0.50154684222770385</v>
      </c>
    </row>
    <row r="11" spans="1:19">
      <c r="A11" t="s">
        <v>604</v>
      </c>
      <c r="C11" s="4">
        <v>0.9</v>
      </c>
      <c r="D11" s="4">
        <f>C10*C11</f>
        <v>468</v>
      </c>
      <c r="G11" s="127">
        <f t="shared" si="5"/>
        <v>4</v>
      </c>
      <c r="H11" s="127">
        <v>24</v>
      </c>
      <c r="I11" s="127">
        <f t="shared" si="0"/>
        <v>186.5</v>
      </c>
      <c r="J11" s="127">
        <f t="shared" si="1"/>
        <v>61</v>
      </c>
      <c r="K11" s="127">
        <f t="shared" si="2"/>
        <v>54240.686583476017</v>
      </c>
      <c r="L11" s="127">
        <f t="shared" si="3"/>
        <v>109271.66107532359</v>
      </c>
      <c r="M11" s="127">
        <f t="shared" si="4"/>
        <v>0.4963838386796976</v>
      </c>
    </row>
    <row r="12" spans="1:19">
      <c r="A12" t="s">
        <v>361</v>
      </c>
      <c r="C12" s="4">
        <f>Geometry!E4</f>
        <v>0.1258203847982084</v>
      </c>
      <c r="D12" s="4">
        <f>C12*C12</f>
        <v>1.5830769230769232E-2</v>
      </c>
      <c r="G12" s="127">
        <f t="shared" si="5"/>
        <v>5</v>
      </c>
      <c r="H12" s="127">
        <f>H11+6</f>
        <v>30</v>
      </c>
      <c r="I12" s="127">
        <f t="shared" si="0"/>
        <v>228.5</v>
      </c>
      <c r="J12" s="127">
        <f t="shared" si="1"/>
        <v>91</v>
      </c>
      <c r="K12" s="127">
        <f t="shared" si="2"/>
        <v>80916.434083546192</v>
      </c>
      <c r="L12" s="127">
        <f t="shared" si="3"/>
        <v>164029.62102739367</v>
      </c>
      <c r="M12" s="127">
        <f t="shared" si="4"/>
        <v>0.49330379218539305</v>
      </c>
    </row>
    <row r="13" spans="1:19">
      <c r="A13" t="s">
        <v>580</v>
      </c>
      <c r="C13" s="4">
        <f>Geometry!E1</f>
        <v>650</v>
      </c>
      <c r="G13" s="127">
        <f t="shared" ref="G13" si="6">G12+1</f>
        <v>6</v>
      </c>
      <c r="H13" s="127">
        <f>H12+6</f>
        <v>36</v>
      </c>
      <c r="I13" s="127">
        <f t="shared" si="0"/>
        <v>270.5</v>
      </c>
      <c r="J13" s="127">
        <f t="shared" ref="J13" si="7">J12+H13</f>
        <v>127</v>
      </c>
      <c r="K13" s="127">
        <f t="shared" si="2"/>
        <v>112927.33108363039</v>
      </c>
      <c r="L13" s="127">
        <f t="shared" si="3"/>
        <v>229871.11986132857</v>
      </c>
      <c r="M13" s="127">
        <f t="shared" si="4"/>
        <v>0.49126367484421107</v>
      </c>
    </row>
    <row r="14" spans="1:19">
      <c r="A14" t="s">
        <v>727</v>
      </c>
      <c r="C14" s="4">
        <f>Vehicle!B12</f>
        <v>3</v>
      </c>
      <c r="G14" s="127">
        <f t="shared" ref="G14" si="8">G13+1</f>
        <v>7</v>
      </c>
      <c r="H14" s="127">
        <f>H13+6</f>
        <v>42</v>
      </c>
      <c r="I14" s="127">
        <f t="shared" si="0"/>
        <v>312.5</v>
      </c>
      <c r="J14" s="127">
        <f t="shared" ref="J14" si="9">J13+H14</f>
        <v>169</v>
      </c>
      <c r="K14" s="127">
        <f t="shared" si="2"/>
        <v>150273.37758372864</v>
      </c>
      <c r="L14" s="127">
        <f t="shared" si="3"/>
        <v>306796.15757712821</v>
      </c>
      <c r="M14" s="127">
        <f t="shared" si="4"/>
        <v>0.48981505756293603</v>
      </c>
    </row>
    <row r="15" spans="1:19">
      <c r="A15" t="s">
        <v>581</v>
      </c>
      <c r="C15" s="4">
        <v>5</v>
      </c>
      <c r="D15">
        <f>C15*3.2808399</f>
        <v>16.404199500000001</v>
      </c>
      <c r="E15" t="s">
        <v>582</v>
      </c>
      <c r="F15" s="54"/>
    </row>
    <row r="16" spans="1:19">
      <c r="A16" t="s">
        <v>578</v>
      </c>
      <c r="C16" s="54">
        <v>5</v>
      </c>
      <c r="D16">
        <f>C16*3.2808399</f>
        <v>16.404199500000001</v>
      </c>
      <c r="G16" t="s">
        <v>746</v>
      </c>
      <c r="K16" s="54"/>
    </row>
    <row r="17" spans="1:13">
      <c r="A17" t="s">
        <v>603</v>
      </c>
      <c r="C17">
        <f>SUM(Gravity!I:I)</f>
        <v>149.05855855855856</v>
      </c>
      <c r="F17" t="s">
        <v>869</v>
      </c>
    </row>
    <row r="18" spans="1:13">
      <c r="A18" t="s">
        <v>340</v>
      </c>
      <c r="C18" s="3">
        <f>SUM(Gravity!J:J)</f>
        <v>12640753.041718528</v>
      </c>
      <c r="D18" s="4">
        <f>C18*Conversion!F18</f>
        <v>3123.656484139065</v>
      </c>
      <c r="H18" t="s">
        <v>365</v>
      </c>
    </row>
    <row r="19" spans="1:13">
      <c r="A19" t="s">
        <v>607</v>
      </c>
      <c r="C19" s="5">
        <f>SUM(Gravity!P:P)*2/3</f>
        <v>192065.46012550523</v>
      </c>
      <c r="D19">
        <f>Vehicle!B33/$C$14</f>
        <v>161874.2568</v>
      </c>
      <c r="E19" s="39">
        <f>C19/D19</f>
        <v>1.1865102204781535</v>
      </c>
      <c r="F19">
        <f>C19/$J$2</f>
        <v>216.00008786070569</v>
      </c>
      <c r="G19" t="s">
        <v>747</v>
      </c>
      <c r="H19">
        <v>0</v>
      </c>
      <c r="I19">
        <v>5</v>
      </c>
    </row>
    <row r="20" spans="1:13">
      <c r="A20" t="s">
        <v>608</v>
      </c>
      <c r="C20" s="5">
        <f>SUM(Gravity!O:O)</f>
        <v>320109.13638729654</v>
      </c>
      <c r="D20">
        <f>Vehicle!B32/$C$14</f>
        <v>367118.40978087502</v>
      </c>
      <c r="E20" s="39">
        <f>C20/D20</f>
        <v>0.87195065095853597</v>
      </c>
      <c r="F20">
        <f t="shared" ref="F20:F23" si="10">C20/$J$2</f>
        <v>360.00018712104077</v>
      </c>
      <c r="G20" t="s">
        <v>609</v>
      </c>
      <c r="H20">
        <v>1</v>
      </c>
      <c r="I20">
        <v>5</v>
      </c>
      <c r="M20">
        <f>15.5*12</f>
        <v>186</v>
      </c>
    </row>
    <row r="21" spans="1:13">
      <c r="A21" t="s">
        <v>609</v>
      </c>
      <c r="C21" s="5">
        <f>SUM(Gravity!M:N)+SUM(Gravity!P:P)*1/3</f>
        <v>3633404.1184802265</v>
      </c>
      <c r="D21">
        <f>Vehicle!B31/$C$14</f>
        <v>3486062.5885935486</v>
      </c>
      <c r="E21" s="39">
        <f>C21/D21</f>
        <v>1.042265887700577</v>
      </c>
      <c r="F21">
        <f t="shared" si="10"/>
        <v>4086.1881585181468</v>
      </c>
      <c r="G21" t="s">
        <v>872</v>
      </c>
      <c r="H21">
        <v>2</v>
      </c>
      <c r="I21">
        <v>15</v>
      </c>
      <c r="M21">
        <f>18*10</f>
        <v>180</v>
      </c>
    </row>
    <row r="22" spans="1:13">
      <c r="A22" t="s">
        <v>712</v>
      </c>
      <c r="C22" s="5">
        <f>SUM(Gravity!Q:Q)</f>
        <v>240081.78750063153</v>
      </c>
      <c r="D22">
        <f>Vehicle!B34/$C$14</f>
        <v>680035.78512996098</v>
      </c>
      <c r="E22" s="39">
        <f>C22/D22</f>
        <v>0.35304287325813266</v>
      </c>
      <c r="F22">
        <f t="shared" si="10"/>
        <v>270.00006747702196</v>
      </c>
      <c r="G22" t="s">
        <v>873</v>
      </c>
      <c r="H22">
        <v>3</v>
      </c>
      <c r="I22">
        <v>5</v>
      </c>
    </row>
    <row r="23" spans="1:13">
      <c r="A23" t="s">
        <v>722</v>
      </c>
      <c r="C23" s="5">
        <f>SUM(Gravity!R:R)</f>
        <v>240165.0608339649</v>
      </c>
      <c r="D23">
        <f>Vehicle!B35/$C$14</f>
        <v>261333.33333333334</v>
      </c>
      <c r="E23" s="39">
        <f>C23/D23</f>
        <v>0.91899895727282488</v>
      </c>
      <c r="F23">
        <f t="shared" si="10"/>
        <v>270.09371808606278</v>
      </c>
      <c r="G23" t="s">
        <v>879</v>
      </c>
      <c r="H23">
        <v>4</v>
      </c>
      <c r="I23">
        <v>15</v>
      </c>
    </row>
    <row r="24" spans="1:13">
      <c r="A24" t="s">
        <v>747</v>
      </c>
      <c r="C24" s="5">
        <f>SUM(Gravity!S:S)</f>
        <v>189397.80725049772</v>
      </c>
      <c r="E24" s="39"/>
      <c r="G24" t="s">
        <v>874</v>
      </c>
      <c r="H24">
        <v>5</v>
      </c>
      <c r="I24">
        <v>5</v>
      </c>
    </row>
    <row r="25" spans="1:13">
      <c r="A25" t="s">
        <v>365</v>
      </c>
      <c r="C25" s="5"/>
      <c r="E25" s="39"/>
      <c r="G25" t="s">
        <v>722</v>
      </c>
      <c r="H25">
        <v>6</v>
      </c>
      <c r="I25">
        <v>5</v>
      </c>
    </row>
    <row r="26" spans="1:13">
      <c r="A26" t="s">
        <v>728</v>
      </c>
      <c r="C26" s="93">
        <f>SUM(J19:J23)</f>
        <v>0</v>
      </c>
      <c r="E26" s="39"/>
      <c r="G26" t="s">
        <v>876</v>
      </c>
      <c r="H26">
        <v>7</v>
      </c>
      <c r="I26">
        <v>5</v>
      </c>
    </row>
    <row r="28" spans="1:13">
      <c r="A28" t="s">
        <v>743</v>
      </c>
      <c r="B28">
        <f>LOOKUP(C28,Gravity!D:D,Gravity!A:A)</f>
        <v>46</v>
      </c>
      <c r="C28" s="4">
        <f>C13-C10+D10</f>
        <v>390</v>
      </c>
      <c r="D28">
        <f>LOOKUP(B28,Gravity!A:A,Gravity!H:H)</f>
        <v>260</v>
      </c>
    </row>
    <row r="29" spans="1:13">
      <c r="C29" s="4"/>
    </row>
    <row r="30" spans="1:13">
      <c r="A30" t="s">
        <v>366</v>
      </c>
      <c r="E30" t="s">
        <v>597</v>
      </c>
    </row>
    <row r="31" spans="1:13">
      <c r="A31" t="s">
        <v>340</v>
      </c>
      <c r="E31" s="3">
        <f>Vehicle!B37</f>
        <v>14085273.120913155</v>
      </c>
    </row>
    <row r="32" spans="1:13">
      <c r="A32" t="s">
        <v>342</v>
      </c>
      <c r="E32">
        <f>Vehicle!B12</f>
        <v>3</v>
      </c>
    </row>
    <row r="33" spans="1:9">
      <c r="A33" t="s">
        <v>856</v>
      </c>
      <c r="E33">
        <f>E1/IF(E32=3,5,IF(E32=6,2))</f>
        <v>130</v>
      </c>
    </row>
    <row r="34" spans="1:9">
      <c r="A34" t="s">
        <v>344</v>
      </c>
      <c r="E34" s="44">
        <f>E31/E32</f>
        <v>4695091.0403043851</v>
      </c>
      <c r="F34" s="44"/>
    </row>
    <row r="35" spans="1:9">
      <c r="E35" s="24">
        <f>E36/$E$34</f>
        <v>3.1747746162744276E-5</v>
      </c>
      <c r="F35" s="24"/>
      <c r="G35" s="39"/>
      <c r="H35" s="39"/>
      <c r="I35" s="39"/>
    </row>
    <row r="36" spans="1:9">
      <c r="A36" t="s">
        <v>345</v>
      </c>
      <c r="E36" s="44">
        <f>SUM(Gravity!I:I)</f>
        <v>149.05855855855856</v>
      </c>
      <c r="F36" s="44"/>
      <c r="G36" s="66"/>
      <c r="H36" s="66"/>
      <c r="I36" s="66"/>
    </row>
    <row r="37" spans="1:9">
      <c r="A37" t="s">
        <v>343</v>
      </c>
      <c r="E37" s="54">
        <v>5</v>
      </c>
    </row>
    <row r="38" spans="1:9">
      <c r="A38" t="s">
        <v>315</v>
      </c>
      <c r="E38" s="54">
        <f>Geometry!C17</f>
        <v>149.05855855855856</v>
      </c>
      <c r="G38" s="4"/>
      <c r="H38" s="4"/>
      <c r="I38" s="4"/>
    </row>
    <row r="39" spans="1:9" ht="15" customHeight="1">
      <c r="A39" t="s">
        <v>368</v>
      </c>
      <c r="E39" s="4">
        <v>1</v>
      </c>
      <c r="F39" s="4"/>
    </row>
    <row r="40" spans="1:9">
      <c r="A40" t="s">
        <v>134</v>
      </c>
      <c r="E40" s="4">
        <f>E41/2</f>
        <v>260</v>
      </c>
      <c r="F40" s="4">
        <f>E40*2</f>
        <v>520</v>
      </c>
      <c r="H40" s="4"/>
    </row>
    <row r="41" spans="1:9">
      <c r="A41" t="s">
        <v>365</v>
      </c>
      <c r="E41" s="4">
        <f>E1-E33</f>
        <v>520</v>
      </c>
      <c r="F41" s="4"/>
      <c r="G41">
        <f>E41*2+E33*2</f>
        <v>1300</v>
      </c>
    </row>
    <row r="42" spans="1:9">
      <c r="A42" t="s">
        <v>370</v>
      </c>
      <c r="E42" s="4">
        <f>E40*2</f>
        <v>520</v>
      </c>
      <c r="F42" s="4"/>
    </row>
    <row r="43" spans="1:9">
      <c r="A43" t="s">
        <v>350</v>
      </c>
      <c r="E43" s="4"/>
      <c r="H43" s="4"/>
    </row>
    <row r="45" spans="1:9">
      <c r="A45" t="s">
        <v>346</v>
      </c>
      <c r="E45" s="44">
        <f>IF(E41&lt;E40,2*PI()*E40*E40+PI()*E41*E41/E43*LN((1+E43)/(1-E43)),4*PI()*E40*E40)</f>
        <v>849486.65353067999</v>
      </c>
      <c r="F45" s="44"/>
      <c r="G45" s="44"/>
      <c r="H45" s="44"/>
      <c r="I45" s="44"/>
    </row>
    <row r="46" spans="1:9">
      <c r="A46" t="s">
        <v>348</v>
      </c>
      <c r="E46" s="44">
        <f>4*PI()/3*E40*E40*E40</f>
        <v>73622176.639325604</v>
      </c>
      <c r="F46" s="44"/>
      <c r="G46" s="44"/>
      <c r="H46" s="44"/>
      <c r="I46" s="44"/>
    </row>
    <row r="47" spans="1:9">
      <c r="A47" t="s">
        <v>374</v>
      </c>
      <c r="E47" s="4">
        <f>E45/E46</f>
        <v>1.1538461538461537E-2</v>
      </c>
      <c r="F47" s="4"/>
      <c r="G47" s="4"/>
      <c r="H47" s="4"/>
      <c r="I47" s="4"/>
    </row>
    <row r="48" spans="1:9">
      <c r="A48" t="s">
        <v>355</v>
      </c>
      <c r="E48" s="3">
        <f>E45*E2</f>
        <v>8494866535.3067999</v>
      </c>
      <c r="F48" s="3"/>
      <c r="G48" s="3"/>
      <c r="H48" s="3"/>
      <c r="I48" s="3"/>
    </row>
    <row r="49" spans="1:9">
      <c r="A49" t="s">
        <v>371</v>
      </c>
      <c r="E49" s="3">
        <f>E46*$E$6</f>
        <v>13218581253.604702</v>
      </c>
      <c r="F49" s="3"/>
      <c r="G49" s="3"/>
      <c r="H49" s="3"/>
      <c r="I49" s="3"/>
    </row>
    <row r="50" spans="1:9">
      <c r="E50" s="3"/>
      <c r="F50" s="3"/>
      <c r="G50" s="3"/>
      <c r="H50" s="3"/>
      <c r="I50" s="3"/>
    </row>
    <row r="51" spans="1:9">
      <c r="A51" t="s">
        <v>22</v>
      </c>
      <c r="E51" s="3">
        <f>E36*Conversion!B10</f>
        <v>253399.54954954956</v>
      </c>
      <c r="F51" s="3"/>
      <c r="G51" s="3"/>
      <c r="H51" s="3"/>
      <c r="I51" s="3"/>
    </row>
    <row r="52" spans="1:9">
      <c r="A52" t="s">
        <v>336</v>
      </c>
      <c r="E52" s="3">
        <f>(E46-E51/Conversion!B10-E49/8000)*Conversion!B9</f>
        <v>88162888.531981438</v>
      </c>
      <c r="F52" s="3"/>
      <c r="G52" s="3"/>
      <c r="H52" s="3"/>
      <c r="I52" s="3"/>
    </row>
    <row r="53" spans="1:9">
      <c r="E53" s="3"/>
      <c r="F53" s="4"/>
      <c r="G53" s="3"/>
      <c r="H53" s="3"/>
      <c r="I53" s="3"/>
    </row>
    <row r="54" spans="1:9">
      <c r="A54" t="s">
        <v>565</v>
      </c>
      <c r="E54" s="3">
        <f>(E52+E51+E49+E48)*Vehicle!B12</f>
        <v>65405592230.979103</v>
      </c>
      <c r="F54" s="3"/>
      <c r="G54" s="3"/>
      <c r="H54" s="3"/>
      <c r="I54" s="3"/>
    </row>
    <row r="55" spans="1:9">
      <c r="A55" t="s">
        <v>590</v>
      </c>
      <c r="E55" s="3">
        <f>0.25*E54*(4*(E1-E40)*(E1-E40)+4*(E40*E40))+0.5*E1*E1*E62</f>
        <v>1.4435974757953192E+16</v>
      </c>
      <c r="F55" s="3"/>
      <c r="G55" s="3"/>
      <c r="H55" s="3"/>
      <c r="I55" s="3"/>
    </row>
    <row r="56" spans="1:9">
      <c r="A56" t="s">
        <v>591</v>
      </c>
      <c r="E56" s="3">
        <f>E55*E4</f>
        <v>1816339898982894</v>
      </c>
      <c r="F56" s="3"/>
      <c r="G56" s="3"/>
      <c r="H56" s="3"/>
      <c r="I56" s="3"/>
    </row>
    <row r="57" spans="1:9">
      <c r="A57" t="s">
        <v>592</v>
      </c>
      <c r="E57" s="4">
        <f>E58-10</f>
        <v>120</v>
      </c>
      <c r="F57" s="3"/>
      <c r="G57" s="3"/>
      <c r="H57" s="3"/>
      <c r="I57" s="3"/>
    </row>
    <row r="58" spans="1:9">
      <c r="A58" t="s">
        <v>589</v>
      </c>
      <c r="E58" s="4">
        <f>FLOOR(E1-E41,1)</f>
        <v>130</v>
      </c>
      <c r="F58" s="3"/>
      <c r="G58" s="3"/>
      <c r="H58" s="3"/>
      <c r="I58" s="3"/>
    </row>
    <row r="59" spans="1:9">
      <c r="B59" t="s">
        <v>602</v>
      </c>
      <c r="E59" s="3">
        <f>(PI()*E58*E58-PI()*E57*E57)</f>
        <v>7853.9816339744793</v>
      </c>
      <c r="H59" s="3"/>
      <c r="I59" s="3"/>
    </row>
    <row r="60" spans="1:9">
      <c r="A60" t="s">
        <v>594</v>
      </c>
      <c r="E60" s="4">
        <v>5</v>
      </c>
      <c r="H60" s="3"/>
      <c r="I60" s="3"/>
    </row>
    <row r="61" spans="1:9">
      <c r="A61" t="s">
        <v>598</v>
      </c>
      <c r="E61" s="3">
        <v>8000</v>
      </c>
      <c r="F61" s="3"/>
      <c r="G61" s="3"/>
      <c r="H61" s="3"/>
      <c r="I61" s="3"/>
    </row>
    <row r="62" spans="1:9">
      <c r="A62" t="s">
        <v>588</v>
      </c>
      <c r="E62" s="3">
        <f>E59*E60*E61</f>
        <v>314159265.35897917</v>
      </c>
      <c r="F62" s="39">
        <f>E62/E54</f>
        <v>4.8032477750454316E-3</v>
      </c>
      <c r="G62" s="3"/>
      <c r="H62" s="3"/>
      <c r="I62" s="3"/>
    </row>
    <row r="63" spans="1:9">
      <c r="A63" t="s">
        <v>593</v>
      </c>
      <c r="E63" s="3">
        <f>0.5*E62*(E58*E58+E57*E57)</f>
        <v>4916592502868.0244</v>
      </c>
      <c r="F63" s="3"/>
      <c r="G63" s="3"/>
      <c r="H63" s="3"/>
      <c r="I63" s="3"/>
    </row>
    <row r="64" spans="1:9">
      <c r="A64" t="s">
        <v>595</v>
      </c>
      <c r="E64" s="3">
        <f>E56/E63</f>
        <v>369.43063675164416</v>
      </c>
      <c r="F64" s="4">
        <f>E64*30/PI()</f>
        <v>3527.8027181166353</v>
      </c>
    </row>
  </sheetData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7A36E-F675-1441-A197-69A5DDF8AA03}">
  <dimension ref="A1:T209"/>
  <sheetViews>
    <sheetView topLeftCell="C1" workbookViewId="0">
      <selection activeCell="G8" sqref="G8"/>
    </sheetView>
  </sheetViews>
  <sheetFormatPr baseColWidth="10" defaultRowHeight="16"/>
  <cols>
    <col min="3" max="3" width="5.33203125" customWidth="1"/>
    <col min="4" max="4" width="8.1640625" customWidth="1"/>
    <col min="5" max="5" width="6.1640625" customWidth="1"/>
    <col min="7" max="7" width="13.6640625" bestFit="1" customWidth="1"/>
    <col min="8" max="8" width="13.6640625" customWidth="1"/>
    <col min="18" max="18" width="11.6640625" bestFit="1" customWidth="1"/>
  </cols>
  <sheetData>
    <row r="1" spans="1:19">
      <c r="A1" t="s">
        <v>748</v>
      </c>
      <c r="C1">
        <f>Geometry!C17</f>
        <v>149.05855855855856</v>
      </c>
      <c r="G1" t="s">
        <v>870</v>
      </c>
      <c r="H1">
        <f>Geometry!J2</f>
        <v>889.19158333567236</v>
      </c>
    </row>
    <row r="2" spans="1:19">
      <c r="A2" t="s">
        <v>744</v>
      </c>
      <c r="C2">
        <f>Geometry!B28</f>
        <v>46</v>
      </c>
      <c r="E2" t="s">
        <v>855</v>
      </c>
      <c r="F2">
        <f>Vehicle!B12</f>
        <v>3</v>
      </c>
      <c r="G2" s="95"/>
      <c r="H2" s="95">
        <f>SQRT(H1*(SQRT(3))/2)</f>
        <v>27.749999999999996</v>
      </c>
      <c r="I2" s="95">
        <f>H2*2</f>
        <v>55.499999999999993</v>
      </c>
      <c r="J2" s="95">
        <f>I2*10</f>
        <v>554.99999999999989</v>
      </c>
      <c r="K2" s="95"/>
      <c r="L2" s="95">
        <f>390*COS(120/180*PI())</f>
        <v>-194.99999999999991</v>
      </c>
      <c r="N2">
        <f>(12.5)*PI()</f>
        <v>39.269908169872416</v>
      </c>
      <c r="O2">
        <f>5/N2</f>
        <v>0.12732395447351627</v>
      </c>
      <c r="Q2">
        <v>0.06</v>
      </c>
      <c r="R2">
        <f>5/Q2</f>
        <v>83.333333333333343</v>
      </c>
    </row>
    <row r="3" spans="1:19">
      <c r="A3" t="s">
        <v>745</v>
      </c>
      <c r="C3">
        <v>5</v>
      </c>
      <c r="E3" s="95" t="s">
        <v>854</v>
      </c>
      <c r="F3" s="126">
        <f>Geometry!E33</f>
        <v>130</v>
      </c>
      <c r="G3" s="95"/>
      <c r="H3" s="95"/>
      <c r="I3" s="95">
        <f>364/I2</f>
        <v>6.5585585585585591</v>
      </c>
      <c r="L3" s="95">
        <f>390*SIN(120/180*PI())</f>
        <v>337.74990747593108</v>
      </c>
      <c r="N3">
        <f>32*4</f>
        <v>128</v>
      </c>
      <c r="O3">
        <f>5/N3</f>
        <v>3.90625E-2</v>
      </c>
      <c r="P3">
        <f>15/N3</f>
        <v>0.1171875</v>
      </c>
    </row>
    <row r="4" spans="1:19">
      <c r="A4" t="s">
        <v>871</v>
      </c>
      <c r="C4">
        <v>4</v>
      </c>
      <c r="E4" s="95"/>
      <c r="F4" s="126"/>
      <c r="G4" s="95"/>
      <c r="H4" s="95"/>
      <c r="I4" s="95"/>
    </row>
    <row r="5" spans="1:19">
      <c r="A5" t="s">
        <v>747</v>
      </c>
      <c r="C5">
        <v>5</v>
      </c>
      <c r="E5" t="s">
        <v>857</v>
      </c>
      <c r="F5" s="54">
        <f>Geometry!$D$10</f>
        <v>260</v>
      </c>
      <c r="G5" s="95"/>
      <c r="H5" s="95"/>
      <c r="I5" s="95"/>
    </row>
    <row r="6" spans="1:19">
      <c r="A6" t="s">
        <v>315</v>
      </c>
      <c r="B6" t="s">
        <v>713</v>
      </c>
      <c r="C6" t="s">
        <v>606</v>
      </c>
      <c r="D6" t="s">
        <v>363</v>
      </c>
      <c r="E6" t="s">
        <v>367</v>
      </c>
      <c r="G6" t="s">
        <v>364</v>
      </c>
      <c r="H6" t="s">
        <v>362</v>
      </c>
      <c r="J6" t="s">
        <v>225</v>
      </c>
      <c r="K6" t="s">
        <v>869</v>
      </c>
      <c r="L6" t="s">
        <v>322</v>
      </c>
      <c r="M6" t="s">
        <v>609</v>
      </c>
      <c r="N6" t="s">
        <v>872</v>
      </c>
      <c r="O6" t="s">
        <v>714</v>
      </c>
      <c r="P6" t="s">
        <v>715</v>
      </c>
      <c r="Q6" t="s">
        <v>716</v>
      </c>
      <c r="R6" t="s">
        <v>722</v>
      </c>
      <c r="S6" t="s">
        <v>747</v>
      </c>
    </row>
    <row r="7" spans="1:19">
      <c r="B7" s="54">
        <f>2*F5</f>
        <v>520</v>
      </c>
      <c r="D7" s="54">
        <f>F3</f>
        <v>130</v>
      </c>
      <c r="E7" s="54">
        <f>F5</f>
        <v>260</v>
      </c>
      <c r="F7" s="4">
        <f>Geometry!$D$12*D7</f>
        <v>2.0580000000000003</v>
      </c>
      <c r="G7" s="4">
        <f>IF(H7&gt;0,F7/9.8,0)</f>
        <v>0</v>
      </c>
      <c r="H7" s="4">
        <f>IF(ABS(F5*F5)&lt;=Geometry!$E$10,SQRT(Geometry!$E$10-F5*F5),0)</f>
        <v>0</v>
      </c>
      <c r="I7" s="4">
        <f>IF(H7&gt;0,1,0)</f>
        <v>0</v>
      </c>
      <c r="J7" s="5"/>
      <c r="K7" s="5"/>
      <c r="L7" s="5"/>
    </row>
    <row r="8" spans="1:19">
      <c r="A8" s="7">
        <v>1</v>
      </c>
      <c r="B8" s="54">
        <f>B7-(D8-D7)</f>
        <v>515</v>
      </c>
      <c r="C8" s="7">
        <v>0</v>
      </c>
      <c r="D8" s="64">
        <f>D7+LOOKUP(C8,Geometry!$H$19:$I$25)</f>
        <v>135</v>
      </c>
      <c r="E8" s="64">
        <f>E7-(D8-D7)</f>
        <v>255</v>
      </c>
      <c r="F8" s="12">
        <f>Geometry!$D$12*D8</f>
        <v>2.1371538461538462</v>
      </c>
      <c r="G8" s="12">
        <f>IF(H8&gt;0,F8/9.8,0)</f>
        <v>0.21807692307692306</v>
      </c>
      <c r="H8" s="12">
        <f>IF(ABS(E8*E8)&lt;=Geometry!$E$10,SQRT(Geometry!$E$10-E8*E8),0)</f>
        <v>50.744457825461097</v>
      </c>
      <c r="I8" s="12">
        <f t="shared" ref="I8:I71" si="0">IF(H8&gt;0,1,0)</f>
        <v>1</v>
      </c>
      <c r="J8" s="15">
        <f t="shared" ref="J8:J39" si="1">PI()*H8*H8</f>
        <v>8089.6010829937177</v>
      </c>
      <c r="K8" s="15">
        <f>LOOKUP(H8,Geometry!$I$6:$J$14)</f>
        <v>1</v>
      </c>
      <c r="L8" s="15">
        <f>K8*Geometry!$J$2</f>
        <v>889.19158333567236</v>
      </c>
      <c r="M8" s="54">
        <f>IF($C8=1,$L8-$S8,0)</f>
        <v>0</v>
      </c>
      <c r="N8" s="54">
        <f>IF($C8=2,$L8-$S8,0)</f>
        <v>0</v>
      </c>
      <c r="O8" s="54">
        <f>IF($C8=3,$L8-$S8,0)</f>
        <v>0</v>
      </c>
      <c r="P8" s="54">
        <f>IF($C8=4,$L8-$S8,0)</f>
        <v>0</v>
      </c>
      <c r="Q8" s="54">
        <f>IF($C8=5,$L8-$S8,0)</f>
        <v>0</v>
      </c>
      <c r="R8" s="54">
        <f>IF($C8=6,$L8-$S8,0)</f>
        <v>0</v>
      </c>
      <c r="S8" s="54">
        <f t="shared" ref="S8:S39" si="2">IF($C8=0,$L8,$H$1)</f>
        <v>889.19158333567236</v>
      </c>
    </row>
    <row r="9" spans="1:19">
      <c r="A9" s="7">
        <f t="shared" ref="A9:A40" si="3">A8+1</f>
        <v>2</v>
      </c>
      <c r="B9" s="54">
        <f t="shared" ref="B9:B72" si="4">B8-(D9-D8)</f>
        <v>510</v>
      </c>
      <c r="C9" s="7">
        <v>0</v>
      </c>
      <c r="D9" s="64">
        <f>D8+LOOKUP(C9,Geometry!$H$19:$I$25)</f>
        <v>140</v>
      </c>
      <c r="E9" s="64">
        <f t="shared" ref="E9:E72" si="5">E8-(D9-D8)</f>
        <v>250</v>
      </c>
      <c r="F9" s="12">
        <f>Geometry!$D$12*D9</f>
        <v>2.2163076923076925</v>
      </c>
      <c r="G9" s="12">
        <f t="shared" ref="G9:G71" si="6">IF(H9&gt;0,F9/9.8,0)</f>
        <v>0.22615384615384615</v>
      </c>
      <c r="H9" s="12">
        <f>IF(ABS(E9*E9)&lt;=Geometry!$E$10,SQRT(Geometry!$E$10-E9*E9),0)</f>
        <v>71.414284285428494</v>
      </c>
      <c r="I9" s="12">
        <f t="shared" si="0"/>
        <v>1</v>
      </c>
      <c r="J9" s="15">
        <f t="shared" si="1"/>
        <v>16022.122533307942</v>
      </c>
      <c r="K9" s="15">
        <f>LOOKUP(H9,Geometry!$I$6:$J$14)</f>
        <v>7</v>
      </c>
      <c r="L9" s="15">
        <f>K9*Geometry!$J$2</f>
        <v>6224.3410833497064</v>
      </c>
      <c r="M9" s="54">
        <f t="shared" ref="M9:M72" si="7">IF($C9=1,$L9-$S9,0)</f>
        <v>0</v>
      </c>
      <c r="N9" s="54">
        <f t="shared" ref="N9:N40" si="8">IF($C9=2,$L9-$S9,0)</f>
        <v>0</v>
      </c>
      <c r="O9" s="54">
        <f t="shared" ref="O9:O72" si="9">IF($C9=3,$L9-$S9,0)</f>
        <v>0</v>
      </c>
      <c r="P9" s="54">
        <f t="shared" ref="P9:P72" si="10">IF($C9=4,$L9-$S9,0)</f>
        <v>0</v>
      </c>
      <c r="Q9" s="54">
        <f t="shared" ref="Q9:Q72" si="11">IF($C9=5,$L9-$S9,0)</f>
        <v>0</v>
      </c>
      <c r="R9" s="54">
        <f t="shared" ref="R9:R72" si="12">IF($C9=6,$L9-$S9,0)</f>
        <v>0</v>
      </c>
      <c r="S9" s="54">
        <f t="shared" si="2"/>
        <v>6224.3410833497064</v>
      </c>
    </row>
    <row r="10" spans="1:19">
      <c r="A10" s="7">
        <f t="shared" si="3"/>
        <v>3</v>
      </c>
      <c r="B10" s="54">
        <f t="shared" si="4"/>
        <v>505</v>
      </c>
      <c r="C10" s="7">
        <v>0</v>
      </c>
      <c r="D10" s="64">
        <f>D9+LOOKUP(C10,Geometry!$H$19:$I$25)</f>
        <v>145</v>
      </c>
      <c r="E10" s="64">
        <f t="shared" si="5"/>
        <v>245</v>
      </c>
      <c r="F10" s="12">
        <f>Geometry!$D$12*D10</f>
        <v>2.2954615384615384</v>
      </c>
      <c r="G10" s="12">
        <f t="shared" si="6"/>
        <v>0.23423076923076921</v>
      </c>
      <c r="H10" s="12">
        <f>IF(ABS(E10*E10)&lt;=Geometry!$E$10,SQRT(Geometry!$E$10-E10*E10),0)</f>
        <v>87.034475927646056</v>
      </c>
      <c r="I10" s="12">
        <f t="shared" si="0"/>
        <v>1</v>
      </c>
      <c r="J10" s="15">
        <f t="shared" si="1"/>
        <v>23797.564350942685</v>
      </c>
      <c r="K10" s="15">
        <f>LOOKUP(H10,Geometry!$I$6:$J$14)</f>
        <v>7</v>
      </c>
      <c r="L10" s="15">
        <f>K10*Geometry!$J$2</f>
        <v>6224.3410833497064</v>
      </c>
      <c r="M10" s="54">
        <f t="shared" si="7"/>
        <v>0</v>
      </c>
      <c r="N10" s="54">
        <f t="shared" si="8"/>
        <v>0</v>
      </c>
      <c r="O10" s="54">
        <f t="shared" si="9"/>
        <v>0</v>
      </c>
      <c r="P10" s="54">
        <f t="shared" si="10"/>
        <v>0</v>
      </c>
      <c r="Q10" s="54">
        <f t="shared" si="11"/>
        <v>0</v>
      </c>
      <c r="R10" s="54">
        <f t="shared" si="12"/>
        <v>0</v>
      </c>
      <c r="S10" s="54">
        <f t="shared" si="2"/>
        <v>6224.3410833497064</v>
      </c>
    </row>
    <row r="11" spans="1:19">
      <c r="A11" s="7">
        <f t="shared" si="3"/>
        <v>4</v>
      </c>
      <c r="B11" s="54">
        <f t="shared" si="4"/>
        <v>500</v>
      </c>
      <c r="C11" s="7">
        <v>0</v>
      </c>
      <c r="D11" s="64">
        <f>D10+LOOKUP(C11,Geometry!$H$19:$I$25)</f>
        <v>150</v>
      </c>
      <c r="E11" s="64">
        <f t="shared" si="5"/>
        <v>240</v>
      </c>
      <c r="F11" s="12">
        <f>Geometry!$D$12*D11</f>
        <v>2.3746153846153848</v>
      </c>
      <c r="G11" s="12">
        <f t="shared" si="6"/>
        <v>0.24230769230769231</v>
      </c>
      <c r="H11" s="12">
        <f>IF(ABS(E11*E11)&lt;=Geometry!$E$10,SQRT(Geometry!$E$10-E11*E11),0)</f>
        <v>100</v>
      </c>
      <c r="I11" s="12">
        <f t="shared" si="0"/>
        <v>1</v>
      </c>
      <c r="J11" s="15">
        <f t="shared" si="1"/>
        <v>31415.926535897932</v>
      </c>
      <c r="K11" s="15">
        <f>LOOKUP(H11,Geometry!$I$6:$J$14)</f>
        <v>7</v>
      </c>
      <c r="L11" s="15">
        <f>K11*Geometry!$J$2</f>
        <v>6224.3410833497064</v>
      </c>
      <c r="M11" s="54">
        <f t="shared" si="7"/>
        <v>0</v>
      </c>
      <c r="N11" s="54">
        <f t="shared" si="8"/>
        <v>0</v>
      </c>
      <c r="O11" s="54">
        <f t="shared" si="9"/>
        <v>0</v>
      </c>
      <c r="P11" s="54">
        <f t="shared" si="10"/>
        <v>0</v>
      </c>
      <c r="Q11" s="54">
        <f t="shared" si="11"/>
        <v>0</v>
      </c>
      <c r="R11" s="54">
        <f t="shared" si="12"/>
        <v>0</v>
      </c>
      <c r="S11" s="54">
        <f t="shared" si="2"/>
        <v>6224.3410833497064</v>
      </c>
    </row>
    <row r="12" spans="1:19">
      <c r="A12" s="7">
        <f t="shared" si="3"/>
        <v>5</v>
      </c>
      <c r="B12" s="54">
        <f t="shared" si="4"/>
        <v>485</v>
      </c>
      <c r="C12" s="7">
        <v>2</v>
      </c>
      <c r="D12" s="64">
        <f>D11+LOOKUP(C12,Geometry!$H$19:$I$25)</f>
        <v>165</v>
      </c>
      <c r="E12" s="64">
        <f t="shared" si="5"/>
        <v>225</v>
      </c>
      <c r="F12" s="12">
        <f>Geometry!$D$12*D12</f>
        <v>2.6120769230769234</v>
      </c>
      <c r="G12" s="12">
        <f t="shared" si="6"/>
        <v>0.26653846153846156</v>
      </c>
      <c r="H12" s="12">
        <f>IF(ABS(E12*E12)&lt;=Geometry!$E$10,SQRT(Geometry!$E$10-E12*E12),0)</f>
        <v>130.28814220795383</v>
      </c>
      <c r="I12" s="12">
        <f t="shared" si="0"/>
        <v>1</v>
      </c>
      <c r="J12" s="15">
        <f>PI()*H12*H12</f>
        <v>53328.535294686735</v>
      </c>
      <c r="K12" s="15">
        <f>LOOKUP(H12,Geometry!$I$6:$J$14)</f>
        <v>19</v>
      </c>
      <c r="L12" s="15">
        <f>K12*Geometry!$J$2</f>
        <v>16894.640083377773</v>
      </c>
      <c r="M12" s="54">
        <f t="shared" si="7"/>
        <v>0</v>
      </c>
      <c r="N12" s="54">
        <f t="shared" si="8"/>
        <v>16005.448500042101</v>
      </c>
      <c r="O12" s="54">
        <f t="shared" si="9"/>
        <v>0</v>
      </c>
      <c r="P12" s="54">
        <f t="shared" si="10"/>
        <v>0</v>
      </c>
      <c r="Q12" s="54">
        <f t="shared" si="11"/>
        <v>0</v>
      </c>
      <c r="R12" s="54">
        <f t="shared" si="12"/>
        <v>0</v>
      </c>
      <c r="S12" s="54">
        <f t="shared" si="2"/>
        <v>889.19158333567236</v>
      </c>
    </row>
    <row r="13" spans="1:19">
      <c r="A13" s="7">
        <f t="shared" si="3"/>
        <v>6</v>
      </c>
      <c r="B13" s="54">
        <f t="shared" si="4"/>
        <v>470</v>
      </c>
      <c r="C13" s="7">
        <v>2</v>
      </c>
      <c r="D13" s="64">
        <f>D12+LOOKUP(C13,Geometry!$H$19:$I$25)</f>
        <v>180</v>
      </c>
      <c r="E13" s="64">
        <f t="shared" si="5"/>
        <v>210</v>
      </c>
      <c r="F13" s="12">
        <f>Geometry!$D$12*D13</f>
        <v>2.8495384615384616</v>
      </c>
      <c r="G13" s="12">
        <f t="shared" si="6"/>
        <v>0.29076923076923072</v>
      </c>
      <c r="H13" s="12">
        <f>IF(ABS(E13*E13)&lt;=Geometry!$E$10,SQRT(Geometry!$E$10-E13*E13),0)</f>
        <v>153.29709716755892</v>
      </c>
      <c r="I13" s="12">
        <f t="shared" si="0"/>
        <v>1</v>
      </c>
      <c r="J13" s="15">
        <f t="shared" si="1"/>
        <v>73827.427359360139</v>
      </c>
      <c r="K13" s="15">
        <f>LOOKUP(H13,Geometry!$I$6:$J$14)</f>
        <v>37</v>
      </c>
      <c r="L13" s="15">
        <f>K13*Geometry!$J$2</f>
        <v>32900.088583419878</v>
      </c>
      <c r="M13" s="54">
        <f t="shared" si="7"/>
        <v>0</v>
      </c>
      <c r="N13" s="54">
        <f t="shared" si="8"/>
        <v>32010.897000084206</v>
      </c>
      <c r="O13" s="54">
        <f t="shared" si="9"/>
        <v>0</v>
      </c>
      <c r="P13" s="54">
        <f t="shared" si="10"/>
        <v>0</v>
      </c>
      <c r="Q13" s="54">
        <f t="shared" si="11"/>
        <v>0</v>
      </c>
      <c r="R13" s="54">
        <f t="shared" si="12"/>
        <v>0</v>
      </c>
      <c r="S13" s="54">
        <f t="shared" si="2"/>
        <v>889.19158333567236</v>
      </c>
    </row>
    <row r="14" spans="1:19">
      <c r="A14" s="7">
        <f t="shared" si="3"/>
        <v>7</v>
      </c>
      <c r="B14" s="54">
        <f t="shared" si="4"/>
        <v>455</v>
      </c>
      <c r="C14" s="7">
        <v>4</v>
      </c>
      <c r="D14" s="64">
        <f>D13+LOOKUP(C14,Geometry!$H$19:$I$25)</f>
        <v>195</v>
      </c>
      <c r="E14" s="64">
        <f t="shared" si="5"/>
        <v>195</v>
      </c>
      <c r="F14" s="12">
        <f>Geometry!$D$12*D14</f>
        <v>3.0870000000000002</v>
      </c>
      <c r="G14" s="12">
        <f t="shared" si="6"/>
        <v>0.315</v>
      </c>
      <c r="H14" s="12">
        <f>IF(ABS(E14*E14)&lt;=Geometry!$E$10,SQRT(Geometry!$E$10-E14*E14),0)</f>
        <v>171.97383521919838</v>
      </c>
      <c r="I14" s="12">
        <f t="shared" si="0"/>
        <v>1</v>
      </c>
      <c r="J14" s="15">
        <f t="shared" si="1"/>
        <v>92912.60272991813</v>
      </c>
      <c r="K14" s="15">
        <f>LOOKUP(H14,Geometry!$I$6:$J$14)</f>
        <v>37</v>
      </c>
      <c r="L14" s="15">
        <f>K14*Geometry!$J$2</f>
        <v>32900.088583419878</v>
      </c>
      <c r="M14" s="54">
        <f t="shared" si="7"/>
        <v>0</v>
      </c>
      <c r="N14" s="54">
        <f t="shared" si="8"/>
        <v>0</v>
      </c>
      <c r="O14" s="54">
        <f t="shared" si="9"/>
        <v>0</v>
      </c>
      <c r="P14" s="54">
        <f t="shared" si="10"/>
        <v>32010.897000084206</v>
      </c>
      <c r="Q14" s="54">
        <f t="shared" si="11"/>
        <v>0</v>
      </c>
      <c r="R14" s="54">
        <f t="shared" si="12"/>
        <v>0</v>
      </c>
      <c r="S14" s="54">
        <f t="shared" si="2"/>
        <v>889.19158333567236</v>
      </c>
    </row>
    <row r="15" spans="1:19">
      <c r="A15" s="7">
        <f t="shared" si="3"/>
        <v>8</v>
      </c>
      <c r="B15" s="54">
        <f t="shared" si="4"/>
        <v>450</v>
      </c>
      <c r="C15" s="7">
        <v>1</v>
      </c>
      <c r="D15" s="64">
        <f>D14+LOOKUP(C15,Geometry!$H$19:$I$25)</f>
        <v>200</v>
      </c>
      <c r="E15" s="64">
        <f t="shared" si="5"/>
        <v>190</v>
      </c>
      <c r="F15" s="12">
        <f>Geometry!$D$12*D15</f>
        <v>3.1661538461538461</v>
      </c>
      <c r="G15" s="12">
        <f t="shared" si="6"/>
        <v>0.32307692307692304</v>
      </c>
      <c r="H15" s="12">
        <f>IF(ABS(E15*E15)&lt;=Geometry!$E$10,SQRT(Geometry!$E$10-E15*E15),0)</f>
        <v>177.48239349298848</v>
      </c>
      <c r="I15" s="12">
        <f t="shared" si="0"/>
        <v>1</v>
      </c>
      <c r="J15" s="15">
        <f t="shared" si="1"/>
        <v>98960.168588078493</v>
      </c>
      <c r="K15" s="15">
        <f>LOOKUP(H15,Geometry!$I$6:$J$14)</f>
        <v>37</v>
      </c>
      <c r="L15" s="15">
        <f>K15*Geometry!$J$2</f>
        <v>32900.088583419878</v>
      </c>
      <c r="M15" s="54">
        <f t="shared" si="7"/>
        <v>32010.897000084206</v>
      </c>
      <c r="N15" s="54">
        <f t="shared" si="8"/>
        <v>0</v>
      </c>
      <c r="O15" s="54">
        <f t="shared" si="9"/>
        <v>0</v>
      </c>
      <c r="P15" s="54">
        <f t="shared" si="10"/>
        <v>0</v>
      </c>
      <c r="Q15" s="54">
        <f t="shared" si="11"/>
        <v>0</v>
      </c>
      <c r="R15" s="54">
        <f t="shared" si="12"/>
        <v>0</v>
      </c>
      <c r="S15" s="54">
        <f t="shared" si="2"/>
        <v>889.19158333567236</v>
      </c>
    </row>
    <row r="16" spans="1:19">
      <c r="A16" s="7">
        <f t="shared" si="3"/>
        <v>9</v>
      </c>
      <c r="B16" s="54">
        <f t="shared" si="4"/>
        <v>445</v>
      </c>
      <c r="C16" s="7">
        <v>1</v>
      </c>
      <c r="D16" s="64">
        <f>D15+LOOKUP(C16,Geometry!$H$19:$I$25)</f>
        <v>205</v>
      </c>
      <c r="E16" s="64">
        <f t="shared" si="5"/>
        <v>185</v>
      </c>
      <c r="F16" s="12">
        <f>Geometry!$D$12*D16</f>
        <v>3.2453076923076924</v>
      </c>
      <c r="G16" s="12">
        <f t="shared" si="6"/>
        <v>0.33115384615384613</v>
      </c>
      <c r="H16" s="12">
        <f>IF(ABS(E16*E16)&lt;=Geometry!$E$10,SQRT(Geometry!$E$10-E16*E16),0)</f>
        <v>182.6882590644511</v>
      </c>
      <c r="I16" s="12">
        <f t="shared" si="0"/>
        <v>1</v>
      </c>
      <c r="J16" s="15">
        <f t="shared" si="1"/>
        <v>104850.65481355935</v>
      </c>
      <c r="K16" s="15">
        <f>LOOKUP(H16,Geometry!$I$6:$J$14)</f>
        <v>37</v>
      </c>
      <c r="L16" s="15">
        <f>K16*Geometry!$J$2</f>
        <v>32900.088583419878</v>
      </c>
      <c r="M16" s="54">
        <f t="shared" si="7"/>
        <v>32010.897000084206</v>
      </c>
      <c r="N16" s="54">
        <f t="shared" si="8"/>
        <v>0</v>
      </c>
      <c r="O16" s="54">
        <f t="shared" si="9"/>
        <v>0</v>
      </c>
      <c r="P16" s="54">
        <f t="shared" si="10"/>
        <v>0</v>
      </c>
      <c r="Q16" s="54">
        <f t="shared" si="11"/>
        <v>0</v>
      </c>
      <c r="R16" s="54">
        <f t="shared" si="12"/>
        <v>0</v>
      </c>
      <c r="S16" s="54">
        <f t="shared" si="2"/>
        <v>889.19158333567236</v>
      </c>
    </row>
    <row r="17" spans="1:19">
      <c r="A17" s="7">
        <f t="shared" si="3"/>
        <v>10</v>
      </c>
      <c r="B17" s="54">
        <f t="shared" si="4"/>
        <v>440</v>
      </c>
      <c r="C17" s="7">
        <v>1</v>
      </c>
      <c r="D17" s="64">
        <f>D16+LOOKUP(C17,Geometry!$H$19:$I$25)</f>
        <v>210</v>
      </c>
      <c r="E17" s="64">
        <f t="shared" si="5"/>
        <v>180</v>
      </c>
      <c r="F17" s="12">
        <f>Geometry!$D$12*D17</f>
        <v>3.3244615384615388</v>
      </c>
      <c r="G17" s="12">
        <f t="shared" si="6"/>
        <v>0.33923076923076922</v>
      </c>
      <c r="H17" s="12">
        <f>IF(ABS(E17*E17)&lt;=Geometry!$E$10,SQRT(Geometry!$E$10-E17*E17),0)</f>
        <v>187.6166303929372</v>
      </c>
      <c r="I17" s="12">
        <f t="shared" si="0"/>
        <v>1</v>
      </c>
      <c r="J17" s="15">
        <f t="shared" si="1"/>
        <v>110584.06140636074</v>
      </c>
      <c r="K17" s="15">
        <f>LOOKUP(H17,Geometry!$I$6:$J$14)</f>
        <v>61</v>
      </c>
      <c r="L17" s="15">
        <f>K17*Geometry!$J$2</f>
        <v>54240.686583476017</v>
      </c>
      <c r="M17" s="54">
        <f t="shared" si="7"/>
        <v>53351.495000140349</v>
      </c>
      <c r="N17" s="54">
        <f t="shared" si="8"/>
        <v>0</v>
      </c>
      <c r="O17" s="54">
        <f t="shared" si="9"/>
        <v>0</v>
      </c>
      <c r="P17" s="54">
        <f t="shared" si="10"/>
        <v>0</v>
      </c>
      <c r="Q17" s="54">
        <f t="shared" si="11"/>
        <v>0</v>
      </c>
      <c r="R17" s="54">
        <f t="shared" si="12"/>
        <v>0</v>
      </c>
      <c r="S17" s="54">
        <f t="shared" si="2"/>
        <v>889.19158333567236</v>
      </c>
    </row>
    <row r="18" spans="1:19">
      <c r="A18" s="7">
        <f t="shared" si="3"/>
        <v>11</v>
      </c>
      <c r="B18" s="54">
        <f t="shared" si="4"/>
        <v>435</v>
      </c>
      <c r="C18" s="7">
        <v>1</v>
      </c>
      <c r="D18" s="64">
        <f>D17+LOOKUP(C18,Geometry!$H$19:$I$25)</f>
        <v>215</v>
      </c>
      <c r="E18" s="64">
        <f t="shared" si="5"/>
        <v>175</v>
      </c>
      <c r="F18" s="12">
        <f>Geometry!$D$12*D18</f>
        <v>3.4036153846153847</v>
      </c>
      <c r="G18" s="12">
        <f t="shared" si="6"/>
        <v>0.34730769230769232</v>
      </c>
      <c r="H18" s="12">
        <f>IF(ABS(E18*E18)&lt;=Geometry!$E$10,SQRT(Geometry!$E$10-E18*E18),0)</f>
        <v>192.2888452302941</v>
      </c>
      <c r="I18" s="12">
        <f t="shared" si="0"/>
        <v>1</v>
      </c>
      <c r="J18" s="15">
        <f t="shared" si="1"/>
        <v>116160.3883664826</v>
      </c>
      <c r="K18" s="15">
        <f>LOOKUP(H18,Geometry!$I$6:$J$14)</f>
        <v>61</v>
      </c>
      <c r="L18" s="15">
        <f>K18*Geometry!$J$2</f>
        <v>54240.686583476017</v>
      </c>
      <c r="M18" s="54">
        <f t="shared" si="7"/>
        <v>53351.495000140349</v>
      </c>
      <c r="N18" s="54">
        <f t="shared" si="8"/>
        <v>0</v>
      </c>
      <c r="O18" s="54">
        <f t="shared" si="9"/>
        <v>0</v>
      </c>
      <c r="P18" s="54">
        <f t="shared" si="10"/>
        <v>0</v>
      </c>
      <c r="Q18" s="54">
        <f t="shared" si="11"/>
        <v>0</v>
      </c>
      <c r="R18" s="54">
        <f t="shared" si="12"/>
        <v>0</v>
      </c>
      <c r="S18" s="54">
        <f t="shared" si="2"/>
        <v>889.19158333567236</v>
      </c>
    </row>
    <row r="19" spans="1:19">
      <c r="A19" s="7">
        <f t="shared" si="3"/>
        <v>12</v>
      </c>
      <c r="B19" s="54">
        <f t="shared" si="4"/>
        <v>430</v>
      </c>
      <c r="C19" s="7">
        <v>1</v>
      </c>
      <c r="D19" s="64">
        <f>D18+LOOKUP(C19,Geometry!$H$19:$I$25)</f>
        <v>220</v>
      </c>
      <c r="E19" s="64">
        <f t="shared" si="5"/>
        <v>170</v>
      </c>
      <c r="F19" s="12">
        <f>Geometry!$D$12*D19</f>
        <v>3.4827692307692311</v>
      </c>
      <c r="G19" s="12">
        <f t="shared" si="6"/>
        <v>0.35538461538461541</v>
      </c>
      <c r="H19" s="12">
        <f>IF(ABS(E19*E19)&lt;=Geometry!$E$10,SQRT(Geometry!$E$10-E19*E19),0)</f>
        <v>196.72315572906001</v>
      </c>
      <c r="I19" s="12">
        <f t="shared" si="0"/>
        <v>1</v>
      </c>
      <c r="J19" s="15">
        <f t="shared" si="1"/>
        <v>121579.635693925</v>
      </c>
      <c r="K19" s="15">
        <f>LOOKUP(H19,Geometry!$I$6:$J$14)</f>
        <v>61</v>
      </c>
      <c r="L19" s="15">
        <f>K19*Geometry!$J$2</f>
        <v>54240.686583476017</v>
      </c>
      <c r="M19" s="54">
        <f t="shared" si="7"/>
        <v>53351.495000140349</v>
      </c>
      <c r="N19" s="54">
        <f t="shared" si="8"/>
        <v>0</v>
      </c>
      <c r="O19" s="54">
        <f t="shared" si="9"/>
        <v>0</v>
      </c>
      <c r="P19" s="54">
        <f t="shared" si="10"/>
        <v>0</v>
      </c>
      <c r="Q19" s="54">
        <f t="shared" si="11"/>
        <v>0</v>
      </c>
      <c r="R19" s="54">
        <f t="shared" si="12"/>
        <v>0</v>
      </c>
      <c r="S19" s="54">
        <f t="shared" si="2"/>
        <v>889.19158333567236</v>
      </c>
    </row>
    <row r="20" spans="1:19" ht="16" customHeight="1">
      <c r="A20" s="7">
        <f t="shared" si="3"/>
        <v>13</v>
      </c>
      <c r="B20" s="54">
        <f t="shared" si="4"/>
        <v>425</v>
      </c>
      <c r="C20" s="7">
        <v>1</v>
      </c>
      <c r="D20" s="64">
        <f>D19+LOOKUP(C20,Geometry!$H$19:$I$25)</f>
        <v>225</v>
      </c>
      <c r="E20" s="64">
        <f t="shared" si="5"/>
        <v>165</v>
      </c>
      <c r="F20" s="12">
        <f>Geometry!$D$12*D20</f>
        <v>3.561923076923077</v>
      </c>
      <c r="G20" s="12">
        <f t="shared" si="6"/>
        <v>0.36346153846153845</v>
      </c>
      <c r="H20" s="12">
        <f>IF(ABS(E20*E20)&lt;=Geometry!$E$10,SQRT(Geometry!$E$10-E20*E20),0)</f>
        <v>200.93531297410121</v>
      </c>
      <c r="I20" s="12">
        <f t="shared" si="0"/>
        <v>1</v>
      </c>
      <c r="J20" s="15">
        <f t="shared" si="1"/>
        <v>126841.80338868791</v>
      </c>
      <c r="K20" s="15">
        <f>LOOKUP(H20,Geometry!$I$6:$J$14)</f>
        <v>61</v>
      </c>
      <c r="L20" s="15">
        <f>K20*Geometry!$J$2</f>
        <v>54240.686583476017</v>
      </c>
      <c r="M20" s="54">
        <f t="shared" si="7"/>
        <v>53351.495000140349</v>
      </c>
      <c r="N20" s="54">
        <f t="shared" si="8"/>
        <v>0</v>
      </c>
      <c r="O20" s="54">
        <f t="shared" si="9"/>
        <v>0</v>
      </c>
      <c r="P20" s="54">
        <f t="shared" si="10"/>
        <v>0</v>
      </c>
      <c r="Q20" s="54">
        <f t="shared" si="11"/>
        <v>0</v>
      </c>
      <c r="R20" s="54">
        <f t="shared" si="12"/>
        <v>0</v>
      </c>
      <c r="S20" s="54">
        <f t="shared" si="2"/>
        <v>889.19158333567236</v>
      </c>
    </row>
    <row r="21" spans="1:19" ht="16" customHeight="1">
      <c r="A21" s="7">
        <f t="shared" si="3"/>
        <v>14</v>
      </c>
      <c r="B21" s="54">
        <f t="shared" si="4"/>
        <v>420</v>
      </c>
      <c r="C21" s="7">
        <v>1</v>
      </c>
      <c r="D21" s="64">
        <f>D20+LOOKUP(C21,Geometry!$H$19:$I$25)</f>
        <v>230</v>
      </c>
      <c r="E21" s="64">
        <f t="shared" si="5"/>
        <v>160</v>
      </c>
      <c r="F21" s="12">
        <f>Geometry!$D$12*D21</f>
        <v>3.6410769230769233</v>
      </c>
      <c r="G21" s="12">
        <f t="shared" si="6"/>
        <v>0.37153846153846154</v>
      </c>
      <c r="H21" s="12">
        <f>IF(ABS(E21*E21)&lt;=Geometry!$E$10,SQRT(Geometry!$E$10-E21*E21),0)</f>
        <v>204.93901531919198</v>
      </c>
      <c r="I21" s="12">
        <f t="shared" si="0"/>
        <v>1</v>
      </c>
      <c r="J21" s="15">
        <f t="shared" si="1"/>
        <v>131946.89145077133</v>
      </c>
      <c r="K21" s="15">
        <f>LOOKUP(H21,Geometry!$I$6:$J$14)</f>
        <v>61</v>
      </c>
      <c r="L21" s="15">
        <f>K21*Geometry!$J$2</f>
        <v>54240.686583476017</v>
      </c>
      <c r="M21" s="54">
        <f t="shared" si="7"/>
        <v>53351.495000140349</v>
      </c>
      <c r="N21" s="54">
        <f t="shared" si="8"/>
        <v>0</v>
      </c>
      <c r="O21" s="54">
        <f t="shared" si="9"/>
        <v>0</v>
      </c>
      <c r="P21" s="54">
        <f t="shared" si="10"/>
        <v>0</v>
      </c>
      <c r="Q21" s="54">
        <f t="shared" si="11"/>
        <v>0</v>
      </c>
      <c r="R21" s="54">
        <f t="shared" si="12"/>
        <v>0</v>
      </c>
      <c r="S21" s="54">
        <f t="shared" si="2"/>
        <v>889.19158333567236</v>
      </c>
    </row>
    <row r="22" spans="1:19">
      <c r="A22" s="7">
        <f t="shared" si="3"/>
        <v>15</v>
      </c>
      <c r="B22" s="54">
        <f t="shared" si="4"/>
        <v>415</v>
      </c>
      <c r="C22" s="7">
        <v>1</v>
      </c>
      <c r="D22" s="64">
        <f>D21+LOOKUP(C22,Geometry!$H$19:$I$25)</f>
        <v>235</v>
      </c>
      <c r="E22" s="64">
        <f t="shared" si="5"/>
        <v>155</v>
      </c>
      <c r="F22" s="12">
        <f>Geometry!$D$12*D22</f>
        <v>3.7202307692307692</v>
      </c>
      <c r="G22" s="12">
        <f t="shared" si="6"/>
        <v>0.37961538461538458</v>
      </c>
      <c r="H22" s="12">
        <f>IF(ABS(E22*E22)&lt;=Geometry!$E$10,SQRT(Geometry!$E$10-E22*E22),0)</f>
        <v>208.74625745148103</v>
      </c>
      <c r="I22" s="12">
        <f t="shared" si="0"/>
        <v>1</v>
      </c>
      <c r="J22" s="15">
        <f t="shared" si="1"/>
        <v>136894.89988017522</v>
      </c>
      <c r="K22" s="15">
        <f>LOOKUP(H22,Geometry!$I$6:$J$14)</f>
        <v>61</v>
      </c>
      <c r="L22" s="15">
        <f>K22*Geometry!$J$2</f>
        <v>54240.686583476017</v>
      </c>
      <c r="M22" s="54">
        <f t="shared" si="7"/>
        <v>53351.495000140349</v>
      </c>
      <c r="N22" s="54">
        <f t="shared" si="8"/>
        <v>0</v>
      </c>
      <c r="O22" s="54">
        <f t="shared" si="9"/>
        <v>0</v>
      </c>
      <c r="P22" s="54">
        <f t="shared" si="10"/>
        <v>0</v>
      </c>
      <c r="Q22" s="54">
        <f t="shared" si="11"/>
        <v>0</v>
      </c>
      <c r="R22" s="54">
        <f t="shared" si="12"/>
        <v>0</v>
      </c>
      <c r="S22" s="54">
        <f t="shared" si="2"/>
        <v>889.19158333567236</v>
      </c>
    </row>
    <row r="23" spans="1:19">
      <c r="A23" s="7">
        <f t="shared" si="3"/>
        <v>16</v>
      </c>
      <c r="B23" s="54">
        <f t="shared" si="4"/>
        <v>410</v>
      </c>
      <c r="C23" s="7">
        <v>1</v>
      </c>
      <c r="D23" s="64">
        <f>D22+LOOKUP(C23,Geometry!$H$19:$I$25)</f>
        <v>240</v>
      </c>
      <c r="E23" s="64">
        <f t="shared" si="5"/>
        <v>150</v>
      </c>
      <c r="F23" s="12">
        <f>Geometry!$D$12*D23</f>
        <v>3.7993846153846156</v>
      </c>
      <c r="G23" s="12">
        <f t="shared" si="6"/>
        <v>0.38769230769230767</v>
      </c>
      <c r="H23" s="12">
        <f>IF(ABS(E23*E23)&lt;=Geometry!$E$10,SQRT(Geometry!$E$10-E23*E23),0)</f>
        <v>212.36760581595303</v>
      </c>
      <c r="I23" s="12">
        <f t="shared" si="0"/>
        <v>1</v>
      </c>
      <c r="J23" s="15">
        <f t="shared" si="1"/>
        <v>141685.82867689969</v>
      </c>
      <c r="K23" s="15">
        <f>LOOKUP(H23,Geometry!$I$6:$J$14)</f>
        <v>61</v>
      </c>
      <c r="L23" s="15">
        <f>K23*Geometry!$J$2</f>
        <v>54240.686583476017</v>
      </c>
      <c r="M23" s="54">
        <f t="shared" si="7"/>
        <v>53351.495000140349</v>
      </c>
      <c r="N23" s="54">
        <f t="shared" si="8"/>
        <v>0</v>
      </c>
      <c r="O23" s="54">
        <f t="shared" si="9"/>
        <v>0</v>
      </c>
      <c r="P23" s="54">
        <f t="shared" si="10"/>
        <v>0</v>
      </c>
      <c r="Q23" s="54">
        <f t="shared" si="11"/>
        <v>0</v>
      </c>
      <c r="R23" s="54">
        <f t="shared" si="12"/>
        <v>0</v>
      </c>
      <c r="S23" s="54">
        <f t="shared" si="2"/>
        <v>889.19158333567236</v>
      </c>
    </row>
    <row r="24" spans="1:19">
      <c r="A24" s="7">
        <f t="shared" si="3"/>
        <v>17</v>
      </c>
      <c r="B24" s="54">
        <f t="shared" si="4"/>
        <v>405</v>
      </c>
      <c r="C24" s="7">
        <v>1</v>
      </c>
      <c r="D24" s="64">
        <f>D23+LOOKUP(C24,Geometry!$H$19:$I$25)</f>
        <v>245</v>
      </c>
      <c r="E24" s="64">
        <f t="shared" si="5"/>
        <v>145</v>
      </c>
      <c r="F24" s="12">
        <f>Geometry!$D$12*D24</f>
        <v>3.8785384615384619</v>
      </c>
      <c r="G24" s="12">
        <f t="shared" si="6"/>
        <v>0.39576923076923076</v>
      </c>
      <c r="H24" s="12">
        <f>IF(ABS(E24*E24)&lt;=Geometry!$E$10,SQRT(Geometry!$E$10-E24*E24),0)</f>
        <v>215.81241854907239</v>
      </c>
      <c r="I24" s="12">
        <f t="shared" si="0"/>
        <v>1</v>
      </c>
      <c r="J24" s="15">
        <f t="shared" si="1"/>
        <v>146319.67784094461</v>
      </c>
      <c r="K24" s="15">
        <f>LOOKUP(H24,Geometry!$I$6:$J$14)</f>
        <v>61</v>
      </c>
      <c r="L24" s="15">
        <f>K24*Geometry!$J$2</f>
        <v>54240.686583476017</v>
      </c>
      <c r="M24" s="54">
        <f t="shared" si="7"/>
        <v>53351.495000140349</v>
      </c>
      <c r="N24" s="54">
        <f t="shared" si="8"/>
        <v>0</v>
      </c>
      <c r="O24" s="54">
        <f t="shared" si="9"/>
        <v>0</v>
      </c>
      <c r="P24" s="54">
        <f t="shared" si="10"/>
        <v>0</v>
      </c>
      <c r="Q24" s="54">
        <f t="shared" si="11"/>
        <v>0</v>
      </c>
      <c r="R24" s="54">
        <f t="shared" si="12"/>
        <v>0</v>
      </c>
      <c r="S24" s="54">
        <f t="shared" si="2"/>
        <v>889.19158333567236</v>
      </c>
    </row>
    <row r="25" spans="1:19">
      <c r="A25" s="7">
        <f t="shared" si="3"/>
        <v>18</v>
      </c>
      <c r="B25" s="54">
        <f t="shared" si="4"/>
        <v>400</v>
      </c>
      <c r="C25" s="7">
        <v>1</v>
      </c>
      <c r="D25" s="64">
        <f>D24+LOOKUP(C25,Geometry!$H$19:$I$25)</f>
        <v>250</v>
      </c>
      <c r="E25" s="64">
        <f t="shared" si="5"/>
        <v>140</v>
      </c>
      <c r="F25" s="12">
        <f>Geometry!$D$12*D25</f>
        <v>3.9576923076923078</v>
      </c>
      <c r="G25" s="12">
        <f t="shared" si="6"/>
        <v>0.40384615384615385</v>
      </c>
      <c r="H25" s="12">
        <f>IF(ABS(E25*E25)&lt;=Geometry!$E$10,SQRT(Geometry!$E$10-E25*E25),0)</f>
        <v>219.08902300206645</v>
      </c>
      <c r="I25" s="12">
        <f t="shared" si="0"/>
        <v>1</v>
      </c>
      <c r="J25" s="15">
        <f t="shared" si="1"/>
        <v>150796.44737231007</v>
      </c>
      <c r="K25" s="15">
        <f>LOOKUP(H25,Geometry!$I$6:$J$14)</f>
        <v>61</v>
      </c>
      <c r="L25" s="15">
        <f>K25*Geometry!$J$2</f>
        <v>54240.686583476017</v>
      </c>
      <c r="M25" s="54">
        <f t="shared" si="7"/>
        <v>53351.495000140349</v>
      </c>
      <c r="N25" s="54">
        <f t="shared" si="8"/>
        <v>0</v>
      </c>
      <c r="O25" s="54">
        <f t="shared" si="9"/>
        <v>0</v>
      </c>
      <c r="P25" s="54">
        <f t="shared" si="10"/>
        <v>0</v>
      </c>
      <c r="Q25" s="54">
        <f t="shared" si="11"/>
        <v>0</v>
      </c>
      <c r="R25" s="54">
        <f t="shared" si="12"/>
        <v>0</v>
      </c>
      <c r="S25" s="54">
        <f t="shared" si="2"/>
        <v>889.19158333567236</v>
      </c>
    </row>
    <row r="26" spans="1:19">
      <c r="A26" s="7">
        <f t="shared" si="3"/>
        <v>19</v>
      </c>
      <c r="B26" s="54">
        <f t="shared" si="4"/>
        <v>395</v>
      </c>
      <c r="C26" s="7">
        <v>1</v>
      </c>
      <c r="D26" s="64">
        <f>D25+LOOKUP(C26,Geometry!$H$19:$I$25)</f>
        <v>255</v>
      </c>
      <c r="E26" s="64">
        <f t="shared" si="5"/>
        <v>135</v>
      </c>
      <c r="F26" s="12">
        <f>Geometry!$D$12*D26</f>
        <v>4.0368461538461542</v>
      </c>
      <c r="G26" s="12">
        <f t="shared" si="6"/>
        <v>0.41192307692307695</v>
      </c>
      <c r="H26" s="12">
        <f>IF(ABS(E26*E26)&lt;=Geometry!$E$10,SQRT(Geometry!$E$10-E26*E26),0)</f>
        <v>222.20486043288972</v>
      </c>
      <c r="I26" s="12">
        <f t="shared" si="0"/>
        <v>1</v>
      </c>
      <c r="J26" s="15">
        <f t="shared" si="1"/>
        <v>155116.13727099603</v>
      </c>
      <c r="K26" s="15">
        <f>LOOKUP(H26,Geometry!$I$6:$J$14)</f>
        <v>61</v>
      </c>
      <c r="L26" s="15">
        <f>K26*Geometry!$J$2</f>
        <v>54240.686583476017</v>
      </c>
      <c r="M26" s="54">
        <f t="shared" si="7"/>
        <v>53351.495000140349</v>
      </c>
      <c r="N26" s="54">
        <f t="shared" si="8"/>
        <v>0</v>
      </c>
      <c r="O26" s="54">
        <f t="shared" si="9"/>
        <v>0</v>
      </c>
      <c r="P26" s="54">
        <f t="shared" si="10"/>
        <v>0</v>
      </c>
      <c r="Q26" s="54">
        <f t="shared" si="11"/>
        <v>0</v>
      </c>
      <c r="R26" s="54">
        <f t="shared" si="12"/>
        <v>0</v>
      </c>
      <c r="S26" s="54">
        <f t="shared" si="2"/>
        <v>889.19158333567236</v>
      </c>
    </row>
    <row r="27" spans="1:19">
      <c r="A27" s="7">
        <f t="shared" si="3"/>
        <v>20</v>
      </c>
      <c r="B27" s="54">
        <f t="shared" si="4"/>
        <v>390</v>
      </c>
      <c r="C27" s="7">
        <v>1</v>
      </c>
      <c r="D27" s="64">
        <f>D26+LOOKUP(C27,Geometry!$H$19:$I$25)</f>
        <v>260</v>
      </c>
      <c r="E27" s="64">
        <f t="shared" si="5"/>
        <v>130</v>
      </c>
      <c r="F27" s="12">
        <f>Geometry!$D$12*D27</f>
        <v>4.1160000000000005</v>
      </c>
      <c r="G27" s="12">
        <f t="shared" si="6"/>
        <v>0.42000000000000004</v>
      </c>
      <c r="H27" s="12">
        <f>IF(ABS(E27*E27)&lt;=Geometry!$E$10,SQRT(Geometry!$E$10-E27*E27),0)</f>
        <v>225.16660498395404</v>
      </c>
      <c r="I27" s="12">
        <f t="shared" si="0"/>
        <v>1</v>
      </c>
      <c r="J27" s="15">
        <f t="shared" si="1"/>
        <v>159278.74753700252</v>
      </c>
      <c r="K27" s="15">
        <f>LOOKUP(H27,Geometry!$I$6:$J$14)</f>
        <v>61</v>
      </c>
      <c r="L27" s="15">
        <f>K27*Geometry!$J$2</f>
        <v>54240.686583476017</v>
      </c>
      <c r="M27" s="54">
        <f t="shared" si="7"/>
        <v>53351.495000140349</v>
      </c>
      <c r="N27" s="54">
        <f t="shared" si="8"/>
        <v>0</v>
      </c>
      <c r="O27" s="54">
        <f t="shared" si="9"/>
        <v>0</v>
      </c>
      <c r="P27" s="54">
        <f t="shared" si="10"/>
        <v>0</v>
      </c>
      <c r="Q27" s="54">
        <f t="shared" si="11"/>
        <v>0</v>
      </c>
      <c r="R27" s="54">
        <f t="shared" si="12"/>
        <v>0</v>
      </c>
      <c r="S27" s="54">
        <f t="shared" si="2"/>
        <v>889.19158333567236</v>
      </c>
    </row>
    <row r="28" spans="1:19">
      <c r="A28" s="7">
        <f t="shared" si="3"/>
        <v>21</v>
      </c>
      <c r="B28" s="54">
        <f t="shared" si="4"/>
        <v>385</v>
      </c>
      <c r="C28" s="7">
        <v>1</v>
      </c>
      <c r="D28" s="64">
        <f>D27+LOOKUP(C28,Geometry!$H$19:$I$25)</f>
        <v>265</v>
      </c>
      <c r="E28" s="64">
        <f t="shared" si="5"/>
        <v>125</v>
      </c>
      <c r="F28" s="12">
        <f>Geometry!$D$12*D28</f>
        <v>4.195153846153846</v>
      </c>
      <c r="G28" s="12">
        <f t="shared" si="6"/>
        <v>0.42807692307692302</v>
      </c>
      <c r="H28" s="12">
        <f>IF(ABS(E28*E28)&lt;=Geometry!$E$10,SQRT(Geometry!$E$10-E28*E28),0)</f>
        <v>227.98026230355995</v>
      </c>
      <c r="I28" s="12">
        <f t="shared" si="0"/>
        <v>1</v>
      </c>
      <c r="J28" s="15">
        <f t="shared" si="1"/>
        <v>163284.27817032949</v>
      </c>
      <c r="K28" s="15">
        <f>LOOKUP(H28,Geometry!$I$6:$J$14)</f>
        <v>61</v>
      </c>
      <c r="L28" s="15">
        <f>K28*Geometry!$J$2</f>
        <v>54240.686583476017</v>
      </c>
      <c r="M28" s="54">
        <f t="shared" si="7"/>
        <v>53351.495000140349</v>
      </c>
      <c r="N28" s="54">
        <f t="shared" si="8"/>
        <v>0</v>
      </c>
      <c r="O28" s="54">
        <f t="shared" si="9"/>
        <v>0</v>
      </c>
      <c r="P28" s="54">
        <f t="shared" si="10"/>
        <v>0</v>
      </c>
      <c r="Q28" s="54">
        <f t="shared" si="11"/>
        <v>0</v>
      </c>
      <c r="R28" s="54">
        <f t="shared" si="12"/>
        <v>0</v>
      </c>
      <c r="S28" s="54">
        <f t="shared" si="2"/>
        <v>889.19158333567236</v>
      </c>
    </row>
    <row r="29" spans="1:19">
      <c r="A29" s="7">
        <f t="shared" si="3"/>
        <v>22</v>
      </c>
      <c r="B29" s="54">
        <f t="shared" si="4"/>
        <v>380</v>
      </c>
      <c r="C29" s="7">
        <v>1</v>
      </c>
      <c r="D29" s="64">
        <f>D28+LOOKUP(C29,Geometry!$H$19:$I$25)</f>
        <v>270</v>
      </c>
      <c r="E29" s="64">
        <f t="shared" si="5"/>
        <v>120</v>
      </c>
      <c r="F29" s="12">
        <f>Geometry!$D$12*D29</f>
        <v>4.2743076923076924</v>
      </c>
      <c r="G29" s="12">
        <f t="shared" si="6"/>
        <v>0.43615384615384611</v>
      </c>
      <c r="H29" s="12">
        <f>IF(ABS(E29*E29)&lt;=Geometry!$E$10,SQRT(Geometry!$E$10-E29*E29),0)</f>
        <v>230.65125189341592</v>
      </c>
      <c r="I29" s="12">
        <f t="shared" si="0"/>
        <v>1</v>
      </c>
      <c r="J29" s="15">
        <f t="shared" si="1"/>
        <v>167132.72917097699</v>
      </c>
      <c r="K29" s="15">
        <f>LOOKUP(H29,Geometry!$I$6:$J$14)</f>
        <v>91</v>
      </c>
      <c r="L29" s="15">
        <f>K29*Geometry!$J$2</f>
        <v>80916.434083546192</v>
      </c>
      <c r="M29" s="54">
        <f t="shared" si="7"/>
        <v>80027.242500210516</v>
      </c>
      <c r="N29" s="54">
        <f t="shared" si="8"/>
        <v>0</v>
      </c>
      <c r="O29" s="54">
        <f t="shared" si="9"/>
        <v>0</v>
      </c>
      <c r="P29" s="54">
        <f t="shared" si="10"/>
        <v>0</v>
      </c>
      <c r="Q29" s="54">
        <f t="shared" si="11"/>
        <v>0</v>
      </c>
      <c r="R29" s="54">
        <f t="shared" si="12"/>
        <v>0</v>
      </c>
      <c r="S29" s="54">
        <f t="shared" si="2"/>
        <v>889.19158333567236</v>
      </c>
    </row>
    <row r="30" spans="1:19">
      <c r="A30" s="7">
        <f t="shared" si="3"/>
        <v>23</v>
      </c>
      <c r="B30" s="54">
        <f t="shared" si="4"/>
        <v>375</v>
      </c>
      <c r="C30" s="7">
        <v>1</v>
      </c>
      <c r="D30" s="64">
        <f>D29+LOOKUP(C30,Geometry!$H$19:$I$25)</f>
        <v>275</v>
      </c>
      <c r="E30" s="64">
        <f t="shared" si="5"/>
        <v>115</v>
      </c>
      <c r="F30" s="12">
        <f>Geometry!$D$12*D30</f>
        <v>4.3534615384615387</v>
      </c>
      <c r="G30" s="12">
        <f t="shared" si="6"/>
        <v>0.44423076923076921</v>
      </c>
      <c r="H30" s="12">
        <f>IF(ABS(E30*E30)&lt;=Geometry!$E$10,SQRT(Geometry!$E$10-E30*E30),0)</f>
        <v>233.18447632722038</v>
      </c>
      <c r="I30" s="12">
        <f t="shared" si="0"/>
        <v>1</v>
      </c>
      <c r="J30" s="15">
        <f t="shared" si="1"/>
        <v>170824.100538945</v>
      </c>
      <c r="K30" s="15">
        <f>LOOKUP(H30,Geometry!$I$6:$J$14)</f>
        <v>91</v>
      </c>
      <c r="L30" s="15">
        <f>K30*Geometry!$J$2</f>
        <v>80916.434083546192</v>
      </c>
      <c r="M30" s="54">
        <f t="shared" si="7"/>
        <v>80027.242500210516</v>
      </c>
      <c r="N30" s="54">
        <f t="shared" si="8"/>
        <v>0</v>
      </c>
      <c r="O30" s="54">
        <f t="shared" si="9"/>
        <v>0</v>
      </c>
      <c r="P30" s="54">
        <f t="shared" si="10"/>
        <v>0</v>
      </c>
      <c r="Q30" s="54">
        <f t="shared" si="11"/>
        <v>0</v>
      </c>
      <c r="R30" s="54">
        <f t="shared" si="12"/>
        <v>0</v>
      </c>
      <c r="S30" s="54">
        <f t="shared" si="2"/>
        <v>889.19158333567236</v>
      </c>
    </row>
    <row r="31" spans="1:19">
      <c r="A31" s="7">
        <f t="shared" si="3"/>
        <v>24</v>
      </c>
      <c r="B31" s="54">
        <f t="shared" si="4"/>
        <v>370</v>
      </c>
      <c r="C31" s="7">
        <v>1</v>
      </c>
      <c r="D31" s="64">
        <f>D30+LOOKUP(C31,Geometry!$H$19:$I$25)</f>
        <v>280</v>
      </c>
      <c r="E31" s="64">
        <f t="shared" si="5"/>
        <v>110</v>
      </c>
      <c r="F31" s="12">
        <f>Geometry!$D$12*D31</f>
        <v>4.4326153846153851</v>
      </c>
      <c r="G31" s="12">
        <f t="shared" si="6"/>
        <v>0.4523076923076923</v>
      </c>
      <c r="H31" s="12">
        <f>IF(ABS(E31*E31)&lt;=Geometry!$E$10,SQRT(Geometry!$E$10-E31*E31),0)</f>
        <v>235.58437978779492</v>
      </c>
      <c r="I31" s="12">
        <f t="shared" si="0"/>
        <v>1</v>
      </c>
      <c r="J31" s="15">
        <f t="shared" si="1"/>
        <v>174358.39227423351</v>
      </c>
      <c r="K31" s="15">
        <f>LOOKUP(H31,Geometry!$I$6:$J$14)</f>
        <v>91</v>
      </c>
      <c r="L31" s="15">
        <f>K31*Geometry!$J$2</f>
        <v>80916.434083546192</v>
      </c>
      <c r="M31" s="54">
        <f t="shared" si="7"/>
        <v>80027.242500210516</v>
      </c>
      <c r="N31" s="54">
        <f t="shared" si="8"/>
        <v>0</v>
      </c>
      <c r="O31" s="54">
        <f t="shared" si="9"/>
        <v>0</v>
      </c>
      <c r="P31" s="54">
        <f t="shared" si="10"/>
        <v>0</v>
      </c>
      <c r="Q31" s="54">
        <f t="shared" si="11"/>
        <v>0</v>
      </c>
      <c r="R31" s="54">
        <f t="shared" si="12"/>
        <v>0</v>
      </c>
      <c r="S31" s="54">
        <f t="shared" si="2"/>
        <v>889.19158333567236</v>
      </c>
    </row>
    <row r="32" spans="1:19">
      <c r="A32" s="7">
        <f t="shared" si="3"/>
        <v>25</v>
      </c>
      <c r="B32" s="54">
        <f t="shared" si="4"/>
        <v>365</v>
      </c>
      <c r="C32" s="7">
        <v>1</v>
      </c>
      <c r="D32" s="64">
        <f>D31+LOOKUP(C32,Geometry!$H$19:$I$25)</f>
        <v>285</v>
      </c>
      <c r="E32" s="64">
        <f t="shared" si="5"/>
        <v>105</v>
      </c>
      <c r="F32" s="12">
        <f>Geometry!$D$12*D32</f>
        <v>4.5117692307692314</v>
      </c>
      <c r="G32" s="12">
        <f>IF(H32&gt;0,F32/9.8,0)</f>
        <v>0.46038461538461539</v>
      </c>
      <c r="H32" s="12">
        <f>IF(ABS(E32*E32)&lt;=Geometry!$E$10,SQRT(Geometry!$E$10-E32*E32),0)</f>
        <v>237.85499784532593</v>
      </c>
      <c r="I32" s="12">
        <f t="shared" si="0"/>
        <v>1</v>
      </c>
      <c r="J32" s="15">
        <f t="shared" si="1"/>
        <v>177735.60437684256</v>
      </c>
      <c r="K32" s="15">
        <f>LOOKUP(H32,Geometry!$I$6:$J$14)</f>
        <v>91</v>
      </c>
      <c r="L32" s="15">
        <f>K32*Geometry!$J$2</f>
        <v>80916.434083546192</v>
      </c>
      <c r="M32" s="54">
        <f t="shared" si="7"/>
        <v>80027.242500210516</v>
      </c>
      <c r="N32" s="54">
        <f t="shared" si="8"/>
        <v>0</v>
      </c>
      <c r="O32" s="54">
        <f t="shared" si="9"/>
        <v>0</v>
      </c>
      <c r="P32" s="54">
        <f t="shared" si="10"/>
        <v>0</v>
      </c>
      <c r="Q32" s="54">
        <f t="shared" si="11"/>
        <v>0</v>
      </c>
      <c r="R32" s="54">
        <f t="shared" si="12"/>
        <v>0</v>
      </c>
      <c r="S32" s="54">
        <f t="shared" si="2"/>
        <v>889.19158333567236</v>
      </c>
    </row>
    <row r="33" spans="1:19">
      <c r="A33" s="7">
        <f t="shared" si="3"/>
        <v>26</v>
      </c>
      <c r="B33" s="54">
        <f t="shared" si="4"/>
        <v>360</v>
      </c>
      <c r="C33" s="7">
        <v>1</v>
      </c>
      <c r="D33" s="64">
        <f>D32+LOOKUP(C33,Geometry!$H$19:$I$25)</f>
        <v>290</v>
      </c>
      <c r="E33" s="64">
        <f t="shared" si="5"/>
        <v>100</v>
      </c>
      <c r="F33" s="12">
        <f>Geometry!$D$12*D33</f>
        <v>4.5909230769230769</v>
      </c>
      <c r="G33" s="12">
        <f t="shared" si="6"/>
        <v>0.46846153846153843</v>
      </c>
      <c r="H33" s="12">
        <f>IF(ABS(E33*E33)&lt;=Geometry!$E$10,SQRT(Geometry!$E$10-E33*E33),0)</f>
        <v>240</v>
      </c>
      <c r="I33" s="12">
        <f t="shared" si="0"/>
        <v>1</v>
      </c>
      <c r="J33" s="15">
        <f t="shared" si="1"/>
        <v>180955.73684677208</v>
      </c>
      <c r="K33" s="15">
        <f>LOOKUP(H33,Geometry!$I$6:$J$14)</f>
        <v>91</v>
      </c>
      <c r="L33" s="15">
        <f>K33*Geometry!$J$2</f>
        <v>80916.434083546192</v>
      </c>
      <c r="M33" s="54">
        <f t="shared" si="7"/>
        <v>80027.242500210516</v>
      </c>
      <c r="N33" s="54">
        <f t="shared" si="8"/>
        <v>0</v>
      </c>
      <c r="O33" s="54">
        <f t="shared" si="9"/>
        <v>0</v>
      </c>
      <c r="P33" s="54">
        <f t="shared" si="10"/>
        <v>0</v>
      </c>
      <c r="Q33" s="54">
        <f t="shared" si="11"/>
        <v>0</v>
      </c>
      <c r="R33" s="54">
        <f t="shared" si="12"/>
        <v>0</v>
      </c>
      <c r="S33" s="54">
        <f t="shared" si="2"/>
        <v>889.19158333567236</v>
      </c>
    </row>
    <row r="34" spans="1:19">
      <c r="A34" s="7">
        <f t="shared" si="3"/>
        <v>27</v>
      </c>
      <c r="B34" s="54">
        <f t="shared" si="4"/>
        <v>355</v>
      </c>
      <c r="C34" s="7">
        <v>1</v>
      </c>
      <c r="D34" s="64">
        <f>D33+LOOKUP(C34,Geometry!$H$19:$I$25)</f>
        <v>295</v>
      </c>
      <c r="E34" s="64">
        <f t="shared" si="5"/>
        <v>95</v>
      </c>
      <c r="F34" s="12">
        <f>Geometry!$D$12*D34</f>
        <v>4.6700769230769232</v>
      </c>
      <c r="G34" s="12">
        <f t="shared" si="6"/>
        <v>0.47653846153846152</v>
      </c>
      <c r="H34" s="12">
        <f>IF(ABS(E34*E34)&lt;=Geometry!$E$10,SQRT(Geometry!$E$10-E34*E34),0)</f>
        <v>242.02272620561897</v>
      </c>
      <c r="I34" s="12">
        <f t="shared" si="0"/>
        <v>1</v>
      </c>
      <c r="J34" s="15">
        <f t="shared" si="1"/>
        <v>184018.78968402214</v>
      </c>
      <c r="K34" s="15">
        <f>LOOKUP(H34,Geometry!$I$6:$J$14)</f>
        <v>91</v>
      </c>
      <c r="L34" s="15">
        <f>K34*Geometry!$J$2</f>
        <v>80916.434083546192</v>
      </c>
      <c r="M34" s="54">
        <f t="shared" si="7"/>
        <v>80027.242500210516</v>
      </c>
      <c r="N34" s="54">
        <f t="shared" si="8"/>
        <v>0</v>
      </c>
      <c r="O34" s="54">
        <f t="shared" si="9"/>
        <v>0</v>
      </c>
      <c r="P34" s="54">
        <f t="shared" si="10"/>
        <v>0</v>
      </c>
      <c r="Q34" s="54">
        <f t="shared" si="11"/>
        <v>0</v>
      </c>
      <c r="R34" s="54">
        <f t="shared" si="12"/>
        <v>0</v>
      </c>
      <c r="S34" s="54">
        <f t="shared" si="2"/>
        <v>889.19158333567236</v>
      </c>
    </row>
    <row r="35" spans="1:19">
      <c r="A35" s="7">
        <f t="shared" si="3"/>
        <v>28</v>
      </c>
      <c r="B35" s="54">
        <f t="shared" si="4"/>
        <v>350</v>
      </c>
      <c r="C35" s="7">
        <v>1</v>
      </c>
      <c r="D35" s="64">
        <f>D34+LOOKUP(C35,Geometry!$H$19:$I$25)</f>
        <v>300</v>
      </c>
      <c r="E35" s="64">
        <f t="shared" si="5"/>
        <v>90</v>
      </c>
      <c r="F35" s="12">
        <f>Geometry!$D$12*D35</f>
        <v>4.7492307692307696</v>
      </c>
      <c r="G35" s="12">
        <f t="shared" si="6"/>
        <v>0.48461538461538461</v>
      </c>
      <c r="H35" s="12">
        <f>IF(ABS(E35*E35)&lt;=Geometry!$E$10,SQRT(Geometry!$E$10-E35*E35),0)</f>
        <v>243.92621835300935</v>
      </c>
      <c r="I35" s="12">
        <f t="shared" si="0"/>
        <v>1</v>
      </c>
      <c r="J35" s="15">
        <f t="shared" si="1"/>
        <v>186924.76288859267</v>
      </c>
      <c r="K35" s="15">
        <f>LOOKUP(H35,Geometry!$I$6:$J$14)</f>
        <v>91</v>
      </c>
      <c r="L35" s="15">
        <f>K35*Geometry!$J$2</f>
        <v>80916.434083546192</v>
      </c>
      <c r="M35" s="54">
        <f t="shared" si="7"/>
        <v>80027.242500210516</v>
      </c>
      <c r="N35" s="54">
        <f t="shared" si="8"/>
        <v>0</v>
      </c>
      <c r="O35" s="54">
        <f t="shared" si="9"/>
        <v>0</v>
      </c>
      <c r="P35" s="54">
        <f t="shared" si="10"/>
        <v>0</v>
      </c>
      <c r="Q35" s="54">
        <f t="shared" si="11"/>
        <v>0</v>
      </c>
      <c r="R35" s="54">
        <f t="shared" si="12"/>
        <v>0</v>
      </c>
      <c r="S35" s="54">
        <f t="shared" si="2"/>
        <v>889.19158333567236</v>
      </c>
    </row>
    <row r="36" spans="1:19">
      <c r="A36" s="7">
        <f t="shared" si="3"/>
        <v>29</v>
      </c>
      <c r="B36" s="54">
        <f t="shared" si="4"/>
        <v>345</v>
      </c>
      <c r="C36" s="7">
        <v>1</v>
      </c>
      <c r="D36" s="64">
        <f>D35+LOOKUP(C36,Geometry!$H$19:$I$25)</f>
        <v>305</v>
      </c>
      <c r="E36" s="64">
        <f t="shared" si="5"/>
        <v>85</v>
      </c>
      <c r="F36" s="12">
        <f>Geometry!$D$12*D36</f>
        <v>4.8283846153846159</v>
      </c>
      <c r="G36" s="12">
        <f t="shared" si="6"/>
        <v>0.49269230769230771</v>
      </c>
      <c r="H36" s="12">
        <f>IF(ABS(E36*E36)&lt;=Geometry!$E$10,SQRT(Geometry!$E$10-E36*E36),0)</f>
        <v>245.71324750611228</v>
      </c>
      <c r="I36" s="12">
        <f t="shared" si="0"/>
        <v>1</v>
      </c>
      <c r="J36" s="15">
        <f t="shared" si="1"/>
        <v>189673.65646048373</v>
      </c>
      <c r="K36" s="15">
        <f>LOOKUP(H36,Geometry!$I$6:$J$14)</f>
        <v>91</v>
      </c>
      <c r="L36" s="15">
        <f>K36*Geometry!$J$2</f>
        <v>80916.434083546192</v>
      </c>
      <c r="M36" s="54">
        <f t="shared" si="7"/>
        <v>80027.242500210516</v>
      </c>
      <c r="N36" s="54">
        <f t="shared" si="8"/>
        <v>0</v>
      </c>
      <c r="O36" s="54">
        <f t="shared" si="9"/>
        <v>0</v>
      </c>
      <c r="P36" s="54">
        <f t="shared" si="10"/>
        <v>0</v>
      </c>
      <c r="Q36" s="54">
        <f t="shared" si="11"/>
        <v>0</v>
      </c>
      <c r="R36" s="54">
        <f t="shared" si="12"/>
        <v>0</v>
      </c>
      <c r="S36" s="54">
        <f t="shared" si="2"/>
        <v>889.19158333567236</v>
      </c>
    </row>
    <row r="37" spans="1:19">
      <c r="A37" s="7">
        <f t="shared" si="3"/>
        <v>30</v>
      </c>
      <c r="B37" s="54">
        <f t="shared" si="4"/>
        <v>340</v>
      </c>
      <c r="C37" s="7">
        <v>1</v>
      </c>
      <c r="D37" s="64">
        <f>D36+LOOKUP(C37,Geometry!$H$19:$I$25)</f>
        <v>310</v>
      </c>
      <c r="E37" s="64">
        <f t="shared" si="5"/>
        <v>80</v>
      </c>
      <c r="F37" s="12">
        <f>Geometry!$D$12*D37</f>
        <v>4.9075384615384614</v>
      </c>
      <c r="G37" s="12">
        <f t="shared" si="6"/>
        <v>0.50076923076923074</v>
      </c>
      <c r="H37" s="12">
        <f>IF(ABS(E37*E37)&lt;=Geometry!$E$10,SQRT(Geometry!$E$10-E37*E37),0)</f>
        <v>247.38633753705963</v>
      </c>
      <c r="I37" s="12">
        <f t="shared" si="0"/>
        <v>1</v>
      </c>
      <c r="J37" s="15">
        <f t="shared" si="1"/>
        <v>192265.47039969533</v>
      </c>
      <c r="K37" s="15">
        <f>LOOKUP(H37,Geometry!$I$6:$J$14)</f>
        <v>91</v>
      </c>
      <c r="L37" s="15">
        <f>K37*Geometry!$J$2</f>
        <v>80916.434083546192</v>
      </c>
      <c r="M37" s="54">
        <f t="shared" si="7"/>
        <v>80027.242500210516</v>
      </c>
      <c r="N37" s="54">
        <f t="shared" si="8"/>
        <v>0</v>
      </c>
      <c r="O37" s="54">
        <f t="shared" si="9"/>
        <v>0</v>
      </c>
      <c r="P37" s="54">
        <f t="shared" si="10"/>
        <v>0</v>
      </c>
      <c r="Q37" s="54">
        <f t="shared" si="11"/>
        <v>0</v>
      </c>
      <c r="R37" s="54">
        <f t="shared" si="12"/>
        <v>0</v>
      </c>
      <c r="S37" s="54">
        <f t="shared" si="2"/>
        <v>889.19158333567236</v>
      </c>
    </row>
    <row r="38" spans="1:19">
      <c r="A38" s="7">
        <f t="shared" si="3"/>
        <v>31</v>
      </c>
      <c r="B38" s="54">
        <f t="shared" si="4"/>
        <v>335</v>
      </c>
      <c r="C38" s="7">
        <v>1</v>
      </c>
      <c r="D38" s="64">
        <f>D37+LOOKUP(C38,Geometry!$H$19:$I$25)</f>
        <v>315</v>
      </c>
      <c r="E38" s="64">
        <f t="shared" si="5"/>
        <v>75</v>
      </c>
      <c r="F38" s="12">
        <f>Geometry!$D$12*D38</f>
        <v>4.9866923076923078</v>
      </c>
      <c r="G38" s="12">
        <f t="shared" si="6"/>
        <v>0.50884615384615384</v>
      </c>
      <c r="H38" s="12">
        <f>IF(ABS(E38*E38)&lt;=Geometry!$E$10,SQRT(Geometry!$E$10-E38*E38),0)</f>
        <v>248.94778569009205</v>
      </c>
      <c r="I38" s="12">
        <f t="shared" si="0"/>
        <v>1</v>
      </c>
      <c r="J38" s="15">
        <f t="shared" si="1"/>
        <v>194700.20470622744</v>
      </c>
      <c r="K38" s="15">
        <f>LOOKUP(H38,Geometry!$I$6:$J$14)</f>
        <v>91</v>
      </c>
      <c r="L38" s="15">
        <f>K38*Geometry!$J$2</f>
        <v>80916.434083546192</v>
      </c>
      <c r="M38" s="54">
        <f t="shared" si="7"/>
        <v>80027.242500210516</v>
      </c>
      <c r="N38" s="54">
        <f t="shared" si="8"/>
        <v>0</v>
      </c>
      <c r="O38" s="54">
        <f t="shared" si="9"/>
        <v>0</v>
      </c>
      <c r="P38" s="54">
        <f t="shared" si="10"/>
        <v>0</v>
      </c>
      <c r="Q38" s="54">
        <f t="shared" si="11"/>
        <v>0</v>
      </c>
      <c r="R38" s="54">
        <f t="shared" si="12"/>
        <v>0</v>
      </c>
      <c r="S38" s="54">
        <f t="shared" si="2"/>
        <v>889.19158333567236</v>
      </c>
    </row>
    <row r="39" spans="1:19">
      <c r="A39" s="7">
        <f t="shared" si="3"/>
        <v>32</v>
      </c>
      <c r="B39" s="54">
        <f t="shared" si="4"/>
        <v>330</v>
      </c>
      <c r="C39" s="7">
        <v>1</v>
      </c>
      <c r="D39" s="64">
        <f>D38+LOOKUP(C39,Geometry!$H$19:$I$25)</f>
        <v>320</v>
      </c>
      <c r="E39" s="64">
        <f t="shared" si="5"/>
        <v>70</v>
      </c>
      <c r="F39" s="12">
        <f>Geometry!$D$12*D39</f>
        <v>5.0658461538461541</v>
      </c>
      <c r="G39" s="12">
        <f t="shared" si="6"/>
        <v>0.51692307692307693</v>
      </c>
      <c r="H39" s="12">
        <f>IF(ABS(E39*E39)&lt;=Geometry!$E$10,SQRT(Geometry!$E$10-E39*E39),0)</f>
        <v>250.3996805109783</v>
      </c>
      <c r="I39" s="12">
        <f t="shared" si="0"/>
        <v>1</v>
      </c>
      <c r="J39" s="15">
        <f t="shared" si="1"/>
        <v>196977.85938008004</v>
      </c>
      <c r="K39" s="15">
        <f>LOOKUP(H39,Geometry!$I$6:$J$14)</f>
        <v>91</v>
      </c>
      <c r="L39" s="15">
        <f>K39*Geometry!$J$2</f>
        <v>80916.434083546192</v>
      </c>
      <c r="M39" s="54">
        <f t="shared" si="7"/>
        <v>80027.242500210516</v>
      </c>
      <c r="N39" s="54">
        <f t="shared" si="8"/>
        <v>0</v>
      </c>
      <c r="O39" s="54">
        <f t="shared" si="9"/>
        <v>0</v>
      </c>
      <c r="P39" s="54">
        <f t="shared" si="10"/>
        <v>0</v>
      </c>
      <c r="Q39" s="54">
        <f t="shared" si="11"/>
        <v>0</v>
      </c>
      <c r="R39" s="54">
        <f t="shared" si="12"/>
        <v>0</v>
      </c>
      <c r="S39" s="54">
        <f t="shared" si="2"/>
        <v>889.19158333567236</v>
      </c>
    </row>
    <row r="40" spans="1:19">
      <c r="A40" s="7">
        <f t="shared" si="3"/>
        <v>33</v>
      </c>
      <c r="B40" s="54">
        <f t="shared" si="4"/>
        <v>325</v>
      </c>
      <c r="C40" s="7">
        <v>1</v>
      </c>
      <c r="D40" s="64">
        <f>D39+LOOKUP(C40,Geometry!$H$19:$I$25)</f>
        <v>325</v>
      </c>
      <c r="E40" s="64">
        <f t="shared" si="5"/>
        <v>65</v>
      </c>
      <c r="F40" s="12">
        <f>Geometry!$D$12*D40</f>
        <v>5.1450000000000005</v>
      </c>
      <c r="G40" s="12">
        <f t="shared" si="6"/>
        <v>0.52500000000000002</v>
      </c>
      <c r="H40" s="12">
        <f>IF(ABS(E40*E40)&lt;=Geometry!$E$10,SQRT(Geometry!$E$10-E40*E40),0)</f>
        <v>251.74391750348209</v>
      </c>
      <c r="I40" s="12">
        <f t="shared" si="0"/>
        <v>1</v>
      </c>
      <c r="J40" s="15">
        <f t="shared" ref="J40:J71" si="13">PI()*H40*H40</f>
        <v>199098.43442125313</v>
      </c>
      <c r="K40" s="15">
        <f>LOOKUP(H40,Geometry!$I$6:$J$14)</f>
        <v>91</v>
      </c>
      <c r="L40" s="15">
        <f>K40*Geometry!$J$2</f>
        <v>80916.434083546192</v>
      </c>
      <c r="M40" s="54">
        <f t="shared" si="7"/>
        <v>80027.242500210516</v>
      </c>
      <c r="N40" s="54">
        <f t="shared" si="8"/>
        <v>0</v>
      </c>
      <c r="O40" s="54">
        <f t="shared" si="9"/>
        <v>0</v>
      </c>
      <c r="P40" s="54">
        <f t="shared" si="10"/>
        <v>0</v>
      </c>
      <c r="Q40" s="54">
        <f t="shared" si="11"/>
        <v>0</v>
      </c>
      <c r="R40" s="54">
        <f t="shared" si="12"/>
        <v>0</v>
      </c>
      <c r="S40" s="54">
        <f t="shared" ref="S40:S71" si="14">IF($C40=0,$L40,$H$1)</f>
        <v>889.19158333567236</v>
      </c>
    </row>
    <row r="41" spans="1:19">
      <c r="A41" s="7">
        <f t="shared" ref="A41:A72" si="15">A40+1</f>
        <v>34</v>
      </c>
      <c r="B41" s="54">
        <f t="shared" si="4"/>
        <v>320</v>
      </c>
      <c r="C41" s="7">
        <v>1</v>
      </c>
      <c r="D41" s="64">
        <f>D40+LOOKUP(C41,Geometry!$H$19:$I$25)</f>
        <v>330</v>
      </c>
      <c r="E41" s="64">
        <f t="shared" si="5"/>
        <v>60</v>
      </c>
      <c r="F41" s="12">
        <f>Geometry!$D$12*D41</f>
        <v>5.2241538461538468</v>
      </c>
      <c r="G41" s="12">
        <f t="shared" si="6"/>
        <v>0.53307692307692311</v>
      </c>
      <c r="H41" s="12">
        <f>IF(ABS(E41*E41)&lt;=Geometry!$E$10,SQRT(Geometry!$E$10-E41*E41),0)</f>
        <v>252.98221281347034</v>
      </c>
      <c r="I41" s="12">
        <f t="shared" si="0"/>
        <v>1</v>
      </c>
      <c r="J41" s="15">
        <f t="shared" si="13"/>
        <v>201061.92982974675</v>
      </c>
      <c r="K41" s="15">
        <f>LOOKUP(H41,Geometry!$I$6:$J$14)</f>
        <v>91</v>
      </c>
      <c r="L41" s="15">
        <f>K41*Geometry!$J$2</f>
        <v>80916.434083546192</v>
      </c>
      <c r="M41" s="54">
        <f t="shared" si="7"/>
        <v>80027.242500210516</v>
      </c>
      <c r="N41" s="54">
        <f t="shared" ref="N41:N72" si="16">IF($C41=2,$L41-$S41,0)</f>
        <v>0</v>
      </c>
      <c r="O41" s="54">
        <f t="shared" si="9"/>
        <v>0</v>
      </c>
      <c r="P41" s="54">
        <f t="shared" si="10"/>
        <v>0</v>
      </c>
      <c r="Q41" s="54">
        <f t="shared" si="11"/>
        <v>0</v>
      </c>
      <c r="R41" s="54">
        <f t="shared" si="12"/>
        <v>0</v>
      </c>
      <c r="S41" s="54">
        <f t="shared" si="14"/>
        <v>889.19158333567236</v>
      </c>
    </row>
    <row r="42" spans="1:19">
      <c r="A42" s="7">
        <f t="shared" si="15"/>
        <v>35</v>
      </c>
      <c r="B42" s="54">
        <f t="shared" si="4"/>
        <v>315</v>
      </c>
      <c r="C42" s="7">
        <v>1</v>
      </c>
      <c r="D42" s="64">
        <f>D41+LOOKUP(C42,Geometry!$H$19:$I$25)</f>
        <v>335</v>
      </c>
      <c r="E42" s="64">
        <f t="shared" si="5"/>
        <v>55</v>
      </c>
      <c r="F42" s="12">
        <f>Geometry!$D$12*D42</f>
        <v>5.3033076923076923</v>
      </c>
      <c r="G42" s="12">
        <f t="shared" si="6"/>
        <v>0.5411538461538461</v>
      </c>
      <c r="H42" s="12">
        <f>IF(ABS(E42*E42)&lt;=Geometry!$E$10,SQRT(Geometry!$E$10-E42*E42),0)</f>
        <v>254.11611519146123</v>
      </c>
      <c r="I42" s="12">
        <f t="shared" si="0"/>
        <v>1</v>
      </c>
      <c r="J42" s="15">
        <f t="shared" si="13"/>
        <v>202868.34560556087</v>
      </c>
      <c r="K42" s="15">
        <f>LOOKUP(H42,Geometry!$I$6:$J$14)</f>
        <v>91</v>
      </c>
      <c r="L42" s="15">
        <f>K42*Geometry!$J$2</f>
        <v>80916.434083546192</v>
      </c>
      <c r="M42" s="54">
        <f t="shared" si="7"/>
        <v>80027.242500210516</v>
      </c>
      <c r="N42" s="54">
        <f t="shared" si="16"/>
        <v>0</v>
      </c>
      <c r="O42" s="54">
        <f t="shared" si="9"/>
        <v>0</v>
      </c>
      <c r="P42" s="54">
        <f t="shared" si="10"/>
        <v>0</v>
      </c>
      <c r="Q42" s="54">
        <f t="shared" si="11"/>
        <v>0</v>
      </c>
      <c r="R42" s="54">
        <f t="shared" si="12"/>
        <v>0</v>
      </c>
      <c r="S42" s="54">
        <f t="shared" si="14"/>
        <v>889.19158333567236</v>
      </c>
    </row>
    <row r="43" spans="1:19">
      <c r="A43">
        <f t="shared" si="15"/>
        <v>36</v>
      </c>
      <c r="B43" s="54">
        <f t="shared" si="4"/>
        <v>310</v>
      </c>
      <c r="C43" s="7">
        <v>1</v>
      </c>
      <c r="D43" s="64">
        <f>D42+LOOKUP(C43,Geometry!$H$19:$I$25)</f>
        <v>340</v>
      </c>
      <c r="E43" s="54">
        <f t="shared" si="5"/>
        <v>50</v>
      </c>
      <c r="F43" s="4">
        <f>Geometry!$D$12*D43</f>
        <v>5.3824615384615386</v>
      </c>
      <c r="G43" s="4">
        <f t="shared" si="6"/>
        <v>0.54923076923076919</v>
      </c>
      <c r="H43" s="4">
        <f>IF(ABS(E43*E43)&lt;=Geometry!$E$10,SQRT(Geometry!$E$10-E43*E43),0)</f>
        <v>255.14701644346147</v>
      </c>
      <c r="I43" s="4">
        <f t="shared" si="0"/>
        <v>1</v>
      </c>
      <c r="J43" s="5">
        <f t="shared" si="13"/>
        <v>204517.6817486955</v>
      </c>
      <c r="K43" s="15">
        <f>LOOKUP(H43,Geometry!$I$6:$J$14)</f>
        <v>91</v>
      </c>
      <c r="L43" s="15">
        <f>K43*Geometry!$J$2</f>
        <v>80916.434083546192</v>
      </c>
      <c r="M43" s="54">
        <f t="shared" si="7"/>
        <v>80027.242500210516</v>
      </c>
      <c r="N43" s="54">
        <f t="shared" si="16"/>
        <v>0</v>
      </c>
      <c r="O43" s="54">
        <f t="shared" si="9"/>
        <v>0</v>
      </c>
      <c r="P43" s="54">
        <f t="shared" si="10"/>
        <v>0</v>
      </c>
      <c r="Q43" s="54">
        <f t="shared" si="11"/>
        <v>0</v>
      </c>
      <c r="R43" s="54">
        <f t="shared" si="12"/>
        <v>0</v>
      </c>
      <c r="S43" s="54">
        <f t="shared" si="14"/>
        <v>889.19158333567236</v>
      </c>
    </row>
    <row r="44" spans="1:19">
      <c r="A44">
        <f t="shared" si="15"/>
        <v>37</v>
      </c>
      <c r="B44" s="54">
        <f t="shared" si="4"/>
        <v>305</v>
      </c>
      <c r="C44" s="7">
        <v>1</v>
      </c>
      <c r="D44" s="64">
        <f>D43+LOOKUP(C44,Geometry!$H$19:$I$25)</f>
        <v>345</v>
      </c>
      <c r="E44" s="54">
        <f t="shared" si="5"/>
        <v>45</v>
      </c>
      <c r="F44" s="4">
        <f>Geometry!$D$12*D44</f>
        <v>5.461615384615385</v>
      </c>
      <c r="G44" s="4">
        <f t="shared" si="6"/>
        <v>0.55730769230769228</v>
      </c>
      <c r="H44" s="4">
        <f>IF(ABS(E44*E44)&lt;=Geometry!$E$10,SQRT(Geometry!$E$10-E44*E44),0)</f>
        <v>256.07616054603756</v>
      </c>
      <c r="I44" s="4">
        <f t="shared" si="0"/>
        <v>1</v>
      </c>
      <c r="J44" s="5">
        <f t="shared" si="13"/>
        <v>206009.93825915069</v>
      </c>
      <c r="K44" s="15">
        <f>LOOKUP(H44,Geometry!$I$6:$J$14)</f>
        <v>91</v>
      </c>
      <c r="L44" s="15">
        <f>K44*Geometry!$J$2</f>
        <v>80916.434083546192</v>
      </c>
      <c r="M44" s="54">
        <f t="shared" si="7"/>
        <v>80027.242500210516</v>
      </c>
      <c r="N44" s="54">
        <f t="shared" si="16"/>
        <v>0</v>
      </c>
      <c r="O44" s="54">
        <f t="shared" si="9"/>
        <v>0</v>
      </c>
      <c r="P44" s="54">
        <f t="shared" si="10"/>
        <v>0</v>
      </c>
      <c r="Q44" s="54">
        <f t="shared" si="11"/>
        <v>0</v>
      </c>
      <c r="R44" s="54">
        <f t="shared" si="12"/>
        <v>0</v>
      </c>
      <c r="S44" s="54">
        <f t="shared" si="14"/>
        <v>889.19158333567236</v>
      </c>
    </row>
    <row r="45" spans="1:19">
      <c r="A45">
        <f t="shared" si="15"/>
        <v>38</v>
      </c>
      <c r="B45" s="54">
        <f t="shared" si="4"/>
        <v>300</v>
      </c>
      <c r="C45" s="7">
        <v>1</v>
      </c>
      <c r="D45" s="64">
        <f>D44+LOOKUP(C45,Geometry!$H$19:$I$25)</f>
        <v>350</v>
      </c>
      <c r="E45" s="54">
        <f t="shared" si="5"/>
        <v>40</v>
      </c>
      <c r="F45" s="4">
        <f>Geometry!$D$12*D45</f>
        <v>5.5407692307692313</v>
      </c>
      <c r="G45" s="4">
        <f t="shared" si="6"/>
        <v>0.56538461538461537</v>
      </c>
      <c r="H45" s="4">
        <f>IF(ABS(E45*E45)&lt;=Geometry!$E$10,SQRT(Geometry!$E$10-E45*E45),0)</f>
        <v>256.9046515733026</v>
      </c>
      <c r="I45" s="4">
        <f t="shared" si="0"/>
        <v>1</v>
      </c>
      <c r="J45" s="5">
        <f t="shared" si="13"/>
        <v>207345.11513692638</v>
      </c>
      <c r="K45" s="15">
        <f>LOOKUP(H45,Geometry!$I$6:$J$14)</f>
        <v>91</v>
      </c>
      <c r="L45" s="15">
        <f>K45*Geometry!$J$2</f>
        <v>80916.434083546192</v>
      </c>
      <c r="M45" s="54">
        <f t="shared" si="7"/>
        <v>80027.242500210516</v>
      </c>
      <c r="N45" s="54">
        <f t="shared" si="16"/>
        <v>0</v>
      </c>
      <c r="O45" s="54">
        <f t="shared" si="9"/>
        <v>0</v>
      </c>
      <c r="P45" s="54">
        <f t="shared" si="10"/>
        <v>0</v>
      </c>
      <c r="Q45" s="54">
        <f t="shared" si="11"/>
        <v>0</v>
      </c>
      <c r="R45" s="54">
        <f t="shared" si="12"/>
        <v>0</v>
      </c>
      <c r="S45" s="54">
        <f t="shared" si="14"/>
        <v>889.19158333567236</v>
      </c>
    </row>
    <row r="46" spans="1:19">
      <c r="A46">
        <f t="shared" si="15"/>
        <v>39</v>
      </c>
      <c r="B46" s="54">
        <f t="shared" si="4"/>
        <v>295</v>
      </c>
      <c r="C46" s="7">
        <v>1</v>
      </c>
      <c r="D46" s="64">
        <f>D45+LOOKUP(C46,Geometry!$H$19:$I$25)</f>
        <v>355</v>
      </c>
      <c r="E46" s="54">
        <f t="shared" si="5"/>
        <v>35</v>
      </c>
      <c r="F46" s="4">
        <f>Geometry!$D$12*D46</f>
        <v>5.6199230769230768</v>
      </c>
      <c r="G46" s="4">
        <f t="shared" si="6"/>
        <v>0.57346153846153836</v>
      </c>
      <c r="H46" s="4">
        <f>IF(ABS(E46*E46)&lt;=Geometry!$E$10,SQRT(Geometry!$E$10-E46*E46),0)</f>
        <v>257.63346055976501</v>
      </c>
      <c r="I46" s="4">
        <f t="shared" si="0"/>
        <v>1</v>
      </c>
      <c r="J46" s="5">
        <f t="shared" si="13"/>
        <v>208523.2123820225</v>
      </c>
      <c r="K46" s="15">
        <f>LOOKUP(H46,Geometry!$I$6:$J$14)</f>
        <v>91</v>
      </c>
      <c r="L46" s="15">
        <f>K46*Geometry!$J$2</f>
        <v>80916.434083546192</v>
      </c>
      <c r="M46" s="54">
        <f t="shared" si="7"/>
        <v>80027.242500210516</v>
      </c>
      <c r="N46" s="54">
        <f t="shared" si="16"/>
        <v>0</v>
      </c>
      <c r="O46" s="54">
        <f t="shared" si="9"/>
        <v>0</v>
      </c>
      <c r="P46" s="54">
        <f t="shared" si="10"/>
        <v>0</v>
      </c>
      <c r="Q46" s="54">
        <f t="shared" si="11"/>
        <v>0</v>
      </c>
      <c r="R46" s="54">
        <f t="shared" si="12"/>
        <v>0</v>
      </c>
      <c r="S46" s="54">
        <f t="shared" si="14"/>
        <v>889.19158333567236</v>
      </c>
    </row>
    <row r="47" spans="1:19">
      <c r="A47">
        <f t="shared" si="15"/>
        <v>40</v>
      </c>
      <c r="B47" s="54">
        <f t="shared" si="4"/>
        <v>290</v>
      </c>
      <c r="C47" s="7">
        <v>1</v>
      </c>
      <c r="D47" s="64">
        <f>D46+LOOKUP(C47,Geometry!$H$19:$I$25)</f>
        <v>360</v>
      </c>
      <c r="E47" s="54">
        <f t="shared" si="5"/>
        <v>30</v>
      </c>
      <c r="F47" s="4">
        <f>Geometry!$D$12*D47</f>
        <v>5.6990769230769232</v>
      </c>
      <c r="G47" s="4">
        <f t="shared" si="6"/>
        <v>0.58153846153846145</v>
      </c>
      <c r="H47" s="4">
        <f>IF(ABS(E47*E47)&lt;=Geometry!$E$10,SQRT(Geometry!$E$10-E47*E47),0)</f>
        <v>258.26343140289919</v>
      </c>
      <c r="I47" s="4">
        <f t="shared" si="0"/>
        <v>1</v>
      </c>
      <c r="J47" s="5">
        <f t="shared" si="13"/>
        <v>209544.22999443926</v>
      </c>
      <c r="K47" s="15">
        <f>LOOKUP(H47,Geometry!$I$6:$J$14)</f>
        <v>91</v>
      </c>
      <c r="L47" s="15">
        <f>K47*Geometry!$J$2</f>
        <v>80916.434083546192</v>
      </c>
      <c r="M47" s="54">
        <f t="shared" si="7"/>
        <v>80027.242500210516</v>
      </c>
      <c r="N47" s="54">
        <f t="shared" si="16"/>
        <v>0</v>
      </c>
      <c r="O47" s="54">
        <f t="shared" si="9"/>
        <v>0</v>
      </c>
      <c r="P47" s="54">
        <f t="shared" si="10"/>
        <v>0</v>
      </c>
      <c r="Q47" s="54">
        <f t="shared" si="11"/>
        <v>0</v>
      </c>
      <c r="R47" s="54">
        <f t="shared" si="12"/>
        <v>0</v>
      </c>
      <c r="S47" s="54">
        <f t="shared" si="14"/>
        <v>889.19158333567236</v>
      </c>
    </row>
    <row r="48" spans="1:19">
      <c r="A48">
        <f t="shared" si="15"/>
        <v>41</v>
      </c>
      <c r="B48" s="54">
        <f t="shared" si="4"/>
        <v>285</v>
      </c>
      <c r="C48" s="7">
        <v>1</v>
      </c>
      <c r="D48" s="64">
        <f>D47+LOOKUP(C48,Geometry!$H$19:$I$25)</f>
        <v>365</v>
      </c>
      <c r="E48" s="54">
        <f t="shared" si="5"/>
        <v>25</v>
      </c>
      <c r="F48" s="4">
        <f>Geometry!$D$12*D48</f>
        <v>5.7782307692307695</v>
      </c>
      <c r="G48" s="4">
        <f t="shared" si="6"/>
        <v>0.58961538461538465</v>
      </c>
      <c r="H48" s="4">
        <f>IF(ABS(E48*E48)&lt;=Geometry!$E$10,SQRT(Geometry!$E$10-E48*E48),0)</f>
        <v>258.79528589215067</v>
      </c>
      <c r="I48" s="4">
        <f t="shared" si="0"/>
        <v>1</v>
      </c>
      <c r="J48" s="5">
        <f t="shared" si="13"/>
        <v>210408.16797417641</v>
      </c>
      <c r="K48" s="15">
        <f>LOOKUP(H48,Geometry!$I$6:$J$14)</f>
        <v>91</v>
      </c>
      <c r="L48" s="15">
        <f>K48*Geometry!$J$2</f>
        <v>80916.434083546192</v>
      </c>
      <c r="M48" s="54">
        <f t="shared" si="7"/>
        <v>80027.242500210516</v>
      </c>
      <c r="N48" s="54">
        <f t="shared" si="16"/>
        <v>0</v>
      </c>
      <c r="O48" s="54">
        <f t="shared" si="9"/>
        <v>0</v>
      </c>
      <c r="P48" s="54">
        <f t="shared" si="10"/>
        <v>0</v>
      </c>
      <c r="Q48" s="54">
        <f t="shared" si="11"/>
        <v>0</v>
      </c>
      <c r="R48" s="54">
        <f t="shared" si="12"/>
        <v>0</v>
      </c>
      <c r="S48" s="54">
        <f t="shared" si="14"/>
        <v>889.19158333567236</v>
      </c>
    </row>
    <row r="49" spans="1:19">
      <c r="A49">
        <f t="shared" si="15"/>
        <v>42</v>
      </c>
      <c r="B49" s="54">
        <f t="shared" si="4"/>
        <v>280</v>
      </c>
      <c r="C49" s="7">
        <v>0</v>
      </c>
      <c r="D49" s="64">
        <f>D48+LOOKUP(C49,Geometry!$H$19:$I$25)</f>
        <v>370</v>
      </c>
      <c r="E49" s="54">
        <f t="shared" si="5"/>
        <v>20</v>
      </c>
      <c r="F49" s="4">
        <f>Geometry!$D$12*D49</f>
        <v>5.8573846153846159</v>
      </c>
      <c r="G49" s="4">
        <f t="shared" si="6"/>
        <v>0.59769230769230774</v>
      </c>
      <c r="H49" s="4">
        <f>IF(ABS(E49*E49)&lt;=Geometry!$E$10,SQRT(Geometry!$E$10-E49*E49),0)</f>
        <v>259.22962793631439</v>
      </c>
      <c r="I49" s="4">
        <f t="shared" si="0"/>
        <v>1</v>
      </c>
      <c r="J49" s="5">
        <f t="shared" si="13"/>
        <v>211115.02632123407</v>
      </c>
      <c r="K49" s="15">
        <f>LOOKUP(H49,Geometry!$I$6:$J$14)</f>
        <v>91</v>
      </c>
      <c r="L49" s="15">
        <f>K49*Geometry!$J$2</f>
        <v>80916.434083546192</v>
      </c>
      <c r="M49" s="54">
        <f t="shared" si="7"/>
        <v>0</v>
      </c>
      <c r="N49" s="54">
        <f t="shared" si="16"/>
        <v>0</v>
      </c>
      <c r="O49" s="54">
        <f t="shared" si="9"/>
        <v>0</v>
      </c>
      <c r="P49" s="54">
        <f t="shared" si="10"/>
        <v>0</v>
      </c>
      <c r="Q49" s="54">
        <f t="shared" si="11"/>
        <v>0</v>
      </c>
      <c r="R49" s="54">
        <f t="shared" si="12"/>
        <v>0</v>
      </c>
      <c r="S49" s="54">
        <f t="shared" si="14"/>
        <v>80916.434083546192</v>
      </c>
    </row>
    <row r="50" spans="1:19">
      <c r="A50">
        <f t="shared" si="15"/>
        <v>43</v>
      </c>
      <c r="B50" s="54">
        <f t="shared" si="4"/>
        <v>275</v>
      </c>
      <c r="C50" s="7">
        <v>6</v>
      </c>
      <c r="D50" s="64">
        <f>D49+LOOKUP(C50,Geometry!$H$19:$I$25)</f>
        <v>375</v>
      </c>
      <c r="E50" s="54">
        <f t="shared" si="5"/>
        <v>15</v>
      </c>
      <c r="F50" s="4">
        <f>Geometry!$D$12*D50</f>
        <v>5.9365384615384622</v>
      </c>
      <c r="G50" s="4">
        <f t="shared" si="6"/>
        <v>0.60576923076923084</v>
      </c>
      <c r="H50" s="4">
        <f>IF(ABS(E50*E50)&lt;=Geometry!$E$10,SQRT(Geometry!$E$10-E50*E50),0)</f>
        <v>259.5669470483482</v>
      </c>
      <c r="I50" s="4">
        <f t="shared" si="0"/>
        <v>1</v>
      </c>
      <c r="J50" s="5">
        <f t="shared" si="13"/>
        <v>211664.80503561228</v>
      </c>
      <c r="K50" s="15">
        <f>LOOKUP(H50,Geometry!$I$6:$J$14)</f>
        <v>91</v>
      </c>
      <c r="L50" s="15">
        <f>K50*Geometry!$J$2</f>
        <v>80916.434083546192</v>
      </c>
      <c r="M50" s="54">
        <f t="shared" si="7"/>
        <v>0</v>
      </c>
      <c r="N50" s="54">
        <f t="shared" si="16"/>
        <v>0</v>
      </c>
      <c r="O50" s="54">
        <f t="shared" si="9"/>
        <v>0</v>
      </c>
      <c r="P50" s="54">
        <f t="shared" si="10"/>
        <v>0</v>
      </c>
      <c r="Q50" s="54">
        <f t="shared" si="11"/>
        <v>0</v>
      </c>
      <c r="R50" s="54">
        <f t="shared" si="12"/>
        <v>80027.242500210516</v>
      </c>
      <c r="S50" s="54">
        <f t="shared" si="14"/>
        <v>889.19158333567236</v>
      </c>
    </row>
    <row r="51" spans="1:19">
      <c r="A51">
        <f t="shared" si="15"/>
        <v>44</v>
      </c>
      <c r="B51" s="54">
        <f t="shared" si="4"/>
        <v>270</v>
      </c>
      <c r="C51" s="7">
        <v>6</v>
      </c>
      <c r="D51" s="64">
        <f>D50+LOOKUP(C51,Geometry!$H$19:$I$25)</f>
        <v>380</v>
      </c>
      <c r="E51" s="54">
        <f t="shared" si="5"/>
        <v>10</v>
      </c>
      <c r="F51" s="4">
        <f>Geometry!$D$12*D51</f>
        <v>6.0156923076923077</v>
      </c>
      <c r="G51" s="4">
        <f t="shared" si="6"/>
        <v>0.61384615384615382</v>
      </c>
      <c r="H51" s="4">
        <f>IF(ABS(E51*E51)&lt;=Geometry!$E$10,SQRT(Geometry!$E$10-E51*E51),0)</f>
        <v>259.8076211353316</v>
      </c>
      <c r="I51" s="4">
        <f t="shared" si="0"/>
        <v>1</v>
      </c>
      <c r="J51" s="5">
        <f t="shared" si="13"/>
        <v>212057.50411731107</v>
      </c>
      <c r="K51" s="15">
        <f>LOOKUP(H51,Geometry!$I$6:$J$14)</f>
        <v>91</v>
      </c>
      <c r="L51" s="15">
        <f>K51*Geometry!$J$2</f>
        <v>80916.434083546192</v>
      </c>
      <c r="M51" s="54">
        <f t="shared" si="7"/>
        <v>0</v>
      </c>
      <c r="N51" s="54">
        <f t="shared" si="16"/>
        <v>0</v>
      </c>
      <c r="O51" s="54">
        <f t="shared" si="9"/>
        <v>0</v>
      </c>
      <c r="P51" s="54">
        <f t="shared" si="10"/>
        <v>0</v>
      </c>
      <c r="Q51" s="54">
        <f t="shared" si="11"/>
        <v>0</v>
      </c>
      <c r="R51" s="54">
        <f t="shared" si="12"/>
        <v>80027.242500210516</v>
      </c>
      <c r="S51" s="54">
        <f t="shared" si="14"/>
        <v>889.19158333567236</v>
      </c>
    </row>
    <row r="52" spans="1:19">
      <c r="A52">
        <f t="shared" si="15"/>
        <v>45</v>
      </c>
      <c r="B52" s="54">
        <f t="shared" si="4"/>
        <v>265</v>
      </c>
      <c r="C52" s="7">
        <v>6</v>
      </c>
      <c r="D52" s="64">
        <f>D51+LOOKUP(C52,Geometry!$H$19:$I$25)</f>
        <v>385</v>
      </c>
      <c r="E52" s="54">
        <f t="shared" si="5"/>
        <v>5</v>
      </c>
      <c r="F52" s="4">
        <f>Geometry!$D$12*D52</f>
        <v>6.094846153846154</v>
      </c>
      <c r="G52" s="4">
        <f t="shared" si="6"/>
        <v>0.62192307692307691</v>
      </c>
      <c r="H52" s="4">
        <f>IF(ABS(E52*E52)&lt;=Geometry!$E$10,SQRT(Geometry!$E$10-E52*E52),0)</f>
        <v>259.95191863111916</v>
      </c>
      <c r="I52" s="4">
        <f t="shared" si="0"/>
        <v>1</v>
      </c>
      <c r="J52" s="5">
        <f t="shared" si="13"/>
        <v>212293.12356633027</v>
      </c>
      <c r="K52" s="15">
        <f>LOOKUP(H52,Geometry!$I$6:$J$14)</f>
        <v>91</v>
      </c>
      <c r="L52" s="15">
        <f>K52*Geometry!$J$2</f>
        <v>80916.434083546192</v>
      </c>
      <c r="M52" s="54">
        <f t="shared" si="7"/>
        <v>0</v>
      </c>
      <c r="N52" s="54">
        <f t="shared" si="16"/>
        <v>0</v>
      </c>
      <c r="O52" s="54">
        <f t="shared" si="9"/>
        <v>0</v>
      </c>
      <c r="P52" s="54">
        <f t="shared" si="10"/>
        <v>0</v>
      </c>
      <c r="Q52" s="54">
        <f t="shared" si="11"/>
        <v>0</v>
      </c>
      <c r="R52" s="54">
        <f t="shared" si="12"/>
        <v>80027.242500210516</v>
      </c>
      <c r="S52" s="54">
        <f t="shared" si="14"/>
        <v>889.19158333567236</v>
      </c>
    </row>
    <row r="53" spans="1:19">
      <c r="A53">
        <f t="shared" si="15"/>
        <v>46</v>
      </c>
      <c r="B53" s="54">
        <f t="shared" si="4"/>
        <v>260</v>
      </c>
      <c r="C53" s="7">
        <v>7</v>
      </c>
      <c r="D53" s="64">
        <f>D52+LOOKUP(C53,Geometry!$H$19:$I$25)</f>
        <v>390</v>
      </c>
      <c r="E53" s="54">
        <f t="shared" si="5"/>
        <v>0</v>
      </c>
      <c r="F53" s="4">
        <f>Geometry!$D$12*D53</f>
        <v>6.1740000000000004</v>
      </c>
      <c r="G53" s="4">
        <f t="shared" si="6"/>
        <v>0.63</v>
      </c>
      <c r="H53" s="4">
        <f>IF(ABS(E53*E53)&lt;=Geometry!$E$10,SQRT(Geometry!$E$10-E53*E53),0)</f>
        <v>260</v>
      </c>
      <c r="I53" s="4">
        <f t="shared" si="0"/>
        <v>1</v>
      </c>
      <c r="J53" s="5">
        <f t="shared" si="13"/>
        <v>212371.66338267</v>
      </c>
      <c r="K53" s="15">
        <f>LOOKUP(H53,Geometry!$I$6:$J$14)</f>
        <v>91</v>
      </c>
      <c r="L53" s="15">
        <f>K53*Geometry!$J$2</f>
        <v>80916.434083546192</v>
      </c>
      <c r="M53" s="54">
        <f t="shared" si="7"/>
        <v>0</v>
      </c>
      <c r="N53" s="54">
        <f t="shared" si="16"/>
        <v>0</v>
      </c>
      <c r="O53" s="54">
        <f t="shared" si="9"/>
        <v>0</v>
      </c>
      <c r="P53" s="54">
        <f t="shared" si="10"/>
        <v>0</v>
      </c>
      <c r="Q53" s="54">
        <f t="shared" si="11"/>
        <v>0</v>
      </c>
      <c r="R53" s="54">
        <f t="shared" si="12"/>
        <v>0</v>
      </c>
      <c r="S53" s="54">
        <f t="shared" si="14"/>
        <v>889.19158333567236</v>
      </c>
    </row>
    <row r="54" spans="1:19">
      <c r="A54">
        <f t="shared" si="15"/>
        <v>47</v>
      </c>
      <c r="B54" s="54">
        <f t="shared" si="4"/>
        <v>255</v>
      </c>
      <c r="C54" s="7">
        <v>5</v>
      </c>
      <c r="D54" s="64">
        <f>D53+LOOKUP(C54,Geometry!$H$19:$I$25)</f>
        <v>395</v>
      </c>
      <c r="E54" s="54">
        <f t="shared" si="5"/>
        <v>-5</v>
      </c>
      <c r="F54" s="4">
        <f>Geometry!$D$12*D54</f>
        <v>6.2531538461538467</v>
      </c>
      <c r="G54" s="4">
        <f t="shared" si="6"/>
        <v>0.6380769230769231</v>
      </c>
      <c r="H54" s="4">
        <f>IF(ABS(E54*E54)&lt;=Geometry!$E$10,SQRT(Geometry!$E$10-E54*E54),0)</f>
        <v>259.95191863111916</v>
      </c>
      <c r="I54" s="4">
        <f t="shared" si="0"/>
        <v>1</v>
      </c>
      <c r="J54" s="5">
        <f t="shared" si="13"/>
        <v>212293.12356633027</v>
      </c>
      <c r="K54" s="15">
        <f>LOOKUP(H54,Geometry!$I$6:$J$14)</f>
        <v>91</v>
      </c>
      <c r="L54" s="15">
        <f>K54*Geometry!$J$2</f>
        <v>80916.434083546192</v>
      </c>
      <c r="M54" s="54">
        <f t="shared" si="7"/>
        <v>0</v>
      </c>
      <c r="N54" s="54">
        <f t="shared" si="16"/>
        <v>0</v>
      </c>
      <c r="O54" s="54">
        <f t="shared" si="9"/>
        <v>0</v>
      </c>
      <c r="P54" s="54">
        <f t="shared" si="10"/>
        <v>0</v>
      </c>
      <c r="Q54" s="54">
        <f t="shared" si="11"/>
        <v>80027.242500210516</v>
      </c>
      <c r="R54" s="54">
        <f t="shared" si="12"/>
        <v>0</v>
      </c>
      <c r="S54" s="54">
        <f t="shared" si="14"/>
        <v>889.19158333567236</v>
      </c>
    </row>
    <row r="55" spans="1:19">
      <c r="A55">
        <f t="shared" si="15"/>
        <v>48</v>
      </c>
      <c r="B55" s="54">
        <f t="shared" si="4"/>
        <v>250</v>
      </c>
      <c r="C55" s="7">
        <v>5</v>
      </c>
      <c r="D55" s="64">
        <f>D54+LOOKUP(C55,Geometry!$H$19:$I$25)</f>
        <v>400</v>
      </c>
      <c r="E55" s="54">
        <f t="shared" si="5"/>
        <v>-10</v>
      </c>
      <c r="F55" s="4">
        <f>Geometry!$D$12*D55</f>
        <v>6.3323076923076922</v>
      </c>
      <c r="G55" s="4">
        <f t="shared" si="6"/>
        <v>0.64615384615384608</v>
      </c>
      <c r="H55" s="4">
        <f>IF(ABS(E55*E55)&lt;=Geometry!$E$10,SQRT(Geometry!$E$10-E55*E55),0)</f>
        <v>259.8076211353316</v>
      </c>
      <c r="I55" s="4">
        <f t="shared" si="0"/>
        <v>1</v>
      </c>
      <c r="J55" s="5">
        <f t="shared" si="13"/>
        <v>212057.50411731107</v>
      </c>
      <c r="K55" s="15">
        <f>LOOKUP(H55,Geometry!$I$6:$J$14)</f>
        <v>91</v>
      </c>
      <c r="L55" s="15">
        <f>K55*Geometry!$J$2</f>
        <v>80916.434083546192</v>
      </c>
      <c r="M55" s="54">
        <f t="shared" si="7"/>
        <v>0</v>
      </c>
      <c r="N55" s="54">
        <f t="shared" si="16"/>
        <v>0</v>
      </c>
      <c r="O55" s="54">
        <f t="shared" si="9"/>
        <v>0</v>
      </c>
      <c r="P55" s="54">
        <f t="shared" si="10"/>
        <v>0</v>
      </c>
      <c r="Q55" s="54">
        <f t="shared" si="11"/>
        <v>80027.242500210516</v>
      </c>
      <c r="R55" s="54">
        <f t="shared" si="12"/>
        <v>0</v>
      </c>
      <c r="S55" s="54">
        <f t="shared" si="14"/>
        <v>889.19158333567236</v>
      </c>
    </row>
    <row r="56" spans="1:19">
      <c r="A56">
        <f t="shared" si="15"/>
        <v>49</v>
      </c>
      <c r="B56" s="54">
        <f t="shared" si="4"/>
        <v>245</v>
      </c>
      <c r="C56" s="7">
        <v>5</v>
      </c>
      <c r="D56" s="64">
        <f>D55+LOOKUP(C56,Geometry!$H$19:$I$25)</f>
        <v>405</v>
      </c>
      <c r="E56" s="54">
        <f t="shared" si="5"/>
        <v>-15</v>
      </c>
      <c r="F56" s="4">
        <f>Geometry!$D$12*D56</f>
        <v>6.4114615384615385</v>
      </c>
      <c r="G56" s="4">
        <f t="shared" si="6"/>
        <v>0.65423076923076917</v>
      </c>
      <c r="H56" s="4">
        <f>IF(ABS(E56*E56)&lt;=Geometry!$E$10,SQRT(Geometry!$E$10-E56*E56),0)</f>
        <v>259.5669470483482</v>
      </c>
      <c r="I56" s="4">
        <f t="shared" si="0"/>
        <v>1</v>
      </c>
      <c r="J56" s="5">
        <f t="shared" si="13"/>
        <v>211664.80503561228</v>
      </c>
      <c r="K56" s="15">
        <f>LOOKUP(H56,Geometry!$I$6:$J$14)</f>
        <v>91</v>
      </c>
      <c r="L56" s="15">
        <f>K56*Geometry!$J$2</f>
        <v>80916.434083546192</v>
      </c>
      <c r="M56" s="54">
        <f t="shared" si="7"/>
        <v>0</v>
      </c>
      <c r="N56" s="54">
        <f t="shared" si="16"/>
        <v>0</v>
      </c>
      <c r="O56" s="54">
        <f t="shared" si="9"/>
        <v>0</v>
      </c>
      <c r="P56" s="54">
        <f t="shared" si="10"/>
        <v>0</v>
      </c>
      <c r="Q56" s="54">
        <f t="shared" si="11"/>
        <v>80027.242500210516</v>
      </c>
      <c r="R56" s="54">
        <f t="shared" si="12"/>
        <v>0</v>
      </c>
      <c r="S56" s="54">
        <f t="shared" si="14"/>
        <v>889.19158333567236</v>
      </c>
    </row>
    <row r="57" spans="1:19">
      <c r="A57">
        <f t="shared" si="15"/>
        <v>50</v>
      </c>
      <c r="B57" s="54">
        <f t="shared" si="4"/>
        <v>230</v>
      </c>
      <c r="C57" s="7">
        <v>4</v>
      </c>
      <c r="D57" s="64">
        <f>D56+LOOKUP(C57,Geometry!$H$19:$I$25)</f>
        <v>420</v>
      </c>
      <c r="E57" s="54">
        <f t="shared" si="5"/>
        <v>-30</v>
      </c>
      <c r="F57" s="4">
        <f>Geometry!$D$12*D57</f>
        <v>6.6489230769230776</v>
      </c>
      <c r="G57" s="4">
        <f t="shared" si="6"/>
        <v>0.67846153846153845</v>
      </c>
      <c r="H57" s="4">
        <f>IF(ABS(E57*E57)&lt;=Geometry!$E$10,SQRT(Geometry!$E$10-E57*E57),0)</f>
        <v>258.26343140289919</v>
      </c>
      <c r="I57" s="4">
        <f t="shared" si="0"/>
        <v>1</v>
      </c>
      <c r="J57" s="5">
        <f t="shared" si="13"/>
        <v>209544.22999443926</v>
      </c>
      <c r="K57" s="15">
        <f>LOOKUP(H57,Geometry!$I$6:$J$14)</f>
        <v>91</v>
      </c>
      <c r="L57" s="15">
        <f>K57*Geometry!$J$2</f>
        <v>80916.434083546192</v>
      </c>
      <c r="M57" s="54">
        <f t="shared" si="7"/>
        <v>0</v>
      </c>
      <c r="N57" s="54">
        <f t="shared" si="16"/>
        <v>0</v>
      </c>
      <c r="O57" s="54">
        <f t="shared" si="9"/>
        <v>0</v>
      </c>
      <c r="P57" s="54">
        <f t="shared" si="10"/>
        <v>80027.242500210516</v>
      </c>
      <c r="Q57" s="54">
        <f t="shared" si="11"/>
        <v>0</v>
      </c>
      <c r="R57" s="54">
        <f t="shared" si="12"/>
        <v>0</v>
      </c>
      <c r="S57" s="54">
        <f t="shared" si="14"/>
        <v>889.19158333567236</v>
      </c>
    </row>
    <row r="58" spans="1:19">
      <c r="A58">
        <f t="shared" si="15"/>
        <v>51</v>
      </c>
      <c r="B58" s="54">
        <f t="shared" si="4"/>
        <v>225</v>
      </c>
      <c r="C58" s="7">
        <v>3</v>
      </c>
      <c r="D58" s="64">
        <f>D57+LOOKUP(C58,Geometry!$H$19:$I$25)</f>
        <v>425</v>
      </c>
      <c r="E58" s="54">
        <f t="shared" si="5"/>
        <v>-35</v>
      </c>
      <c r="F58" s="4">
        <f>Geometry!$D$12*D58</f>
        <v>6.7280769230769231</v>
      </c>
      <c r="G58" s="4">
        <f t="shared" si="6"/>
        <v>0.68653846153846154</v>
      </c>
      <c r="H58" s="4">
        <f>IF(ABS(E58*E58)&lt;=Geometry!$E$10,SQRT(Geometry!$E$10-E58*E58),0)</f>
        <v>257.63346055976501</v>
      </c>
      <c r="I58" s="4">
        <f t="shared" si="0"/>
        <v>1</v>
      </c>
      <c r="J58" s="5">
        <f t="shared" si="13"/>
        <v>208523.2123820225</v>
      </c>
      <c r="K58" s="15">
        <f>LOOKUP(H58,Geometry!$I$6:$J$14)</f>
        <v>91</v>
      </c>
      <c r="L58" s="15">
        <f>K58*Geometry!$J$2</f>
        <v>80916.434083546192</v>
      </c>
      <c r="M58" s="54">
        <f t="shared" si="7"/>
        <v>0</v>
      </c>
      <c r="N58" s="54">
        <f t="shared" si="16"/>
        <v>0</v>
      </c>
      <c r="O58" s="54">
        <f t="shared" si="9"/>
        <v>80027.242500210516</v>
      </c>
      <c r="P58" s="54">
        <f t="shared" si="10"/>
        <v>0</v>
      </c>
      <c r="Q58" s="54">
        <f t="shared" si="11"/>
        <v>0</v>
      </c>
      <c r="R58" s="54">
        <f t="shared" si="12"/>
        <v>0</v>
      </c>
      <c r="S58" s="54">
        <f t="shared" si="14"/>
        <v>889.19158333567236</v>
      </c>
    </row>
    <row r="59" spans="1:19">
      <c r="A59">
        <f t="shared" si="15"/>
        <v>52</v>
      </c>
      <c r="B59" s="54">
        <f t="shared" si="4"/>
        <v>220</v>
      </c>
      <c r="C59" s="7">
        <v>7</v>
      </c>
      <c r="D59" s="64">
        <f>D58+LOOKUP(C59,Geometry!$H$19:$I$25)</f>
        <v>430</v>
      </c>
      <c r="E59" s="54">
        <f t="shared" si="5"/>
        <v>-40</v>
      </c>
      <c r="F59" s="4">
        <f>Geometry!$D$12*D59</f>
        <v>6.8072307692307694</v>
      </c>
      <c r="G59" s="4">
        <f t="shared" si="6"/>
        <v>0.69461538461538463</v>
      </c>
      <c r="H59" s="4">
        <f>IF(ABS(E59*E59)&lt;=Geometry!$E$10,SQRT(Geometry!$E$10-E59*E59),0)</f>
        <v>256.9046515733026</v>
      </c>
      <c r="I59" s="4">
        <f t="shared" si="0"/>
        <v>1</v>
      </c>
      <c r="J59" s="5">
        <f t="shared" si="13"/>
        <v>207345.11513692638</v>
      </c>
      <c r="K59" s="15">
        <f>LOOKUP(H59,Geometry!$I$6:$J$14)</f>
        <v>91</v>
      </c>
      <c r="L59" s="15">
        <f>K59*Geometry!$J$2</f>
        <v>80916.434083546192</v>
      </c>
      <c r="M59" s="54">
        <f t="shared" si="7"/>
        <v>0</v>
      </c>
      <c r="N59" s="54">
        <f t="shared" si="16"/>
        <v>0</v>
      </c>
      <c r="O59" s="54">
        <f t="shared" si="9"/>
        <v>0</v>
      </c>
      <c r="P59" s="54">
        <f t="shared" si="10"/>
        <v>0</v>
      </c>
      <c r="Q59" s="54">
        <f t="shared" si="11"/>
        <v>0</v>
      </c>
      <c r="R59" s="54">
        <f t="shared" si="12"/>
        <v>0</v>
      </c>
      <c r="S59" s="54">
        <f t="shared" si="14"/>
        <v>889.19158333567236</v>
      </c>
    </row>
    <row r="60" spans="1:19">
      <c r="A60">
        <f t="shared" si="15"/>
        <v>53</v>
      </c>
      <c r="B60" s="54">
        <f t="shared" si="4"/>
        <v>215</v>
      </c>
      <c r="C60" s="7">
        <v>3</v>
      </c>
      <c r="D60" s="64">
        <f>D59+LOOKUP(C60,Geometry!$H$19:$I$25)</f>
        <v>435</v>
      </c>
      <c r="E60" s="54">
        <f t="shared" si="5"/>
        <v>-45</v>
      </c>
      <c r="F60" s="4">
        <f>Geometry!$D$12*D60</f>
        <v>6.8863846153846158</v>
      </c>
      <c r="G60" s="4">
        <f t="shared" si="6"/>
        <v>0.70269230769230773</v>
      </c>
      <c r="H60" s="4">
        <f>IF(ABS(E60*E60)&lt;=Geometry!$E$10,SQRT(Geometry!$E$10-E60*E60),0)</f>
        <v>256.07616054603756</v>
      </c>
      <c r="I60" s="4">
        <f t="shared" si="0"/>
        <v>1</v>
      </c>
      <c r="J60" s="5">
        <f t="shared" si="13"/>
        <v>206009.93825915069</v>
      </c>
      <c r="K60" s="15">
        <f>LOOKUP(H60,Geometry!$I$6:$J$14)</f>
        <v>91</v>
      </c>
      <c r="L60" s="15">
        <f>K60*Geometry!$J$2</f>
        <v>80916.434083546192</v>
      </c>
      <c r="M60" s="54">
        <f t="shared" si="7"/>
        <v>0</v>
      </c>
      <c r="N60" s="54">
        <f t="shared" si="16"/>
        <v>0</v>
      </c>
      <c r="O60" s="54">
        <f t="shared" si="9"/>
        <v>80027.242500210516</v>
      </c>
      <c r="P60" s="54">
        <f t="shared" si="10"/>
        <v>0</v>
      </c>
      <c r="Q60" s="54">
        <f t="shared" si="11"/>
        <v>0</v>
      </c>
      <c r="R60" s="54">
        <f t="shared" si="12"/>
        <v>0</v>
      </c>
      <c r="S60" s="54">
        <f t="shared" si="14"/>
        <v>889.19158333567236</v>
      </c>
    </row>
    <row r="61" spans="1:19">
      <c r="A61">
        <f t="shared" si="15"/>
        <v>54</v>
      </c>
      <c r="B61" s="54">
        <f t="shared" si="4"/>
        <v>200</v>
      </c>
      <c r="C61" s="7">
        <v>4</v>
      </c>
      <c r="D61" s="64">
        <f>D60+LOOKUP(C61,Geometry!$H$19:$I$25)</f>
        <v>450</v>
      </c>
      <c r="E61" s="54">
        <f t="shared" si="5"/>
        <v>-60</v>
      </c>
      <c r="F61" s="4">
        <f>Geometry!$D$12*D61</f>
        <v>7.1238461538461539</v>
      </c>
      <c r="G61" s="4">
        <f t="shared" si="6"/>
        <v>0.72692307692307689</v>
      </c>
      <c r="H61" s="4">
        <f>IF(ABS(E61*E61)&lt;=Geometry!$E$10,SQRT(Geometry!$E$10-E61*E61),0)</f>
        <v>252.98221281347034</v>
      </c>
      <c r="I61" s="4">
        <f t="shared" si="0"/>
        <v>1</v>
      </c>
      <c r="J61" s="5">
        <f t="shared" si="13"/>
        <v>201061.92982974675</v>
      </c>
      <c r="K61" s="15">
        <f>LOOKUP(H61,Geometry!$I$6:$J$14)</f>
        <v>91</v>
      </c>
      <c r="L61" s="15">
        <f>K61*Geometry!$J$2</f>
        <v>80916.434083546192</v>
      </c>
      <c r="M61" s="54">
        <f t="shared" si="7"/>
        <v>0</v>
      </c>
      <c r="N61" s="54">
        <f t="shared" si="16"/>
        <v>0</v>
      </c>
      <c r="O61" s="54">
        <f t="shared" si="9"/>
        <v>0</v>
      </c>
      <c r="P61" s="54">
        <f t="shared" si="10"/>
        <v>80027.242500210516</v>
      </c>
      <c r="Q61" s="54">
        <f t="shared" si="11"/>
        <v>0</v>
      </c>
      <c r="R61" s="54">
        <f t="shared" si="12"/>
        <v>0</v>
      </c>
      <c r="S61" s="54">
        <f t="shared" si="14"/>
        <v>889.19158333567236</v>
      </c>
    </row>
    <row r="62" spans="1:19">
      <c r="A62">
        <f t="shared" si="15"/>
        <v>55</v>
      </c>
      <c r="B62" s="54">
        <f t="shared" si="4"/>
        <v>195</v>
      </c>
      <c r="C62" s="7">
        <v>3</v>
      </c>
      <c r="D62" s="64">
        <f>D61+LOOKUP(C62,Geometry!$H$19:$I$25)</f>
        <v>455</v>
      </c>
      <c r="E62" s="54">
        <f t="shared" si="5"/>
        <v>-65</v>
      </c>
      <c r="F62" s="4">
        <f>Geometry!$D$12*D62</f>
        <v>7.2030000000000003</v>
      </c>
      <c r="G62" s="4">
        <f t="shared" si="6"/>
        <v>0.73499999999999999</v>
      </c>
      <c r="H62" s="4">
        <f>IF(ABS(E62*E62)&lt;=Geometry!$E$10,SQRT(Geometry!$E$10-E62*E62),0)</f>
        <v>251.74391750348209</v>
      </c>
      <c r="I62" s="4">
        <f t="shared" si="0"/>
        <v>1</v>
      </c>
      <c r="J62" s="5">
        <f t="shared" si="13"/>
        <v>199098.43442125313</v>
      </c>
      <c r="K62" s="15">
        <f>LOOKUP(H62,Geometry!$I$6:$J$14)</f>
        <v>91</v>
      </c>
      <c r="L62" s="15">
        <f>K62*Geometry!$J$2</f>
        <v>80916.434083546192</v>
      </c>
      <c r="M62" s="54">
        <f t="shared" si="7"/>
        <v>0</v>
      </c>
      <c r="N62" s="54">
        <f t="shared" si="16"/>
        <v>0</v>
      </c>
      <c r="O62" s="54">
        <f t="shared" si="9"/>
        <v>80027.242500210516</v>
      </c>
      <c r="P62" s="54">
        <f t="shared" si="10"/>
        <v>0</v>
      </c>
      <c r="Q62" s="54">
        <f t="shared" si="11"/>
        <v>0</v>
      </c>
      <c r="R62" s="54">
        <f t="shared" si="12"/>
        <v>0</v>
      </c>
      <c r="S62" s="54">
        <f t="shared" si="14"/>
        <v>889.19158333567236</v>
      </c>
    </row>
    <row r="63" spans="1:19">
      <c r="A63">
        <f t="shared" si="15"/>
        <v>56</v>
      </c>
      <c r="B63" s="54">
        <f t="shared" si="4"/>
        <v>190</v>
      </c>
      <c r="C63" s="7">
        <v>7</v>
      </c>
      <c r="D63" s="64">
        <f>D62+LOOKUP(C63,Geometry!$H$19:$I$25)</f>
        <v>460</v>
      </c>
      <c r="E63" s="54">
        <f t="shared" si="5"/>
        <v>-70</v>
      </c>
      <c r="F63" s="4">
        <f>Geometry!$D$12*D63</f>
        <v>7.2821538461538466</v>
      </c>
      <c r="G63" s="4">
        <f t="shared" si="6"/>
        <v>0.74307692307692308</v>
      </c>
      <c r="H63" s="4">
        <f>IF(ABS(E63*E63)&lt;=Geometry!$E$10,SQRT(Geometry!$E$10-E63*E63),0)</f>
        <v>250.3996805109783</v>
      </c>
      <c r="I63" s="4">
        <f t="shared" si="0"/>
        <v>1</v>
      </c>
      <c r="J63" s="5">
        <f t="shared" si="13"/>
        <v>196977.85938008004</v>
      </c>
      <c r="K63" s="15">
        <f>LOOKUP(H63,Geometry!$I$6:$J$14)</f>
        <v>91</v>
      </c>
      <c r="L63" s="15">
        <f>K63*Geometry!$J$2</f>
        <v>80916.434083546192</v>
      </c>
      <c r="M63" s="54">
        <f t="shared" si="7"/>
        <v>0</v>
      </c>
      <c r="N63" s="54">
        <f t="shared" si="16"/>
        <v>0</v>
      </c>
      <c r="O63" s="54">
        <f t="shared" si="9"/>
        <v>0</v>
      </c>
      <c r="P63" s="54">
        <f t="shared" si="10"/>
        <v>0</v>
      </c>
      <c r="Q63" s="54">
        <f t="shared" si="11"/>
        <v>0</v>
      </c>
      <c r="R63" s="54">
        <f t="shared" si="12"/>
        <v>0</v>
      </c>
      <c r="S63" s="54">
        <f t="shared" si="14"/>
        <v>889.19158333567236</v>
      </c>
    </row>
    <row r="64" spans="1:19">
      <c r="A64">
        <f t="shared" si="15"/>
        <v>57</v>
      </c>
      <c r="B64" s="54">
        <f t="shared" si="4"/>
        <v>185</v>
      </c>
      <c r="C64" s="7">
        <v>3</v>
      </c>
      <c r="D64" s="64">
        <f>D63+LOOKUP(C64,Geometry!$H$19:$I$25)</f>
        <v>465</v>
      </c>
      <c r="E64" s="54">
        <f t="shared" si="5"/>
        <v>-75</v>
      </c>
      <c r="F64" s="4">
        <f>Geometry!$D$12*D64</f>
        <v>7.361307692307693</v>
      </c>
      <c r="G64" s="4">
        <f t="shared" si="6"/>
        <v>0.75115384615384617</v>
      </c>
      <c r="H64" s="4">
        <f>IF(ABS(E64*E64)&lt;=Geometry!$E$10,SQRT(Geometry!$E$10-E64*E64),0)</f>
        <v>248.94778569009205</v>
      </c>
      <c r="I64" s="4">
        <f t="shared" si="0"/>
        <v>1</v>
      </c>
      <c r="J64" s="5">
        <f t="shared" si="13"/>
        <v>194700.20470622744</v>
      </c>
      <c r="K64" s="15">
        <f>LOOKUP(H64,Geometry!$I$6:$J$14)</f>
        <v>91</v>
      </c>
      <c r="L64" s="15">
        <f>K64*Geometry!$J$2</f>
        <v>80916.434083546192</v>
      </c>
      <c r="M64" s="54">
        <f t="shared" si="7"/>
        <v>0</v>
      </c>
      <c r="N64" s="54">
        <f t="shared" si="16"/>
        <v>0</v>
      </c>
      <c r="O64" s="54">
        <f t="shared" si="9"/>
        <v>80027.242500210516</v>
      </c>
      <c r="P64" s="54">
        <f t="shared" si="10"/>
        <v>0</v>
      </c>
      <c r="Q64" s="54">
        <f t="shared" si="11"/>
        <v>0</v>
      </c>
      <c r="R64" s="54">
        <f t="shared" si="12"/>
        <v>0</v>
      </c>
      <c r="S64" s="54">
        <f t="shared" si="14"/>
        <v>889.19158333567236</v>
      </c>
    </row>
    <row r="65" spans="1:19">
      <c r="A65">
        <f t="shared" si="15"/>
        <v>58</v>
      </c>
      <c r="B65" s="54">
        <f t="shared" si="4"/>
        <v>170</v>
      </c>
      <c r="C65" s="7">
        <v>4</v>
      </c>
      <c r="D65" s="64">
        <f>D64+LOOKUP(C65,Geometry!$H$19:$I$25)</f>
        <v>480</v>
      </c>
      <c r="E65" s="54">
        <f t="shared" si="5"/>
        <v>-90</v>
      </c>
      <c r="F65" s="4">
        <f>Geometry!$D$12*D65</f>
        <v>7.5987692307692312</v>
      </c>
      <c r="G65" s="4">
        <f t="shared" si="6"/>
        <v>0.77538461538461534</v>
      </c>
      <c r="H65" s="4">
        <f>IF(ABS(E65*E65)&lt;=Geometry!$E$10,SQRT(Geometry!$E$10-E65*E65),0)</f>
        <v>243.92621835300935</v>
      </c>
      <c r="I65" s="4">
        <f t="shared" si="0"/>
        <v>1</v>
      </c>
      <c r="J65" s="5">
        <f t="shared" si="13"/>
        <v>186924.76288859267</v>
      </c>
      <c r="K65" s="15">
        <f>LOOKUP(H65,Geometry!$I$6:$J$14)</f>
        <v>91</v>
      </c>
      <c r="L65" s="15">
        <f>K65*Geometry!$J$2</f>
        <v>80916.434083546192</v>
      </c>
      <c r="M65" s="54">
        <f t="shared" si="7"/>
        <v>0</v>
      </c>
      <c r="N65" s="54">
        <f t="shared" si="16"/>
        <v>0</v>
      </c>
      <c r="O65" s="54">
        <f t="shared" si="9"/>
        <v>0</v>
      </c>
      <c r="P65" s="54">
        <f t="shared" si="10"/>
        <v>80027.242500210516</v>
      </c>
      <c r="Q65" s="54">
        <f t="shared" si="11"/>
        <v>0</v>
      </c>
      <c r="R65" s="54">
        <f t="shared" si="12"/>
        <v>0</v>
      </c>
      <c r="S65" s="54">
        <f t="shared" si="14"/>
        <v>889.19158333567236</v>
      </c>
    </row>
    <row r="66" spans="1:19">
      <c r="A66">
        <f t="shared" si="15"/>
        <v>59</v>
      </c>
      <c r="B66" s="54">
        <f t="shared" si="4"/>
        <v>155</v>
      </c>
      <c r="C66" s="7">
        <v>2</v>
      </c>
      <c r="D66" s="64">
        <f>D65+LOOKUP(C66,Geometry!$H$19:$I$25)</f>
        <v>495</v>
      </c>
      <c r="E66" s="54">
        <f t="shared" si="5"/>
        <v>-105</v>
      </c>
      <c r="F66" s="4">
        <f>Geometry!$D$12*D66</f>
        <v>7.8362307692307693</v>
      </c>
      <c r="G66" s="4">
        <f t="shared" si="6"/>
        <v>0.79961538461538462</v>
      </c>
      <c r="H66" s="4">
        <f>IF(ABS(E66*E66)&lt;=Geometry!$E$10,SQRT(Geometry!$E$10-E66*E66),0)</f>
        <v>237.85499784532593</v>
      </c>
      <c r="I66" s="4">
        <f t="shared" si="0"/>
        <v>1</v>
      </c>
      <c r="J66" s="5">
        <f t="shared" si="13"/>
        <v>177735.60437684256</v>
      </c>
      <c r="K66" s="15">
        <f>LOOKUP(H66,Geometry!$I$6:$J$14)</f>
        <v>91</v>
      </c>
      <c r="L66" s="15">
        <f>K66*Geometry!$J$2</f>
        <v>80916.434083546192</v>
      </c>
      <c r="M66" s="54">
        <f t="shared" si="7"/>
        <v>0</v>
      </c>
      <c r="N66" s="54">
        <f t="shared" si="16"/>
        <v>80027.242500210516</v>
      </c>
      <c r="O66" s="54">
        <f t="shared" si="9"/>
        <v>0</v>
      </c>
      <c r="P66" s="54">
        <f t="shared" si="10"/>
        <v>0</v>
      </c>
      <c r="Q66" s="54">
        <f t="shared" si="11"/>
        <v>0</v>
      </c>
      <c r="R66" s="54">
        <f t="shared" si="12"/>
        <v>0</v>
      </c>
      <c r="S66" s="54">
        <f t="shared" si="14"/>
        <v>889.19158333567236</v>
      </c>
    </row>
    <row r="67" spans="1:19">
      <c r="A67">
        <f t="shared" si="15"/>
        <v>60</v>
      </c>
      <c r="B67" s="54">
        <f t="shared" si="4"/>
        <v>150</v>
      </c>
      <c r="C67" s="7">
        <v>1</v>
      </c>
      <c r="D67" s="64">
        <f>D66+LOOKUP(C67,Geometry!$H$19:$I$25)</f>
        <v>500</v>
      </c>
      <c r="E67" s="54">
        <f t="shared" si="5"/>
        <v>-110</v>
      </c>
      <c r="F67" s="4">
        <f>Geometry!$D$12*D67</f>
        <v>7.9153846153846157</v>
      </c>
      <c r="G67" s="4">
        <f t="shared" si="6"/>
        <v>0.80769230769230771</v>
      </c>
      <c r="H67" s="4">
        <f>IF(ABS(E67*E67)&lt;=Geometry!$E$10,SQRT(Geometry!$E$10-E67*E67),0)</f>
        <v>235.58437978779492</v>
      </c>
      <c r="I67" s="4">
        <f t="shared" si="0"/>
        <v>1</v>
      </c>
      <c r="J67" s="5">
        <f t="shared" si="13"/>
        <v>174358.39227423351</v>
      </c>
      <c r="K67" s="15">
        <f>LOOKUP(H67,Geometry!$I$6:$J$14)</f>
        <v>91</v>
      </c>
      <c r="L67" s="15">
        <f>K67*Geometry!$J$2</f>
        <v>80916.434083546192</v>
      </c>
      <c r="M67" s="54">
        <f t="shared" si="7"/>
        <v>80027.242500210516</v>
      </c>
      <c r="N67" s="54">
        <f t="shared" si="16"/>
        <v>0</v>
      </c>
      <c r="O67" s="54">
        <f t="shared" si="9"/>
        <v>0</v>
      </c>
      <c r="P67" s="54">
        <f t="shared" si="10"/>
        <v>0</v>
      </c>
      <c r="Q67" s="54">
        <f t="shared" si="11"/>
        <v>0</v>
      </c>
      <c r="R67" s="54">
        <f t="shared" si="12"/>
        <v>0</v>
      </c>
      <c r="S67" s="54">
        <f t="shared" si="14"/>
        <v>889.19158333567236</v>
      </c>
    </row>
    <row r="68" spans="1:19">
      <c r="A68">
        <f t="shared" si="15"/>
        <v>61</v>
      </c>
      <c r="B68" s="54">
        <f t="shared" si="4"/>
        <v>145</v>
      </c>
      <c r="C68" s="7">
        <v>1</v>
      </c>
      <c r="D68" s="64">
        <f>D67+LOOKUP(C68,Geometry!$H$19:$I$25)</f>
        <v>505</v>
      </c>
      <c r="E68" s="54">
        <f t="shared" si="5"/>
        <v>-115</v>
      </c>
      <c r="F68" s="4">
        <f>Geometry!$D$12*D68</f>
        <v>7.994538461538462</v>
      </c>
      <c r="G68" s="4">
        <f t="shared" si="6"/>
        <v>0.8157692307692308</v>
      </c>
      <c r="H68" s="4">
        <f>IF(ABS(E68*E68)&lt;=Geometry!$E$10,SQRT(Geometry!$E$10-E68*E68),0)</f>
        <v>233.18447632722038</v>
      </c>
      <c r="I68" s="4">
        <f t="shared" si="0"/>
        <v>1</v>
      </c>
      <c r="J68" s="5">
        <f t="shared" si="13"/>
        <v>170824.100538945</v>
      </c>
      <c r="K68" s="15">
        <f>LOOKUP(H68,Geometry!$I$6:$J$14)</f>
        <v>91</v>
      </c>
      <c r="L68" s="15">
        <f>K68*Geometry!$J$2</f>
        <v>80916.434083546192</v>
      </c>
      <c r="M68" s="54">
        <f t="shared" si="7"/>
        <v>80027.242500210516</v>
      </c>
      <c r="N68" s="54">
        <f t="shared" si="16"/>
        <v>0</v>
      </c>
      <c r="O68" s="54">
        <f t="shared" si="9"/>
        <v>0</v>
      </c>
      <c r="P68" s="54">
        <f t="shared" si="10"/>
        <v>0</v>
      </c>
      <c r="Q68" s="54">
        <f t="shared" si="11"/>
        <v>0</v>
      </c>
      <c r="R68" s="54">
        <f t="shared" si="12"/>
        <v>0</v>
      </c>
      <c r="S68" s="54">
        <f t="shared" si="14"/>
        <v>889.19158333567236</v>
      </c>
    </row>
    <row r="69" spans="1:19">
      <c r="A69">
        <f t="shared" si="15"/>
        <v>62</v>
      </c>
      <c r="B69" s="54">
        <f t="shared" si="4"/>
        <v>140</v>
      </c>
      <c r="C69" s="7">
        <v>1</v>
      </c>
      <c r="D69" s="64">
        <f>D68+LOOKUP(C69,Geometry!$H$19:$I$25)</f>
        <v>510</v>
      </c>
      <c r="E69" s="54">
        <f t="shared" si="5"/>
        <v>-120</v>
      </c>
      <c r="F69" s="4">
        <f>Geometry!$D$12*D69</f>
        <v>8.0736923076923084</v>
      </c>
      <c r="G69" s="4">
        <f t="shared" si="6"/>
        <v>0.82384615384615389</v>
      </c>
      <c r="H69" s="4">
        <f>IF(ABS(E69*E69)&lt;=Geometry!$E$10,SQRT(Geometry!$E$10-E69*E69),0)</f>
        <v>230.65125189341592</v>
      </c>
      <c r="I69" s="4">
        <f t="shared" si="0"/>
        <v>1</v>
      </c>
      <c r="J69" s="5">
        <f t="shared" si="13"/>
        <v>167132.72917097699</v>
      </c>
      <c r="K69" s="15">
        <f>LOOKUP(H69,Geometry!$I$6:$J$14)</f>
        <v>91</v>
      </c>
      <c r="L69" s="15">
        <f>K69*Geometry!$J$2</f>
        <v>80916.434083546192</v>
      </c>
      <c r="M69" s="54">
        <f t="shared" si="7"/>
        <v>80027.242500210516</v>
      </c>
      <c r="N69" s="54">
        <f t="shared" si="16"/>
        <v>0</v>
      </c>
      <c r="O69" s="54">
        <f t="shared" si="9"/>
        <v>0</v>
      </c>
      <c r="P69" s="54">
        <f t="shared" si="10"/>
        <v>0</v>
      </c>
      <c r="Q69" s="54">
        <f t="shared" si="11"/>
        <v>0</v>
      </c>
      <c r="R69" s="54">
        <f t="shared" si="12"/>
        <v>0</v>
      </c>
      <c r="S69" s="54">
        <f t="shared" si="14"/>
        <v>889.19158333567236</v>
      </c>
    </row>
    <row r="70" spans="1:19">
      <c r="A70">
        <f t="shared" si="15"/>
        <v>63</v>
      </c>
      <c r="B70" s="54">
        <f t="shared" si="4"/>
        <v>135</v>
      </c>
      <c r="C70" s="7">
        <v>1</v>
      </c>
      <c r="D70" s="64">
        <f>D69+LOOKUP(C70,Geometry!$H$19:$I$25)</f>
        <v>515</v>
      </c>
      <c r="E70" s="54">
        <f t="shared" si="5"/>
        <v>-125</v>
      </c>
      <c r="F70" s="4">
        <f>Geometry!$D$12*D70</f>
        <v>8.1528461538461539</v>
      </c>
      <c r="G70" s="4">
        <f t="shared" si="6"/>
        <v>0.83192307692307688</v>
      </c>
      <c r="H70" s="4">
        <f>IF(ABS(E70*E70)&lt;=Geometry!$E$10,SQRT(Geometry!$E$10-E70*E70),0)</f>
        <v>227.98026230355995</v>
      </c>
      <c r="I70" s="4">
        <f t="shared" si="0"/>
        <v>1</v>
      </c>
      <c r="J70" s="5">
        <f t="shared" si="13"/>
        <v>163284.27817032949</v>
      </c>
      <c r="K70" s="15">
        <f>LOOKUP(H70,Geometry!$I$6:$J$14)</f>
        <v>61</v>
      </c>
      <c r="L70" s="15">
        <f>K70*Geometry!$J$2</f>
        <v>54240.686583476017</v>
      </c>
      <c r="M70" s="54">
        <f t="shared" si="7"/>
        <v>53351.495000140349</v>
      </c>
      <c r="N70" s="54">
        <f t="shared" si="16"/>
        <v>0</v>
      </c>
      <c r="O70" s="54">
        <f t="shared" si="9"/>
        <v>0</v>
      </c>
      <c r="P70" s="54">
        <f t="shared" si="10"/>
        <v>0</v>
      </c>
      <c r="Q70" s="54">
        <f t="shared" si="11"/>
        <v>0</v>
      </c>
      <c r="R70" s="54">
        <f t="shared" si="12"/>
        <v>0</v>
      </c>
      <c r="S70" s="54">
        <f t="shared" si="14"/>
        <v>889.19158333567236</v>
      </c>
    </row>
    <row r="71" spans="1:19">
      <c r="A71">
        <f t="shared" si="15"/>
        <v>64</v>
      </c>
      <c r="B71" s="54">
        <f t="shared" si="4"/>
        <v>130</v>
      </c>
      <c r="C71" s="7">
        <v>1</v>
      </c>
      <c r="D71" s="64">
        <f>D70+LOOKUP(C71,Geometry!$H$19:$I$25)</f>
        <v>520</v>
      </c>
      <c r="E71" s="54">
        <f t="shared" si="5"/>
        <v>-130</v>
      </c>
      <c r="F71" s="4">
        <f>Geometry!$D$12*D71</f>
        <v>8.2320000000000011</v>
      </c>
      <c r="G71" s="4">
        <f t="shared" si="6"/>
        <v>0.84000000000000008</v>
      </c>
      <c r="H71" s="4">
        <f>IF(ABS(E71*E71)&lt;=Geometry!$E$10,SQRT(Geometry!$E$10-E71*E71),0)</f>
        <v>225.16660498395404</v>
      </c>
      <c r="I71" s="4">
        <f t="shared" si="0"/>
        <v>1</v>
      </c>
      <c r="J71" s="5">
        <f t="shared" si="13"/>
        <v>159278.74753700252</v>
      </c>
      <c r="K71" s="15">
        <f>LOOKUP(H71,Geometry!$I$6:$J$14)</f>
        <v>61</v>
      </c>
      <c r="L71" s="15">
        <f>K71*Geometry!$J$2</f>
        <v>54240.686583476017</v>
      </c>
      <c r="M71" s="54">
        <f t="shared" si="7"/>
        <v>53351.495000140349</v>
      </c>
      <c r="N71" s="54">
        <f t="shared" si="16"/>
        <v>0</v>
      </c>
      <c r="O71" s="54">
        <f t="shared" si="9"/>
        <v>0</v>
      </c>
      <c r="P71" s="54">
        <f t="shared" si="10"/>
        <v>0</v>
      </c>
      <c r="Q71" s="54">
        <f t="shared" si="11"/>
        <v>0</v>
      </c>
      <c r="R71" s="54">
        <f t="shared" si="12"/>
        <v>0</v>
      </c>
      <c r="S71" s="54">
        <f t="shared" si="14"/>
        <v>889.19158333567236</v>
      </c>
    </row>
    <row r="72" spans="1:19">
      <c r="A72">
        <f t="shared" si="15"/>
        <v>65</v>
      </c>
      <c r="B72" s="54">
        <f t="shared" si="4"/>
        <v>125</v>
      </c>
      <c r="C72" s="7">
        <v>1</v>
      </c>
      <c r="D72" s="64">
        <f>D71+LOOKUP(C72,Geometry!$H$19:$I$25)</f>
        <v>525</v>
      </c>
      <c r="E72" s="54">
        <f t="shared" si="5"/>
        <v>-135</v>
      </c>
      <c r="F72" s="4">
        <f>Geometry!$D$12*D72</f>
        <v>8.3111538461538466</v>
      </c>
      <c r="G72" s="4">
        <f t="shared" ref="G72:G81" si="17">IF(H72&gt;0,F72/9.8,0)</f>
        <v>0.84807692307692306</v>
      </c>
      <c r="H72" s="4">
        <f>IF(ABS(E72*E72)&lt;=Geometry!$E$10,SQRT(Geometry!$E$10-E72*E72),0)</f>
        <v>222.20486043288972</v>
      </c>
      <c r="I72" s="4">
        <f t="shared" ref="I72:I81" si="18">IF(H72&gt;0,1,0)</f>
        <v>1</v>
      </c>
      <c r="J72" s="5">
        <f t="shared" ref="J72:J81" si="19">PI()*H72*H72</f>
        <v>155116.13727099603</v>
      </c>
      <c r="K72" s="15">
        <f>LOOKUP(H72,Geometry!$I$6:$J$14)</f>
        <v>61</v>
      </c>
      <c r="L72" s="15">
        <f>K72*Geometry!$J$2</f>
        <v>54240.686583476017</v>
      </c>
      <c r="M72" s="54">
        <f t="shared" si="7"/>
        <v>53351.495000140349</v>
      </c>
      <c r="N72" s="54">
        <f t="shared" si="16"/>
        <v>0</v>
      </c>
      <c r="O72" s="54">
        <f t="shared" si="9"/>
        <v>0</v>
      </c>
      <c r="P72" s="54">
        <f t="shared" si="10"/>
        <v>0</v>
      </c>
      <c r="Q72" s="54">
        <f t="shared" si="11"/>
        <v>0</v>
      </c>
      <c r="R72" s="54">
        <f t="shared" si="12"/>
        <v>0</v>
      </c>
      <c r="S72" s="54">
        <f t="shared" ref="S72:S103" si="20">IF($C72=0,$L72,$H$1)</f>
        <v>889.19158333567236</v>
      </c>
    </row>
    <row r="73" spans="1:19">
      <c r="A73">
        <f t="shared" ref="A73:A96" si="21">A72+1</f>
        <v>66</v>
      </c>
      <c r="B73" s="54">
        <f t="shared" ref="B73:B111" si="22">B72-(D73-D72)</f>
        <v>120</v>
      </c>
      <c r="C73" s="7">
        <v>1</v>
      </c>
      <c r="D73" s="64">
        <f>D72+LOOKUP(C73,Geometry!$H$19:$I$25)</f>
        <v>530</v>
      </c>
      <c r="E73" s="54">
        <f t="shared" ref="E73:E81" si="23">E72-(D73-D72)</f>
        <v>-140</v>
      </c>
      <c r="F73" s="4">
        <f>Geometry!$D$12*D73</f>
        <v>8.390307692307692</v>
      </c>
      <c r="G73" s="4">
        <f t="shared" si="17"/>
        <v>0.85615384615384604</v>
      </c>
      <c r="H73" s="4">
        <f>IF(ABS(E73*E73)&lt;=Geometry!$E$10,SQRT(Geometry!$E$10-E73*E73),0)</f>
        <v>219.08902300206645</v>
      </c>
      <c r="I73" s="4">
        <f t="shared" si="18"/>
        <v>1</v>
      </c>
      <c r="J73" s="5">
        <f t="shared" si="19"/>
        <v>150796.44737231007</v>
      </c>
      <c r="K73" s="15">
        <f>LOOKUP(H73,Geometry!$I$6:$J$14)</f>
        <v>61</v>
      </c>
      <c r="L73" s="15">
        <f>K73*Geometry!$J$2</f>
        <v>54240.686583476017</v>
      </c>
      <c r="M73" s="54">
        <f t="shared" ref="M73:M117" si="24">IF($C73=1,$L73-$S73,0)</f>
        <v>53351.495000140349</v>
      </c>
      <c r="N73" s="54">
        <f t="shared" ref="N73:N92" si="25">IF($C73=2,$L73-$S73,0)</f>
        <v>0</v>
      </c>
      <c r="O73" s="54">
        <f t="shared" ref="O73:O117" si="26">IF($C73=3,$L73-$S73,0)</f>
        <v>0</v>
      </c>
      <c r="P73" s="54">
        <f t="shared" ref="P73:P117" si="27">IF($C73=4,$L73-$S73,0)</f>
        <v>0</v>
      </c>
      <c r="Q73" s="54">
        <f t="shared" ref="Q73:Q117" si="28">IF($C73=5,$L73-$S73,0)</f>
        <v>0</v>
      </c>
      <c r="R73" s="54">
        <f t="shared" ref="R73:R117" si="29">IF($C73=6,$L73-$S73,0)</f>
        <v>0</v>
      </c>
      <c r="S73" s="54">
        <f t="shared" si="20"/>
        <v>889.19158333567236</v>
      </c>
    </row>
    <row r="74" spans="1:19">
      <c r="A74">
        <f t="shared" si="21"/>
        <v>67</v>
      </c>
      <c r="B74" s="54">
        <f t="shared" si="22"/>
        <v>115</v>
      </c>
      <c r="C74" s="7">
        <v>1</v>
      </c>
      <c r="D74" s="64">
        <f>D73+LOOKUP(C74,Geometry!$H$19:$I$25)</f>
        <v>535</v>
      </c>
      <c r="E74" s="54">
        <f t="shared" si="23"/>
        <v>-145</v>
      </c>
      <c r="F74" s="4">
        <f>Geometry!$D$12*D74</f>
        <v>8.4694615384615393</v>
      </c>
      <c r="G74" s="4">
        <f t="shared" si="17"/>
        <v>0.86423076923076925</v>
      </c>
      <c r="H74" s="4">
        <f>IF(ABS(E74*E74)&lt;=Geometry!$E$10,SQRT(Geometry!$E$10-E74*E74),0)</f>
        <v>215.81241854907239</v>
      </c>
      <c r="I74" s="4">
        <f t="shared" si="18"/>
        <v>1</v>
      </c>
      <c r="J74" s="5">
        <f t="shared" si="19"/>
        <v>146319.67784094461</v>
      </c>
      <c r="K74" s="15">
        <f>LOOKUP(H74,Geometry!$I$6:$J$14)</f>
        <v>61</v>
      </c>
      <c r="L74" s="15">
        <f>K74*Geometry!$J$2</f>
        <v>54240.686583476017</v>
      </c>
      <c r="M74" s="54">
        <f t="shared" si="24"/>
        <v>53351.495000140349</v>
      </c>
      <c r="N74" s="54">
        <f t="shared" si="25"/>
        <v>0</v>
      </c>
      <c r="O74" s="54">
        <f t="shared" si="26"/>
        <v>0</v>
      </c>
      <c r="P74" s="54">
        <f t="shared" si="27"/>
        <v>0</v>
      </c>
      <c r="Q74" s="54">
        <f t="shared" si="28"/>
        <v>0</v>
      </c>
      <c r="R74" s="54">
        <f t="shared" si="29"/>
        <v>0</v>
      </c>
      <c r="S74" s="54">
        <f t="shared" si="20"/>
        <v>889.19158333567236</v>
      </c>
    </row>
    <row r="75" spans="1:19">
      <c r="A75">
        <f t="shared" si="21"/>
        <v>68</v>
      </c>
      <c r="B75" s="54">
        <f t="shared" si="22"/>
        <v>110</v>
      </c>
      <c r="C75" s="7">
        <v>1</v>
      </c>
      <c r="D75" s="64">
        <f>D74+LOOKUP(C75,Geometry!$H$19:$I$25)</f>
        <v>540</v>
      </c>
      <c r="E75" s="54">
        <f t="shared" si="23"/>
        <v>-150</v>
      </c>
      <c r="F75" s="4">
        <f>Geometry!$D$12*D75</f>
        <v>8.5486153846153847</v>
      </c>
      <c r="G75" s="4">
        <f t="shared" si="17"/>
        <v>0.87230769230769223</v>
      </c>
      <c r="H75" s="4">
        <f>IF(ABS(E75*E75)&lt;=Geometry!$E$10,SQRT(Geometry!$E$10-E75*E75),0)</f>
        <v>212.36760581595303</v>
      </c>
      <c r="I75" s="4">
        <f t="shared" si="18"/>
        <v>1</v>
      </c>
      <c r="J75" s="5">
        <f t="shared" si="19"/>
        <v>141685.82867689969</v>
      </c>
      <c r="K75" s="15">
        <f>LOOKUP(H75,Geometry!$I$6:$J$14)</f>
        <v>61</v>
      </c>
      <c r="L75" s="15">
        <f>K75*Geometry!$J$2</f>
        <v>54240.686583476017</v>
      </c>
      <c r="M75" s="54">
        <f t="shared" si="24"/>
        <v>53351.495000140349</v>
      </c>
      <c r="N75" s="54">
        <f t="shared" si="25"/>
        <v>0</v>
      </c>
      <c r="O75" s="54">
        <f t="shared" si="26"/>
        <v>0</v>
      </c>
      <c r="P75" s="54">
        <f t="shared" si="27"/>
        <v>0</v>
      </c>
      <c r="Q75" s="54">
        <f t="shared" si="28"/>
        <v>0</v>
      </c>
      <c r="R75" s="54">
        <f t="shared" si="29"/>
        <v>0</v>
      </c>
      <c r="S75" s="54">
        <f t="shared" si="20"/>
        <v>889.19158333567236</v>
      </c>
    </row>
    <row r="76" spans="1:19">
      <c r="A76">
        <f t="shared" si="21"/>
        <v>69</v>
      </c>
      <c r="B76" s="54">
        <f t="shared" si="22"/>
        <v>105</v>
      </c>
      <c r="C76" s="7">
        <v>1</v>
      </c>
      <c r="D76" s="64">
        <f>D75+LOOKUP(C76,Geometry!$H$19:$I$25)</f>
        <v>545</v>
      </c>
      <c r="E76" s="54">
        <f t="shared" si="23"/>
        <v>-155</v>
      </c>
      <c r="F76" s="4">
        <f>Geometry!$D$12*D76</f>
        <v>8.627769230769232</v>
      </c>
      <c r="G76" s="4">
        <f t="shared" si="17"/>
        <v>0.88038461538461543</v>
      </c>
      <c r="H76" s="4">
        <f>IF(ABS(E76*E76)&lt;=Geometry!$E$10,SQRT(Geometry!$E$10-E76*E76),0)</f>
        <v>208.74625745148103</v>
      </c>
      <c r="I76" s="4">
        <f t="shared" si="18"/>
        <v>1</v>
      </c>
      <c r="J76" s="5">
        <f t="shared" si="19"/>
        <v>136894.89988017522</v>
      </c>
      <c r="K76" s="15">
        <f>LOOKUP(H76,Geometry!$I$6:$J$14)</f>
        <v>61</v>
      </c>
      <c r="L76" s="15">
        <f>K76*Geometry!$J$2</f>
        <v>54240.686583476017</v>
      </c>
      <c r="M76" s="54">
        <f t="shared" si="24"/>
        <v>53351.495000140349</v>
      </c>
      <c r="N76" s="54">
        <f t="shared" si="25"/>
        <v>0</v>
      </c>
      <c r="O76" s="54">
        <f t="shared" si="26"/>
        <v>0</v>
      </c>
      <c r="P76" s="54">
        <f t="shared" si="27"/>
        <v>0</v>
      </c>
      <c r="Q76" s="54">
        <f t="shared" si="28"/>
        <v>0</v>
      </c>
      <c r="R76" s="54">
        <f t="shared" si="29"/>
        <v>0</v>
      </c>
      <c r="S76" s="54">
        <f t="shared" si="20"/>
        <v>889.19158333567236</v>
      </c>
    </row>
    <row r="77" spans="1:19">
      <c r="A77">
        <f t="shared" si="21"/>
        <v>70</v>
      </c>
      <c r="B77" s="54">
        <f t="shared" si="22"/>
        <v>100</v>
      </c>
      <c r="C77" s="7">
        <v>1</v>
      </c>
      <c r="D77" s="64">
        <f>D76+LOOKUP(C77,Geometry!$H$19:$I$25)</f>
        <v>550</v>
      </c>
      <c r="E77" s="54">
        <f t="shared" si="23"/>
        <v>-160</v>
      </c>
      <c r="F77" s="4">
        <f>Geometry!$D$12*D77</f>
        <v>8.7069230769230774</v>
      </c>
      <c r="G77" s="4">
        <f t="shared" si="17"/>
        <v>0.88846153846153841</v>
      </c>
      <c r="H77" s="4">
        <f>IF(ABS(E77*E77)&lt;=Geometry!$E$10,SQRT(Geometry!$E$10-E77*E77),0)</f>
        <v>204.93901531919198</v>
      </c>
      <c r="I77" s="4">
        <f t="shared" si="18"/>
        <v>1</v>
      </c>
      <c r="J77" s="5">
        <f t="shared" si="19"/>
        <v>131946.89145077133</v>
      </c>
      <c r="K77" s="15">
        <f>LOOKUP(H77,Geometry!$I$6:$J$14)</f>
        <v>61</v>
      </c>
      <c r="L77" s="15">
        <f>K77*Geometry!$J$2</f>
        <v>54240.686583476017</v>
      </c>
      <c r="M77" s="54">
        <f t="shared" si="24"/>
        <v>53351.495000140349</v>
      </c>
      <c r="N77" s="54">
        <f t="shared" si="25"/>
        <v>0</v>
      </c>
      <c r="O77" s="54">
        <f t="shared" si="26"/>
        <v>0</v>
      </c>
      <c r="P77" s="54">
        <f t="shared" si="27"/>
        <v>0</v>
      </c>
      <c r="Q77" s="54">
        <f t="shared" si="28"/>
        <v>0</v>
      </c>
      <c r="R77" s="54">
        <f t="shared" si="29"/>
        <v>0</v>
      </c>
      <c r="S77" s="54">
        <f t="shared" si="20"/>
        <v>889.19158333567236</v>
      </c>
    </row>
    <row r="78" spans="1:19">
      <c r="A78">
        <f t="shared" si="21"/>
        <v>71</v>
      </c>
      <c r="B78" s="54">
        <f t="shared" si="22"/>
        <v>95</v>
      </c>
      <c r="C78" s="7">
        <v>1</v>
      </c>
      <c r="D78" s="64">
        <f>D77+LOOKUP(C78,Geometry!$H$19:$I$25)</f>
        <v>555</v>
      </c>
      <c r="E78" s="54">
        <f t="shared" si="23"/>
        <v>-165</v>
      </c>
      <c r="F78" s="4">
        <f>Geometry!$D$12*D78</f>
        <v>8.7860769230769229</v>
      </c>
      <c r="G78" s="4">
        <f t="shared" si="17"/>
        <v>0.89653846153846151</v>
      </c>
      <c r="H78" s="4">
        <f>IF(ABS(E78*E78)&lt;=Geometry!$E$10,SQRT(Geometry!$E$10-E78*E78),0)</f>
        <v>200.93531297410121</v>
      </c>
      <c r="I78" s="4">
        <f t="shared" si="18"/>
        <v>1</v>
      </c>
      <c r="J78" s="5">
        <f t="shared" si="19"/>
        <v>126841.80338868791</v>
      </c>
      <c r="K78" s="15">
        <f>LOOKUP(H78,Geometry!$I$6:$J$14)</f>
        <v>61</v>
      </c>
      <c r="L78" s="15">
        <f>K78*Geometry!$J$2</f>
        <v>54240.686583476017</v>
      </c>
      <c r="M78" s="54">
        <f t="shared" si="24"/>
        <v>53351.495000140349</v>
      </c>
      <c r="N78" s="54">
        <f t="shared" si="25"/>
        <v>0</v>
      </c>
      <c r="O78" s="54">
        <f t="shared" si="26"/>
        <v>0</v>
      </c>
      <c r="P78" s="54">
        <f t="shared" si="27"/>
        <v>0</v>
      </c>
      <c r="Q78" s="54">
        <f t="shared" si="28"/>
        <v>0</v>
      </c>
      <c r="R78" s="54">
        <f t="shared" si="29"/>
        <v>0</v>
      </c>
      <c r="S78" s="54">
        <f t="shared" si="20"/>
        <v>889.19158333567236</v>
      </c>
    </row>
    <row r="79" spans="1:19">
      <c r="A79">
        <f t="shared" si="21"/>
        <v>72</v>
      </c>
      <c r="B79" s="54">
        <f t="shared" si="22"/>
        <v>90</v>
      </c>
      <c r="C79" s="7">
        <v>1</v>
      </c>
      <c r="D79" s="64">
        <f>D78+LOOKUP(C79,Geometry!$H$19:$I$25)</f>
        <v>560</v>
      </c>
      <c r="E79" s="54">
        <f t="shared" si="23"/>
        <v>-170</v>
      </c>
      <c r="F79" s="4">
        <f>Geometry!$D$12*D79</f>
        <v>8.8652307692307701</v>
      </c>
      <c r="G79" s="4">
        <f t="shared" si="17"/>
        <v>0.9046153846153846</v>
      </c>
      <c r="H79" s="4">
        <f>IF(ABS(E79*E79)&lt;=Geometry!$E$10,SQRT(Geometry!$E$10-E79*E79),0)</f>
        <v>196.72315572906001</v>
      </c>
      <c r="I79" s="4">
        <f t="shared" si="18"/>
        <v>1</v>
      </c>
      <c r="J79" s="5">
        <f t="shared" si="19"/>
        <v>121579.635693925</v>
      </c>
      <c r="K79" s="15">
        <f>LOOKUP(H79,Geometry!$I$6:$J$14)</f>
        <v>61</v>
      </c>
      <c r="L79" s="15">
        <f>K79*Geometry!$J$2</f>
        <v>54240.686583476017</v>
      </c>
      <c r="M79" s="54">
        <f t="shared" si="24"/>
        <v>53351.495000140349</v>
      </c>
      <c r="N79" s="54">
        <f t="shared" si="25"/>
        <v>0</v>
      </c>
      <c r="O79" s="54">
        <f t="shared" si="26"/>
        <v>0</v>
      </c>
      <c r="P79" s="54">
        <f t="shared" si="27"/>
        <v>0</v>
      </c>
      <c r="Q79" s="54">
        <f t="shared" si="28"/>
        <v>0</v>
      </c>
      <c r="R79" s="54">
        <f t="shared" si="29"/>
        <v>0</v>
      </c>
      <c r="S79" s="54">
        <f t="shared" si="20"/>
        <v>889.19158333567236</v>
      </c>
    </row>
    <row r="80" spans="1:19">
      <c r="A80">
        <f t="shared" si="21"/>
        <v>73</v>
      </c>
      <c r="B80" s="54">
        <f t="shared" si="22"/>
        <v>85</v>
      </c>
      <c r="C80" s="7">
        <v>1</v>
      </c>
      <c r="D80" s="64">
        <f>D79+LOOKUP(C80,Geometry!$H$19:$I$25)</f>
        <v>565</v>
      </c>
      <c r="E80" s="54">
        <f t="shared" si="23"/>
        <v>-175</v>
      </c>
      <c r="F80" s="4">
        <f>Geometry!$D$12*D80</f>
        <v>8.9443846153846156</v>
      </c>
      <c r="G80" s="4">
        <f t="shared" si="17"/>
        <v>0.91269230769230769</v>
      </c>
      <c r="H80" s="4">
        <f>IF(ABS(E80*E80)&lt;=Geometry!$E$10,SQRT(Geometry!$E$10-E80*E80),0)</f>
        <v>192.2888452302941</v>
      </c>
      <c r="I80" s="4">
        <f t="shared" si="18"/>
        <v>1</v>
      </c>
      <c r="J80" s="5">
        <f t="shared" si="19"/>
        <v>116160.3883664826</v>
      </c>
      <c r="K80" s="15">
        <f>LOOKUP(H80,Geometry!$I$6:$J$14)</f>
        <v>61</v>
      </c>
      <c r="L80" s="15">
        <f>K80*Geometry!$J$2</f>
        <v>54240.686583476017</v>
      </c>
      <c r="M80" s="54">
        <f t="shared" si="24"/>
        <v>53351.495000140349</v>
      </c>
      <c r="N80" s="54">
        <f t="shared" si="25"/>
        <v>0</v>
      </c>
      <c r="O80" s="54">
        <f t="shared" si="26"/>
        <v>0</v>
      </c>
      <c r="P80" s="54">
        <f t="shared" si="27"/>
        <v>0</v>
      </c>
      <c r="Q80" s="54">
        <f t="shared" si="28"/>
        <v>0</v>
      </c>
      <c r="R80" s="54">
        <f t="shared" si="29"/>
        <v>0</v>
      </c>
      <c r="S80" s="54">
        <f t="shared" si="20"/>
        <v>889.19158333567236</v>
      </c>
    </row>
    <row r="81" spans="1:20">
      <c r="A81">
        <f t="shared" si="21"/>
        <v>74</v>
      </c>
      <c r="B81" s="54">
        <f t="shared" si="22"/>
        <v>80</v>
      </c>
      <c r="C81" s="7">
        <v>1</v>
      </c>
      <c r="D81" s="64">
        <f>D80+LOOKUP(C81,Geometry!$H$19:$I$25)</f>
        <v>570</v>
      </c>
      <c r="E81" s="54">
        <f t="shared" si="23"/>
        <v>-180</v>
      </c>
      <c r="F81" s="4">
        <f>Geometry!$D$12*D81</f>
        <v>9.0235384615384628</v>
      </c>
      <c r="G81" s="4">
        <f t="shared" si="17"/>
        <v>0.92076923076923078</v>
      </c>
      <c r="H81" s="4">
        <f>IF(ABS(E81*E81)&lt;=Geometry!$E$10,SQRT(Geometry!$E$10-E81*E81),0)</f>
        <v>187.6166303929372</v>
      </c>
      <c r="I81" s="4">
        <f t="shared" si="18"/>
        <v>1</v>
      </c>
      <c r="J81" s="5">
        <f t="shared" si="19"/>
        <v>110584.06140636074</v>
      </c>
      <c r="K81" s="15">
        <f>LOOKUP(H81,Geometry!$I$6:$J$14)</f>
        <v>61</v>
      </c>
      <c r="L81" s="15">
        <f>K81*Geometry!$J$2</f>
        <v>54240.686583476017</v>
      </c>
      <c r="M81" s="54">
        <f t="shared" si="24"/>
        <v>53351.495000140349</v>
      </c>
      <c r="N81" s="54">
        <f t="shared" si="25"/>
        <v>0</v>
      </c>
      <c r="O81" s="54">
        <f t="shared" si="26"/>
        <v>0</v>
      </c>
      <c r="P81" s="54">
        <f t="shared" si="27"/>
        <v>0</v>
      </c>
      <c r="Q81" s="54">
        <f t="shared" si="28"/>
        <v>0</v>
      </c>
      <c r="R81" s="54">
        <f t="shared" si="29"/>
        <v>0</v>
      </c>
      <c r="S81" s="54">
        <f t="shared" si="20"/>
        <v>889.19158333567236</v>
      </c>
    </row>
    <row r="82" spans="1:20">
      <c r="A82">
        <f t="shared" si="21"/>
        <v>75</v>
      </c>
      <c r="B82" s="54">
        <f t="shared" si="22"/>
        <v>75</v>
      </c>
      <c r="C82" s="7">
        <v>1</v>
      </c>
      <c r="D82" s="64">
        <f>D81+LOOKUP(C82,Geometry!$H$19:$I$25)</f>
        <v>575</v>
      </c>
      <c r="E82" s="54">
        <f t="shared" ref="E82:E117" si="30">E81-(D82-D81)</f>
        <v>-185</v>
      </c>
      <c r="F82" s="4">
        <f>Geometry!$D$12*D82</f>
        <v>9.1026923076923083</v>
      </c>
      <c r="G82" s="4">
        <f t="shared" ref="G82:G117" si="31">IF(H82&gt;0,F82/9.8,0)</f>
        <v>0.92884615384615388</v>
      </c>
      <c r="H82" s="4">
        <f>IF(ABS(E82*E82)&lt;=Geometry!$E$10,SQRT(Geometry!$E$10-E82*E82),0)</f>
        <v>182.6882590644511</v>
      </c>
      <c r="I82" s="4">
        <f t="shared" ref="I82:I117" si="32">IF(H82&gt;0,1,0)</f>
        <v>1</v>
      </c>
      <c r="J82" s="5">
        <f t="shared" ref="J82:J117" si="33">PI()*H82*H82</f>
        <v>104850.65481355935</v>
      </c>
      <c r="K82" s="15">
        <f>LOOKUP(H82,Geometry!$I$6:$J$14)</f>
        <v>37</v>
      </c>
      <c r="L82" s="15">
        <f>K82*Geometry!$J$2</f>
        <v>32900.088583419878</v>
      </c>
      <c r="M82" s="54">
        <f t="shared" si="24"/>
        <v>32010.897000084206</v>
      </c>
      <c r="N82" s="54">
        <f t="shared" si="25"/>
        <v>0</v>
      </c>
      <c r="O82" s="54">
        <f t="shared" si="26"/>
        <v>0</v>
      </c>
      <c r="P82" s="54">
        <f t="shared" si="27"/>
        <v>0</v>
      </c>
      <c r="Q82" s="54">
        <f t="shared" si="28"/>
        <v>0</v>
      </c>
      <c r="R82" s="54">
        <f t="shared" si="29"/>
        <v>0</v>
      </c>
      <c r="S82" s="54">
        <f t="shared" si="20"/>
        <v>889.19158333567236</v>
      </c>
    </row>
    <row r="83" spans="1:20">
      <c r="A83">
        <f t="shared" si="21"/>
        <v>76</v>
      </c>
      <c r="B83" s="54">
        <f t="shared" si="22"/>
        <v>70</v>
      </c>
      <c r="C83" s="7">
        <v>1</v>
      </c>
      <c r="D83" s="64">
        <f>D82+LOOKUP(C83,Geometry!$H$19:$I$25)</f>
        <v>580</v>
      </c>
      <c r="E83" s="54">
        <f t="shared" si="30"/>
        <v>-190</v>
      </c>
      <c r="F83" s="4">
        <f>Geometry!$D$12*D83</f>
        <v>9.1818461538461538</v>
      </c>
      <c r="G83" s="4">
        <f t="shared" si="31"/>
        <v>0.93692307692307686</v>
      </c>
      <c r="H83" s="4">
        <f>IF(ABS(E83*E83)&lt;=Geometry!$E$10,SQRT(Geometry!$E$10-E83*E83),0)</f>
        <v>177.48239349298848</v>
      </c>
      <c r="I83" s="4">
        <f t="shared" si="32"/>
        <v>1</v>
      </c>
      <c r="J83" s="5">
        <f t="shared" si="33"/>
        <v>98960.168588078493</v>
      </c>
      <c r="K83" s="15">
        <f>LOOKUP(H83,Geometry!$I$6:$J$14)</f>
        <v>37</v>
      </c>
      <c r="L83" s="15">
        <f>K83*Geometry!$J$2</f>
        <v>32900.088583419878</v>
      </c>
      <c r="M83" s="54">
        <f t="shared" si="24"/>
        <v>32010.897000084206</v>
      </c>
      <c r="N83" s="54">
        <f t="shared" si="25"/>
        <v>0</v>
      </c>
      <c r="O83" s="54">
        <f t="shared" si="26"/>
        <v>0</v>
      </c>
      <c r="P83" s="54">
        <f t="shared" si="27"/>
        <v>0</v>
      </c>
      <c r="Q83" s="54">
        <f t="shared" si="28"/>
        <v>0</v>
      </c>
      <c r="R83" s="54">
        <f t="shared" si="29"/>
        <v>0</v>
      </c>
      <c r="S83" s="54">
        <f t="shared" si="20"/>
        <v>889.19158333567236</v>
      </c>
    </row>
    <row r="84" spans="1:20">
      <c r="A84">
        <f t="shared" si="21"/>
        <v>77</v>
      </c>
      <c r="B84" s="54">
        <f t="shared" si="22"/>
        <v>65</v>
      </c>
      <c r="C84" s="7">
        <v>1</v>
      </c>
      <c r="D84" s="64">
        <f>D83+LOOKUP(C84,Geometry!$H$19:$I$25)</f>
        <v>585</v>
      </c>
      <c r="E84" s="54">
        <f t="shared" si="30"/>
        <v>-195</v>
      </c>
      <c r="F84" s="4">
        <f>Geometry!$D$12*D84</f>
        <v>9.261000000000001</v>
      </c>
      <c r="G84" s="4">
        <f t="shared" si="31"/>
        <v>0.94500000000000006</v>
      </c>
      <c r="H84" s="4">
        <f>IF(ABS(E84*E84)&lt;=Geometry!$E$10,SQRT(Geometry!$E$10-E84*E84),0)</f>
        <v>171.97383521919838</v>
      </c>
      <c r="I84" s="4">
        <f t="shared" si="32"/>
        <v>1</v>
      </c>
      <c r="J84" s="5">
        <f t="shared" si="33"/>
        <v>92912.60272991813</v>
      </c>
      <c r="K84" s="15">
        <f>LOOKUP(H84,Geometry!$I$6:$J$14)</f>
        <v>37</v>
      </c>
      <c r="L84" s="15">
        <f>K84*Geometry!$J$2</f>
        <v>32900.088583419878</v>
      </c>
      <c r="M84" s="54">
        <f t="shared" si="24"/>
        <v>32010.897000084206</v>
      </c>
      <c r="N84" s="54">
        <f t="shared" si="25"/>
        <v>0</v>
      </c>
      <c r="O84" s="54">
        <f t="shared" si="26"/>
        <v>0</v>
      </c>
      <c r="P84" s="54">
        <f t="shared" si="27"/>
        <v>0</v>
      </c>
      <c r="Q84" s="54">
        <f t="shared" si="28"/>
        <v>0</v>
      </c>
      <c r="R84" s="54">
        <f t="shared" si="29"/>
        <v>0</v>
      </c>
      <c r="S84" s="54">
        <f t="shared" si="20"/>
        <v>889.19158333567236</v>
      </c>
    </row>
    <row r="85" spans="1:20">
      <c r="A85">
        <f t="shared" si="21"/>
        <v>78</v>
      </c>
      <c r="B85" s="54">
        <f t="shared" si="22"/>
        <v>60</v>
      </c>
      <c r="C85" s="7">
        <v>1</v>
      </c>
      <c r="D85" s="64">
        <f>D84+LOOKUP(C85,Geometry!$H$19:$I$25)</f>
        <v>590</v>
      </c>
      <c r="E85" s="54">
        <f t="shared" si="30"/>
        <v>-200</v>
      </c>
      <c r="F85" s="4">
        <f>Geometry!$D$12*D85</f>
        <v>9.3401538461538465</v>
      </c>
      <c r="G85" s="4">
        <f t="shared" si="31"/>
        <v>0.95307692307692304</v>
      </c>
      <c r="H85" s="4">
        <f>IF(ABS(E85*E85)&lt;=Geometry!$E$10,SQRT(Geometry!$E$10-E85*E85),0)</f>
        <v>166.13247725836149</v>
      </c>
      <c r="I85" s="4">
        <f t="shared" si="32"/>
        <v>1</v>
      </c>
      <c r="J85" s="5">
        <f t="shared" si="33"/>
        <v>86707.957239078285</v>
      </c>
      <c r="K85" s="15">
        <f>LOOKUP(H85,Geometry!$I$6:$J$14)</f>
        <v>37</v>
      </c>
      <c r="L85" s="15">
        <f>K85*Geometry!$J$2</f>
        <v>32900.088583419878</v>
      </c>
      <c r="M85" s="54">
        <f t="shared" si="24"/>
        <v>32010.897000084206</v>
      </c>
      <c r="N85" s="54">
        <f t="shared" si="25"/>
        <v>0</v>
      </c>
      <c r="O85" s="54">
        <f t="shared" si="26"/>
        <v>0</v>
      </c>
      <c r="P85" s="54">
        <f t="shared" si="27"/>
        <v>0</v>
      </c>
      <c r="Q85" s="54">
        <f t="shared" si="28"/>
        <v>0</v>
      </c>
      <c r="R85" s="54">
        <f t="shared" si="29"/>
        <v>0</v>
      </c>
      <c r="S85" s="54">
        <f t="shared" si="20"/>
        <v>889.19158333567236</v>
      </c>
      <c r="T85" s="4">
        <f>Conversion!F18*P85</f>
        <v>0</v>
      </c>
    </row>
    <row r="86" spans="1:20">
      <c r="A86">
        <f t="shared" si="21"/>
        <v>79</v>
      </c>
      <c r="B86" s="54">
        <f t="shared" si="22"/>
        <v>55</v>
      </c>
      <c r="C86" s="7">
        <v>1</v>
      </c>
      <c r="D86" s="64">
        <f>D85+LOOKUP(C86,Geometry!$H$19:$I$25)</f>
        <v>595</v>
      </c>
      <c r="E86" s="54">
        <f t="shared" si="30"/>
        <v>-205</v>
      </c>
      <c r="F86" s="4">
        <f>Geometry!$D$12*D86</f>
        <v>9.4193076923076919</v>
      </c>
      <c r="G86" s="4">
        <f t="shared" si="31"/>
        <v>0.96115384615384603</v>
      </c>
      <c r="H86" s="4">
        <f>IF(ABS(E86*E86)&lt;=Geometry!$E$10,SQRT(Geometry!$E$10-E86*E86),0)</f>
        <v>159.92185591719476</v>
      </c>
      <c r="I86" s="4">
        <f t="shared" si="32"/>
        <v>1</v>
      </c>
      <c r="J86" s="5">
        <f t="shared" si="33"/>
        <v>80346.23211555896</v>
      </c>
      <c r="K86" s="15">
        <f>LOOKUP(H86,Geometry!$I$6:$J$14)</f>
        <v>37</v>
      </c>
      <c r="L86" s="15">
        <f>K86*Geometry!$J$2</f>
        <v>32900.088583419878</v>
      </c>
      <c r="M86" s="54">
        <f t="shared" si="24"/>
        <v>32010.897000084206</v>
      </c>
      <c r="N86" s="54">
        <f t="shared" si="25"/>
        <v>0</v>
      </c>
      <c r="O86" s="54">
        <f t="shared" si="26"/>
        <v>0</v>
      </c>
      <c r="P86" s="54">
        <f t="shared" si="27"/>
        <v>0</v>
      </c>
      <c r="Q86" s="54">
        <f t="shared" si="28"/>
        <v>0</v>
      </c>
      <c r="R86" s="54">
        <f t="shared" si="29"/>
        <v>0</v>
      </c>
      <c r="S86" s="54">
        <f t="shared" si="20"/>
        <v>889.19158333567236</v>
      </c>
    </row>
    <row r="87" spans="1:20">
      <c r="A87">
        <f t="shared" si="21"/>
        <v>80</v>
      </c>
      <c r="B87" s="54">
        <f t="shared" si="22"/>
        <v>50</v>
      </c>
      <c r="C87" s="7">
        <v>1</v>
      </c>
      <c r="D87" s="64">
        <f>D86+LOOKUP(C87,Geometry!$H$19:$I$25)</f>
        <v>600</v>
      </c>
      <c r="E87" s="54">
        <f t="shared" si="30"/>
        <v>-210</v>
      </c>
      <c r="F87" s="4">
        <f>Geometry!$D$12*D87</f>
        <v>9.4984615384615392</v>
      </c>
      <c r="G87" s="4">
        <f t="shared" si="31"/>
        <v>0.96923076923076923</v>
      </c>
      <c r="H87" s="4">
        <f>IF(ABS(E87*E87)&lt;=Geometry!$E$10,SQRT(Geometry!$E$10-E87*E87),0)</f>
        <v>153.29709716755892</v>
      </c>
      <c r="I87" s="4">
        <f t="shared" si="32"/>
        <v>1</v>
      </c>
      <c r="J87" s="5">
        <f t="shared" si="33"/>
        <v>73827.427359360139</v>
      </c>
      <c r="K87" s="15">
        <f>LOOKUP(H87,Geometry!$I$6:$J$14)</f>
        <v>37</v>
      </c>
      <c r="L87" s="15">
        <f>K87*Geometry!$J$2</f>
        <v>32900.088583419878</v>
      </c>
      <c r="M87" s="54">
        <f t="shared" si="24"/>
        <v>32010.897000084206</v>
      </c>
      <c r="N87" s="54">
        <f t="shared" si="25"/>
        <v>0</v>
      </c>
      <c r="O87" s="54">
        <f t="shared" si="26"/>
        <v>0</v>
      </c>
      <c r="P87" s="54">
        <f t="shared" si="27"/>
        <v>0</v>
      </c>
      <c r="Q87" s="54">
        <f t="shared" si="28"/>
        <v>0</v>
      </c>
      <c r="R87" s="54">
        <f t="shared" si="29"/>
        <v>0</v>
      </c>
      <c r="S87" s="54">
        <f t="shared" si="20"/>
        <v>889.19158333567236</v>
      </c>
    </row>
    <row r="88" spans="1:20">
      <c r="A88">
        <f t="shared" si="21"/>
        <v>81</v>
      </c>
      <c r="B88" s="54">
        <f t="shared" si="22"/>
        <v>35</v>
      </c>
      <c r="C88" s="7">
        <v>4</v>
      </c>
      <c r="D88" s="64">
        <f>D87+LOOKUP(C88,Geometry!$H$19:$I$25)</f>
        <v>615</v>
      </c>
      <c r="E88" s="54">
        <f t="shared" si="30"/>
        <v>-225</v>
      </c>
      <c r="F88" s="4">
        <f>Geometry!$D$12*D88</f>
        <v>9.7359230769230773</v>
      </c>
      <c r="G88" s="4">
        <f t="shared" si="31"/>
        <v>0.9934615384615384</v>
      </c>
      <c r="H88" s="4">
        <f>IF(ABS(E88*E88)&lt;=Geometry!$E$10,SQRT(Geometry!$E$10-E88*E88),0)</f>
        <v>130.28814220795383</v>
      </c>
      <c r="I88" s="4">
        <f t="shared" si="32"/>
        <v>1</v>
      </c>
      <c r="J88" s="5">
        <f t="shared" si="33"/>
        <v>53328.535294686735</v>
      </c>
      <c r="K88" s="15">
        <f>LOOKUP(H88,Geometry!$I$6:$J$14)</f>
        <v>19</v>
      </c>
      <c r="L88" s="15">
        <f>K88*Geometry!$J$2</f>
        <v>16894.640083377773</v>
      </c>
      <c r="M88" s="54">
        <f t="shared" si="24"/>
        <v>0</v>
      </c>
      <c r="N88" s="54">
        <f t="shared" si="25"/>
        <v>0</v>
      </c>
      <c r="O88" s="54">
        <f t="shared" si="26"/>
        <v>0</v>
      </c>
      <c r="P88" s="54">
        <f t="shared" si="27"/>
        <v>16005.448500042101</v>
      </c>
      <c r="Q88" s="54">
        <f t="shared" si="28"/>
        <v>0</v>
      </c>
      <c r="R88" s="54">
        <f t="shared" si="29"/>
        <v>0</v>
      </c>
      <c r="S88" s="54">
        <f t="shared" si="20"/>
        <v>889.19158333567236</v>
      </c>
    </row>
    <row r="89" spans="1:20">
      <c r="A89">
        <f t="shared" si="21"/>
        <v>82</v>
      </c>
      <c r="B89" s="54">
        <f t="shared" si="22"/>
        <v>30</v>
      </c>
      <c r="C89" s="7">
        <v>1</v>
      </c>
      <c r="D89" s="64">
        <f>D88+LOOKUP(C89,Geometry!$H$19:$I$25)</f>
        <v>620</v>
      </c>
      <c r="E89" s="54">
        <f t="shared" si="30"/>
        <v>-230</v>
      </c>
      <c r="F89" s="4">
        <f>Geometry!$D$12*D89</f>
        <v>9.8150769230769228</v>
      </c>
      <c r="G89" s="4">
        <f t="shared" si="31"/>
        <v>1.0015384615384615</v>
      </c>
      <c r="H89" s="4">
        <f>IF(ABS(E89*E89)&lt;=Geometry!$E$10,SQRT(Geometry!$E$10-E89*E89),0)</f>
        <v>121.2435565298214</v>
      </c>
      <c r="I89" s="4">
        <f t="shared" si="32"/>
        <v>1</v>
      </c>
      <c r="J89" s="5">
        <f t="shared" si="33"/>
        <v>46181.412007769955</v>
      </c>
      <c r="K89" s="15">
        <f>LOOKUP(H89,Geometry!$I$6:$J$14)</f>
        <v>19</v>
      </c>
      <c r="L89" s="15">
        <f>K89*Geometry!$J$2</f>
        <v>16894.640083377773</v>
      </c>
      <c r="M89" s="54">
        <f t="shared" si="24"/>
        <v>16005.448500042101</v>
      </c>
      <c r="N89" s="54">
        <f t="shared" si="25"/>
        <v>0</v>
      </c>
      <c r="O89" s="54">
        <f t="shared" si="26"/>
        <v>0</v>
      </c>
      <c r="P89" s="54">
        <f t="shared" si="27"/>
        <v>0</v>
      </c>
      <c r="Q89" s="54">
        <f t="shared" si="28"/>
        <v>0</v>
      </c>
      <c r="R89" s="54">
        <f t="shared" si="29"/>
        <v>0</v>
      </c>
      <c r="S89" s="54">
        <f t="shared" si="20"/>
        <v>889.19158333567236</v>
      </c>
    </row>
    <row r="90" spans="1:20">
      <c r="A90">
        <f t="shared" si="21"/>
        <v>83</v>
      </c>
      <c r="B90" s="54">
        <f t="shared" si="22"/>
        <v>25</v>
      </c>
      <c r="C90" s="7">
        <v>1</v>
      </c>
      <c r="D90" s="64">
        <f>D89+LOOKUP(C90,Geometry!$H$19:$I$25)</f>
        <v>625</v>
      </c>
      <c r="E90" s="54">
        <f t="shared" si="30"/>
        <v>-235</v>
      </c>
      <c r="F90" s="4">
        <f>Geometry!$D$12*D90</f>
        <v>9.8942307692307701</v>
      </c>
      <c r="G90" s="4">
        <f t="shared" si="31"/>
        <v>1.0096153846153846</v>
      </c>
      <c r="H90" s="4">
        <f>IF(ABS(E90*E90)&lt;=Geometry!$E$10,SQRT(Geometry!$E$10-E90*E90),0)</f>
        <v>111.24297730643494</v>
      </c>
      <c r="I90" s="4">
        <f t="shared" si="32"/>
        <v>1</v>
      </c>
      <c r="J90" s="5">
        <f t="shared" si="33"/>
        <v>38877.209088173688</v>
      </c>
      <c r="K90" s="15">
        <f>LOOKUP(H90,Geometry!$I$6:$J$14)</f>
        <v>19</v>
      </c>
      <c r="L90" s="15">
        <f>K90*Geometry!$J$2</f>
        <v>16894.640083377773</v>
      </c>
      <c r="M90" s="54">
        <f t="shared" si="24"/>
        <v>16005.448500042101</v>
      </c>
      <c r="N90" s="54">
        <f t="shared" si="25"/>
        <v>0</v>
      </c>
      <c r="O90" s="54">
        <f t="shared" si="26"/>
        <v>0</v>
      </c>
      <c r="P90" s="54">
        <f t="shared" si="27"/>
        <v>0</v>
      </c>
      <c r="Q90" s="54">
        <f t="shared" si="28"/>
        <v>0</v>
      </c>
      <c r="R90" s="54">
        <f t="shared" si="29"/>
        <v>0</v>
      </c>
      <c r="S90" s="54">
        <f t="shared" si="20"/>
        <v>889.19158333567236</v>
      </c>
    </row>
    <row r="91" spans="1:20">
      <c r="A91">
        <f t="shared" si="21"/>
        <v>84</v>
      </c>
      <c r="B91" s="54">
        <f t="shared" si="22"/>
        <v>20</v>
      </c>
      <c r="C91" s="7">
        <v>0</v>
      </c>
      <c r="D91" s="64">
        <f>D90+LOOKUP(C91,Geometry!$H$19:$I$25)</f>
        <v>630</v>
      </c>
      <c r="E91" s="54">
        <f t="shared" si="30"/>
        <v>-240</v>
      </c>
      <c r="F91" s="4">
        <f>Geometry!$D$12*D91</f>
        <v>9.9733846153846155</v>
      </c>
      <c r="G91" s="4">
        <f t="shared" si="31"/>
        <v>1.0176923076923077</v>
      </c>
      <c r="H91" s="4">
        <f>IF(ABS(E91*E91)&lt;=Geometry!$E$10,SQRT(Geometry!$E$10-E91*E91),0)</f>
        <v>100</v>
      </c>
      <c r="I91" s="4">
        <f t="shared" si="32"/>
        <v>1</v>
      </c>
      <c r="J91" s="5">
        <f t="shared" si="33"/>
        <v>31415.926535897932</v>
      </c>
      <c r="K91" s="15">
        <f>LOOKUP(H91,Geometry!$I$6:$J$14)</f>
        <v>7</v>
      </c>
      <c r="L91" s="15">
        <f>K91*Geometry!$J$2</f>
        <v>6224.3410833497064</v>
      </c>
      <c r="M91" s="54">
        <f t="shared" si="24"/>
        <v>0</v>
      </c>
      <c r="N91" s="54">
        <f t="shared" si="25"/>
        <v>0</v>
      </c>
      <c r="O91" s="54">
        <f t="shared" si="26"/>
        <v>0</v>
      </c>
      <c r="P91" s="54">
        <f t="shared" si="27"/>
        <v>0</v>
      </c>
      <c r="Q91" s="54">
        <f t="shared" si="28"/>
        <v>0</v>
      </c>
      <c r="R91" s="54">
        <f t="shared" si="29"/>
        <v>0</v>
      </c>
      <c r="S91" s="54">
        <f t="shared" si="20"/>
        <v>6224.3410833497064</v>
      </c>
    </row>
    <row r="92" spans="1:20">
      <c r="A92">
        <f t="shared" si="21"/>
        <v>85</v>
      </c>
      <c r="B92" s="54">
        <f t="shared" si="22"/>
        <v>15</v>
      </c>
      <c r="C92" s="7">
        <v>0</v>
      </c>
      <c r="D92" s="64">
        <f>D91+LOOKUP(C92,Geometry!$H$19:$I$25)</f>
        <v>635</v>
      </c>
      <c r="E92" s="54">
        <f t="shared" si="30"/>
        <v>-245</v>
      </c>
      <c r="F92" s="4">
        <f>Geometry!$D$12*D92</f>
        <v>10.052538461538463</v>
      </c>
      <c r="G92" s="4">
        <f t="shared" si="31"/>
        <v>1.0257692307692308</v>
      </c>
      <c r="H92" s="4">
        <f>IF(ABS(E92*E92)&lt;=Geometry!$E$10,SQRT(Geometry!$E$10-E92*E92),0)</f>
        <v>87.034475927646056</v>
      </c>
      <c r="I92" s="4">
        <f t="shared" si="32"/>
        <v>1</v>
      </c>
      <c r="J92" s="5">
        <f t="shared" si="33"/>
        <v>23797.564350942685</v>
      </c>
      <c r="K92" s="15">
        <f>LOOKUP(H92,Geometry!$I$6:$J$14)</f>
        <v>7</v>
      </c>
      <c r="L92" s="15">
        <f>K92*Geometry!$J$2</f>
        <v>6224.3410833497064</v>
      </c>
      <c r="M92" s="54">
        <f t="shared" si="24"/>
        <v>0</v>
      </c>
      <c r="N92" s="54">
        <f t="shared" si="25"/>
        <v>0</v>
      </c>
      <c r="O92" s="54">
        <f t="shared" si="26"/>
        <v>0</v>
      </c>
      <c r="P92" s="54">
        <f t="shared" si="27"/>
        <v>0</v>
      </c>
      <c r="Q92" s="54">
        <f t="shared" si="28"/>
        <v>0</v>
      </c>
      <c r="R92" s="54">
        <f t="shared" si="29"/>
        <v>0</v>
      </c>
      <c r="S92" s="54">
        <f t="shared" si="20"/>
        <v>6224.3410833497064</v>
      </c>
    </row>
    <row r="93" spans="1:20">
      <c r="A93">
        <f t="shared" si="21"/>
        <v>86</v>
      </c>
      <c r="B93" s="54">
        <f t="shared" si="22"/>
        <v>10</v>
      </c>
      <c r="C93" s="7">
        <v>0</v>
      </c>
      <c r="D93" s="64">
        <f>D92+LOOKUP(C93,Geometry!$H$19:$I$25)</f>
        <v>640</v>
      </c>
      <c r="E93" s="54">
        <f t="shared" si="30"/>
        <v>-250</v>
      </c>
      <c r="F93" s="4">
        <f>Geometry!$D$12*D93</f>
        <v>10.131692307692308</v>
      </c>
      <c r="G93" s="4">
        <f t="shared" si="31"/>
        <v>1.0338461538461539</v>
      </c>
      <c r="H93" s="4">
        <f>IF(ABS(E93*E93)&lt;=Geometry!$E$10,SQRT(Geometry!$E$10-E93*E93),0)</f>
        <v>71.414284285428494</v>
      </c>
      <c r="I93" s="4">
        <f t="shared" si="32"/>
        <v>1</v>
      </c>
      <c r="J93" s="5">
        <f t="shared" si="33"/>
        <v>16022.122533307942</v>
      </c>
      <c r="K93" s="15">
        <f>LOOKUP(H93,Geometry!$I$6:$J$14)</f>
        <v>7</v>
      </c>
      <c r="L93" s="15">
        <f>K93*Geometry!$J$2</f>
        <v>6224.3410833497064</v>
      </c>
      <c r="M93" s="54">
        <f t="shared" si="24"/>
        <v>0</v>
      </c>
      <c r="N93" s="54">
        <f t="shared" ref="N93:N117" si="34">IF($C93=2,$L93-$S93,0)</f>
        <v>0</v>
      </c>
      <c r="O93" s="54">
        <f t="shared" si="26"/>
        <v>0</v>
      </c>
      <c r="P93" s="54">
        <f t="shared" si="27"/>
        <v>0</v>
      </c>
      <c r="Q93" s="54">
        <f t="shared" si="28"/>
        <v>0</v>
      </c>
      <c r="R93" s="54">
        <f t="shared" si="29"/>
        <v>0</v>
      </c>
      <c r="S93" s="54">
        <f t="shared" si="20"/>
        <v>6224.3410833497064</v>
      </c>
    </row>
    <row r="94" spans="1:20">
      <c r="A94">
        <f t="shared" si="21"/>
        <v>87</v>
      </c>
      <c r="B94" s="54">
        <f t="shared" si="22"/>
        <v>5</v>
      </c>
      <c r="C94" s="7">
        <v>0</v>
      </c>
      <c r="D94" s="64">
        <f>D93+LOOKUP(C94,Geometry!$H$19:$I$25)</f>
        <v>645</v>
      </c>
      <c r="E94" s="54">
        <f t="shared" si="30"/>
        <v>-255</v>
      </c>
      <c r="F94" s="4">
        <f>Geometry!$D$12*D94</f>
        <v>10.210846153846154</v>
      </c>
      <c r="G94" s="4">
        <f t="shared" si="31"/>
        <v>1.0419230769230767</v>
      </c>
      <c r="H94" s="4">
        <f>IF(ABS(E94*E94)&lt;=Geometry!$E$10,SQRT(Geometry!$E$10-E94*E94),0)</f>
        <v>50.744457825461097</v>
      </c>
      <c r="I94" s="4">
        <f t="shared" si="32"/>
        <v>1</v>
      </c>
      <c r="J94" s="5">
        <f t="shared" si="33"/>
        <v>8089.6010829937177</v>
      </c>
      <c r="K94" s="15">
        <f>LOOKUP(H94,Geometry!$I$6:$J$14)</f>
        <v>1</v>
      </c>
      <c r="L94" s="15">
        <f>K94*Geometry!$J$2</f>
        <v>889.19158333567236</v>
      </c>
      <c r="M94" s="54">
        <f t="shared" si="24"/>
        <v>0</v>
      </c>
      <c r="N94" s="54">
        <f t="shared" si="34"/>
        <v>0</v>
      </c>
      <c r="O94" s="54">
        <f t="shared" si="26"/>
        <v>0</v>
      </c>
      <c r="P94" s="54">
        <f t="shared" si="27"/>
        <v>0</v>
      </c>
      <c r="Q94" s="54">
        <f t="shared" si="28"/>
        <v>0</v>
      </c>
      <c r="R94" s="54">
        <f t="shared" si="29"/>
        <v>0</v>
      </c>
      <c r="S94" s="54">
        <f t="shared" si="20"/>
        <v>889.19158333567236</v>
      </c>
    </row>
    <row r="95" spans="1:20">
      <c r="A95">
        <f t="shared" si="21"/>
        <v>88</v>
      </c>
      <c r="B95" s="54">
        <f t="shared" si="22"/>
        <v>0</v>
      </c>
      <c r="C95" s="7">
        <v>0</v>
      </c>
      <c r="D95" s="64">
        <f>D94+LOOKUP(C95,Geometry!$H$19:$I$25)</f>
        <v>650</v>
      </c>
      <c r="E95" s="54">
        <f t="shared" si="30"/>
        <v>-260</v>
      </c>
      <c r="F95" s="4">
        <f>Geometry!$D$12*D95</f>
        <v>10.290000000000001</v>
      </c>
      <c r="G95" s="4">
        <f t="shared" si="31"/>
        <v>0</v>
      </c>
      <c r="H95" s="4">
        <f>IF(ABS(E95*E95)&lt;=Geometry!$E$10,SQRT(Geometry!$E$10-E95*E95),0)</f>
        <v>0</v>
      </c>
      <c r="I95" s="4">
        <f t="shared" si="32"/>
        <v>0</v>
      </c>
      <c r="J95" s="5">
        <f t="shared" si="33"/>
        <v>0</v>
      </c>
      <c r="K95" s="15">
        <f>LOOKUP(H95,Geometry!$I$6:$J$14)</f>
        <v>0</v>
      </c>
      <c r="L95" s="15">
        <f>K95*Geometry!$J$2</f>
        <v>0</v>
      </c>
      <c r="M95" s="54">
        <f t="shared" si="24"/>
        <v>0</v>
      </c>
      <c r="N95" s="54">
        <f t="shared" si="34"/>
        <v>0</v>
      </c>
      <c r="O95" s="54">
        <f t="shared" si="26"/>
        <v>0</v>
      </c>
      <c r="P95" s="54">
        <f t="shared" si="27"/>
        <v>0</v>
      </c>
      <c r="Q95" s="54">
        <f t="shared" si="28"/>
        <v>0</v>
      </c>
      <c r="R95" s="54">
        <f t="shared" si="29"/>
        <v>0</v>
      </c>
      <c r="S95" s="54">
        <f t="shared" si="20"/>
        <v>0</v>
      </c>
    </row>
    <row r="96" spans="1:20">
      <c r="A96">
        <f t="shared" si="21"/>
        <v>89</v>
      </c>
      <c r="B96" s="54">
        <f t="shared" si="22"/>
        <v>-5</v>
      </c>
      <c r="C96" s="7">
        <v>0</v>
      </c>
      <c r="D96" s="64">
        <f>D95+LOOKUP(C96,Geometry!$H$19:$I$25)</f>
        <v>655</v>
      </c>
      <c r="E96" s="54">
        <f t="shared" si="30"/>
        <v>-265</v>
      </c>
      <c r="F96" s="4">
        <f>Geometry!$D$12*D96</f>
        <v>10.369153846153846</v>
      </c>
      <c r="G96" s="4">
        <f t="shared" si="31"/>
        <v>0</v>
      </c>
      <c r="H96" s="4">
        <f>IF(ABS(E96*E96)&lt;=Geometry!$E$10,SQRT(Geometry!$E$10-E96*E96),0)</f>
        <v>0</v>
      </c>
      <c r="I96" s="4">
        <f t="shared" si="32"/>
        <v>0</v>
      </c>
      <c r="J96" s="5">
        <f t="shared" si="33"/>
        <v>0</v>
      </c>
      <c r="K96" s="15">
        <f>LOOKUP(H96,Geometry!$I$6:$J$14)</f>
        <v>0</v>
      </c>
      <c r="L96" s="15">
        <f>K96*Geometry!$J$2</f>
        <v>0</v>
      </c>
      <c r="M96" s="54">
        <f t="shared" si="24"/>
        <v>0</v>
      </c>
      <c r="N96" s="54">
        <f t="shared" si="34"/>
        <v>0</v>
      </c>
      <c r="O96" s="54">
        <f t="shared" si="26"/>
        <v>0</v>
      </c>
      <c r="P96" s="54">
        <f t="shared" si="27"/>
        <v>0</v>
      </c>
      <c r="Q96" s="54">
        <f t="shared" si="28"/>
        <v>0</v>
      </c>
      <c r="R96" s="54">
        <f t="shared" si="29"/>
        <v>0</v>
      </c>
      <c r="S96" s="54">
        <f t="shared" si="20"/>
        <v>0</v>
      </c>
    </row>
    <row r="97" spans="1:19">
      <c r="A97">
        <f t="shared" ref="A97:A111" si="35">A96+1</f>
        <v>90</v>
      </c>
      <c r="B97" s="54">
        <f t="shared" si="22"/>
        <v>-10</v>
      </c>
      <c r="C97" s="7">
        <v>0</v>
      </c>
      <c r="D97" s="64">
        <f>D96+LOOKUP(C97,Geometry!$H$19:$I$25)</f>
        <v>660</v>
      </c>
      <c r="E97" s="54">
        <f t="shared" si="30"/>
        <v>-270</v>
      </c>
      <c r="F97" s="4">
        <f>Geometry!$D$12*D97</f>
        <v>10.448307692307694</v>
      </c>
      <c r="G97" s="4">
        <f t="shared" si="31"/>
        <v>0</v>
      </c>
      <c r="H97" s="4">
        <f>IF(ABS(E97*E97)&lt;=Geometry!$E$10,SQRT(Geometry!$E$10-E97*E97),0)</f>
        <v>0</v>
      </c>
      <c r="I97" s="4">
        <f t="shared" si="32"/>
        <v>0</v>
      </c>
      <c r="J97" s="5">
        <f t="shared" si="33"/>
        <v>0</v>
      </c>
      <c r="K97" s="15">
        <f>LOOKUP(H97,Geometry!$I$6:$J$14)</f>
        <v>0</v>
      </c>
      <c r="L97" s="15">
        <f>K97*Geometry!$J$2</f>
        <v>0</v>
      </c>
      <c r="M97" s="54">
        <f t="shared" si="24"/>
        <v>0</v>
      </c>
      <c r="N97" s="54">
        <f t="shared" si="34"/>
        <v>0</v>
      </c>
      <c r="O97" s="54">
        <f t="shared" si="26"/>
        <v>0</v>
      </c>
      <c r="P97" s="54">
        <f t="shared" si="27"/>
        <v>0</v>
      </c>
      <c r="Q97" s="54">
        <f t="shared" si="28"/>
        <v>0</v>
      </c>
      <c r="R97" s="54">
        <f t="shared" si="29"/>
        <v>0</v>
      </c>
      <c r="S97" s="54">
        <f t="shared" si="20"/>
        <v>0</v>
      </c>
    </row>
    <row r="98" spans="1:19">
      <c r="A98">
        <f t="shared" si="35"/>
        <v>91</v>
      </c>
      <c r="B98" s="54">
        <f t="shared" si="22"/>
        <v>-15</v>
      </c>
      <c r="C98" s="7">
        <v>0</v>
      </c>
      <c r="D98" s="64">
        <f>D97+LOOKUP(C98,Geometry!$H$19:$I$25)</f>
        <v>665</v>
      </c>
      <c r="E98" s="54">
        <f t="shared" si="30"/>
        <v>-275</v>
      </c>
      <c r="F98" s="4">
        <f>Geometry!$D$12*D98</f>
        <v>10.527461538461539</v>
      </c>
      <c r="G98" s="4">
        <f t="shared" si="31"/>
        <v>0</v>
      </c>
      <c r="H98" s="4">
        <f>IF(ABS(E98*E98)&lt;=Geometry!$E$10,SQRT(Geometry!$E$10-E98*E98),0)</f>
        <v>0</v>
      </c>
      <c r="I98" s="4">
        <f t="shared" si="32"/>
        <v>0</v>
      </c>
      <c r="J98" s="5">
        <f t="shared" si="33"/>
        <v>0</v>
      </c>
      <c r="K98" s="15">
        <f>LOOKUP(H98,Geometry!$I$6:$J$14)</f>
        <v>0</v>
      </c>
      <c r="L98" s="15">
        <f>K98*Geometry!$J$2</f>
        <v>0</v>
      </c>
      <c r="M98" s="54">
        <f t="shared" si="24"/>
        <v>0</v>
      </c>
      <c r="N98" s="54">
        <f t="shared" si="34"/>
        <v>0</v>
      </c>
      <c r="O98" s="54">
        <f t="shared" si="26"/>
        <v>0</v>
      </c>
      <c r="P98" s="54">
        <f t="shared" si="27"/>
        <v>0</v>
      </c>
      <c r="Q98" s="54">
        <f t="shared" si="28"/>
        <v>0</v>
      </c>
      <c r="R98" s="54">
        <f t="shared" si="29"/>
        <v>0</v>
      </c>
      <c r="S98" s="54">
        <f t="shared" si="20"/>
        <v>0</v>
      </c>
    </row>
    <row r="99" spans="1:19">
      <c r="A99">
        <f t="shared" si="35"/>
        <v>92</v>
      </c>
      <c r="B99" s="54">
        <f t="shared" si="22"/>
        <v>-20</v>
      </c>
      <c r="C99" s="7">
        <v>0</v>
      </c>
      <c r="D99" s="64">
        <f>D98+LOOKUP(C99,Geometry!$H$19:$I$25)</f>
        <v>670</v>
      </c>
      <c r="E99" s="54">
        <f t="shared" si="30"/>
        <v>-280</v>
      </c>
      <c r="F99" s="4">
        <f>Geometry!$D$12*D99</f>
        <v>10.606615384615385</v>
      </c>
      <c r="G99" s="4">
        <f t="shared" si="31"/>
        <v>0</v>
      </c>
      <c r="H99" s="4">
        <f>IF(ABS(E99*E99)&lt;=Geometry!$E$10,SQRT(Geometry!$E$10-E99*E99),0)</f>
        <v>0</v>
      </c>
      <c r="I99" s="4">
        <f t="shared" si="32"/>
        <v>0</v>
      </c>
      <c r="J99" s="5">
        <f t="shared" si="33"/>
        <v>0</v>
      </c>
      <c r="K99" s="15">
        <f>LOOKUP(H99,Geometry!$I$6:$J$14)</f>
        <v>0</v>
      </c>
      <c r="L99" s="15">
        <f>K99*Geometry!$J$2</f>
        <v>0</v>
      </c>
      <c r="M99" s="54">
        <f t="shared" si="24"/>
        <v>0</v>
      </c>
      <c r="N99" s="54">
        <f t="shared" si="34"/>
        <v>0</v>
      </c>
      <c r="O99" s="54">
        <f t="shared" si="26"/>
        <v>0</v>
      </c>
      <c r="P99" s="54">
        <f t="shared" si="27"/>
        <v>0</v>
      </c>
      <c r="Q99" s="54">
        <f t="shared" si="28"/>
        <v>0</v>
      </c>
      <c r="R99" s="54">
        <f t="shared" si="29"/>
        <v>0</v>
      </c>
      <c r="S99" s="54">
        <f t="shared" si="20"/>
        <v>0</v>
      </c>
    </row>
    <row r="100" spans="1:19">
      <c r="A100">
        <f t="shared" si="35"/>
        <v>93</v>
      </c>
      <c r="B100" s="54">
        <f t="shared" si="22"/>
        <v>-25</v>
      </c>
      <c r="C100" s="7">
        <v>0</v>
      </c>
      <c r="D100" s="64">
        <f>D99+LOOKUP(C100,Geometry!$H$19:$I$25)</f>
        <v>675</v>
      </c>
      <c r="E100" s="54">
        <f t="shared" si="30"/>
        <v>-285</v>
      </c>
      <c r="F100" s="4">
        <f>Geometry!$D$12*D100</f>
        <v>10.685769230769232</v>
      </c>
      <c r="G100" s="4">
        <f t="shared" si="31"/>
        <v>0</v>
      </c>
      <c r="H100" s="4">
        <f>IF(ABS(E100*E100)&lt;=Geometry!$E$10,SQRT(Geometry!$E$10-E100*E100),0)</f>
        <v>0</v>
      </c>
      <c r="I100" s="4">
        <f t="shared" si="32"/>
        <v>0</v>
      </c>
      <c r="J100" s="5">
        <f t="shared" si="33"/>
        <v>0</v>
      </c>
      <c r="K100" s="15">
        <f>LOOKUP(H100,Geometry!$I$6:$J$14)</f>
        <v>0</v>
      </c>
      <c r="L100" s="15">
        <f>K100*Geometry!$J$2</f>
        <v>0</v>
      </c>
      <c r="M100" s="54">
        <f t="shared" si="24"/>
        <v>0</v>
      </c>
      <c r="N100" s="54">
        <f t="shared" si="34"/>
        <v>0</v>
      </c>
      <c r="O100" s="54">
        <f t="shared" si="26"/>
        <v>0</v>
      </c>
      <c r="P100" s="54">
        <f t="shared" si="27"/>
        <v>0</v>
      </c>
      <c r="Q100" s="54">
        <f t="shared" si="28"/>
        <v>0</v>
      </c>
      <c r="R100" s="54">
        <f t="shared" si="29"/>
        <v>0</v>
      </c>
      <c r="S100" s="54">
        <f t="shared" si="20"/>
        <v>0</v>
      </c>
    </row>
    <row r="101" spans="1:19">
      <c r="A101">
        <f t="shared" si="35"/>
        <v>94</v>
      </c>
      <c r="B101" s="54">
        <f t="shared" si="22"/>
        <v>-30</v>
      </c>
      <c r="C101" s="7">
        <v>0</v>
      </c>
      <c r="D101" s="64">
        <f>D100+LOOKUP(C101,Geometry!$H$19:$I$25)</f>
        <v>680</v>
      </c>
      <c r="E101" s="54">
        <f t="shared" si="30"/>
        <v>-290</v>
      </c>
      <c r="F101" s="4">
        <f>Geometry!$D$12*D101</f>
        <v>10.764923076923077</v>
      </c>
      <c r="G101" s="4">
        <f t="shared" si="31"/>
        <v>0</v>
      </c>
      <c r="H101" s="4">
        <f>IF(ABS(E101*E101)&lt;=Geometry!$E$10,SQRT(Geometry!$E$10-E101*E101),0)</f>
        <v>0</v>
      </c>
      <c r="I101" s="4">
        <f t="shared" si="32"/>
        <v>0</v>
      </c>
      <c r="J101" s="5">
        <f t="shared" si="33"/>
        <v>0</v>
      </c>
      <c r="K101" s="15">
        <f>LOOKUP(H101,Geometry!$I$6:$J$14)</f>
        <v>0</v>
      </c>
      <c r="L101" s="15">
        <f>K101*Geometry!$J$2</f>
        <v>0</v>
      </c>
      <c r="M101" s="54">
        <f t="shared" si="24"/>
        <v>0</v>
      </c>
      <c r="N101" s="54">
        <f t="shared" si="34"/>
        <v>0</v>
      </c>
      <c r="O101" s="54">
        <f t="shared" si="26"/>
        <v>0</v>
      </c>
      <c r="P101" s="54">
        <f t="shared" si="27"/>
        <v>0</v>
      </c>
      <c r="Q101" s="54">
        <f t="shared" si="28"/>
        <v>0</v>
      </c>
      <c r="R101" s="54">
        <f t="shared" si="29"/>
        <v>0</v>
      </c>
      <c r="S101" s="54">
        <f t="shared" si="20"/>
        <v>0</v>
      </c>
    </row>
    <row r="102" spans="1:19">
      <c r="A102">
        <f t="shared" si="35"/>
        <v>95</v>
      </c>
      <c r="B102" s="54">
        <f t="shared" si="22"/>
        <v>-35</v>
      </c>
      <c r="C102" s="7">
        <v>0</v>
      </c>
      <c r="D102" s="64">
        <f>D101+LOOKUP(C102,Geometry!$H$19:$I$25)</f>
        <v>685</v>
      </c>
      <c r="E102" s="54">
        <f t="shared" si="30"/>
        <v>-295</v>
      </c>
      <c r="F102" s="4">
        <f>Geometry!$D$12*D102</f>
        <v>10.844076923076925</v>
      </c>
      <c r="G102" s="4">
        <f t="shared" si="31"/>
        <v>0</v>
      </c>
      <c r="H102" s="4">
        <f>IF(ABS(E102*E102)&lt;=Geometry!$E$10,SQRT(Geometry!$E$10-E102*E102),0)</f>
        <v>0</v>
      </c>
      <c r="I102" s="4">
        <f t="shared" si="32"/>
        <v>0</v>
      </c>
      <c r="J102" s="5">
        <f t="shared" si="33"/>
        <v>0</v>
      </c>
      <c r="K102" s="15">
        <f>LOOKUP(H102,Geometry!$I$6:$J$14)</f>
        <v>0</v>
      </c>
      <c r="L102" s="15">
        <f>K102*Geometry!$J$2</f>
        <v>0</v>
      </c>
      <c r="M102" s="54">
        <f t="shared" si="24"/>
        <v>0</v>
      </c>
      <c r="N102" s="54">
        <f t="shared" si="34"/>
        <v>0</v>
      </c>
      <c r="O102" s="54">
        <f t="shared" si="26"/>
        <v>0</v>
      </c>
      <c r="P102" s="54">
        <f t="shared" si="27"/>
        <v>0</v>
      </c>
      <c r="Q102" s="54">
        <f t="shared" si="28"/>
        <v>0</v>
      </c>
      <c r="R102" s="54">
        <f t="shared" si="29"/>
        <v>0</v>
      </c>
      <c r="S102" s="54">
        <f t="shared" si="20"/>
        <v>0</v>
      </c>
    </row>
    <row r="103" spans="1:19">
      <c r="A103">
        <f t="shared" si="35"/>
        <v>96</v>
      </c>
      <c r="B103" s="54">
        <f t="shared" si="22"/>
        <v>-40</v>
      </c>
      <c r="C103" s="7">
        <v>0</v>
      </c>
      <c r="D103" s="64">
        <f>D102+LOOKUP(C103,Geometry!$H$19:$I$25)</f>
        <v>690</v>
      </c>
      <c r="E103" s="54">
        <f t="shared" si="30"/>
        <v>-300</v>
      </c>
      <c r="F103" s="4">
        <f>Geometry!$D$12*D103</f>
        <v>10.92323076923077</v>
      </c>
      <c r="G103" s="4">
        <f t="shared" si="31"/>
        <v>0</v>
      </c>
      <c r="H103" s="4">
        <f>IF(ABS(E103*E103)&lt;=Geometry!$E$10,SQRT(Geometry!$E$10-E103*E103),0)</f>
        <v>0</v>
      </c>
      <c r="I103" s="4">
        <f t="shared" si="32"/>
        <v>0</v>
      </c>
      <c r="J103" s="5">
        <f t="shared" si="33"/>
        <v>0</v>
      </c>
      <c r="K103" s="15">
        <f>LOOKUP(H103,Geometry!$I$6:$J$14)</f>
        <v>0</v>
      </c>
      <c r="L103" s="15">
        <f>K103*Geometry!$J$2</f>
        <v>0</v>
      </c>
      <c r="M103" s="54">
        <f t="shared" si="24"/>
        <v>0</v>
      </c>
      <c r="N103" s="54">
        <f t="shared" si="34"/>
        <v>0</v>
      </c>
      <c r="O103" s="54">
        <f t="shared" si="26"/>
        <v>0</v>
      </c>
      <c r="P103" s="54">
        <f t="shared" si="27"/>
        <v>0</v>
      </c>
      <c r="Q103" s="54">
        <f t="shared" si="28"/>
        <v>0</v>
      </c>
      <c r="R103" s="54">
        <f t="shared" si="29"/>
        <v>0</v>
      </c>
      <c r="S103" s="54">
        <f t="shared" si="20"/>
        <v>0</v>
      </c>
    </row>
    <row r="104" spans="1:19">
      <c r="A104">
        <f t="shared" si="35"/>
        <v>97</v>
      </c>
      <c r="B104" s="54">
        <f t="shared" si="22"/>
        <v>-45</v>
      </c>
      <c r="C104" s="7">
        <v>0</v>
      </c>
      <c r="D104" s="64">
        <f>D103+LOOKUP(C104,Geometry!$H$19:$I$25)</f>
        <v>695</v>
      </c>
      <c r="E104" s="54">
        <f t="shared" si="30"/>
        <v>-305</v>
      </c>
      <c r="F104" s="4">
        <f>Geometry!$D$12*D104</f>
        <v>11.002384615384615</v>
      </c>
      <c r="G104" s="4">
        <f t="shared" si="31"/>
        <v>0</v>
      </c>
      <c r="H104" s="4">
        <f>IF(ABS(E104*E104)&lt;=Geometry!$E$10,SQRT(Geometry!$E$10-E104*E104),0)</f>
        <v>0</v>
      </c>
      <c r="I104" s="4">
        <f t="shared" si="32"/>
        <v>0</v>
      </c>
      <c r="J104" s="5">
        <f t="shared" si="33"/>
        <v>0</v>
      </c>
      <c r="K104" s="15">
        <f>LOOKUP(H104,Geometry!$I$6:$J$14)</f>
        <v>0</v>
      </c>
      <c r="L104" s="15">
        <f>K104*Geometry!$J$2</f>
        <v>0</v>
      </c>
      <c r="M104" s="54">
        <f t="shared" si="24"/>
        <v>0</v>
      </c>
      <c r="N104" s="54">
        <f t="shared" si="34"/>
        <v>0</v>
      </c>
      <c r="O104" s="54">
        <f t="shared" si="26"/>
        <v>0</v>
      </c>
      <c r="P104" s="54">
        <f t="shared" si="27"/>
        <v>0</v>
      </c>
      <c r="Q104" s="54">
        <f t="shared" si="28"/>
        <v>0</v>
      </c>
      <c r="R104" s="54">
        <f t="shared" si="29"/>
        <v>0</v>
      </c>
      <c r="S104" s="54">
        <f t="shared" ref="S104:S117" si="36">IF($C104=0,$L104,$H$1)</f>
        <v>0</v>
      </c>
    </row>
    <row r="105" spans="1:19">
      <c r="A105">
        <f t="shared" si="35"/>
        <v>98</v>
      </c>
      <c r="B105" s="54">
        <f t="shared" si="22"/>
        <v>-50</v>
      </c>
      <c r="C105" s="7">
        <v>0</v>
      </c>
      <c r="D105" s="64">
        <f>D104+LOOKUP(C105,Geometry!$H$19:$I$25)</f>
        <v>700</v>
      </c>
      <c r="E105" s="54">
        <f t="shared" si="30"/>
        <v>-310</v>
      </c>
      <c r="F105" s="4">
        <f>Geometry!$D$12*D105</f>
        <v>11.081538461538463</v>
      </c>
      <c r="G105" s="4">
        <f t="shared" si="31"/>
        <v>0</v>
      </c>
      <c r="H105" s="4">
        <f>IF(ABS(E105*E105)&lt;=Geometry!$E$10,SQRT(Geometry!$E$10-E105*E105),0)</f>
        <v>0</v>
      </c>
      <c r="I105" s="4">
        <f t="shared" si="32"/>
        <v>0</v>
      </c>
      <c r="J105" s="5">
        <f t="shared" si="33"/>
        <v>0</v>
      </c>
      <c r="K105" s="15">
        <f>LOOKUP(H105,Geometry!$I$6:$J$14)</f>
        <v>0</v>
      </c>
      <c r="L105" s="15">
        <f>K105*Geometry!$J$2</f>
        <v>0</v>
      </c>
      <c r="M105" s="54">
        <f t="shared" si="24"/>
        <v>0</v>
      </c>
      <c r="N105" s="54">
        <f t="shared" si="34"/>
        <v>0</v>
      </c>
      <c r="O105" s="54">
        <f t="shared" si="26"/>
        <v>0</v>
      </c>
      <c r="P105" s="54">
        <f t="shared" si="27"/>
        <v>0</v>
      </c>
      <c r="Q105" s="54">
        <f t="shared" si="28"/>
        <v>0</v>
      </c>
      <c r="R105" s="54">
        <f t="shared" si="29"/>
        <v>0</v>
      </c>
      <c r="S105" s="54">
        <f t="shared" si="36"/>
        <v>0</v>
      </c>
    </row>
    <row r="106" spans="1:19">
      <c r="A106">
        <f t="shared" si="35"/>
        <v>99</v>
      </c>
      <c r="B106" s="54">
        <f t="shared" si="22"/>
        <v>-55</v>
      </c>
      <c r="C106" s="7">
        <v>0</v>
      </c>
      <c r="D106" s="64">
        <f>D105+LOOKUP(C106,Geometry!$H$19:$I$25)</f>
        <v>705</v>
      </c>
      <c r="E106" s="54">
        <f t="shared" si="30"/>
        <v>-315</v>
      </c>
      <c r="F106" s="4">
        <f>Geometry!$D$12*D106</f>
        <v>11.160692307692308</v>
      </c>
      <c r="G106" s="4">
        <f t="shared" si="31"/>
        <v>0</v>
      </c>
      <c r="H106" s="4">
        <f>IF(ABS(E106*E106)&lt;=Geometry!$E$10,SQRT(Geometry!$E$10-E106*E106),0)</f>
        <v>0</v>
      </c>
      <c r="I106" s="4">
        <f t="shared" si="32"/>
        <v>0</v>
      </c>
      <c r="J106" s="5">
        <f t="shared" si="33"/>
        <v>0</v>
      </c>
      <c r="K106" s="15">
        <f>LOOKUP(H106,Geometry!$I$6:$J$14)</f>
        <v>0</v>
      </c>
      <c r="L106" s="15">
        <f>K106*Geometry!$J$2</f>
        <v>0</v>
      </c>
      <c r="M106" s="54">
        <f t="shared" si="24"/>
        <v>0</v>
      </c>
      <c r="N106" s="54">
        <f t="shared" si="34"/>
        <v>0</v>
      </c>
      <c r="O106" s="54">
        <f t="shared" si="26"/>
        <v>0</v>
      </c>
      <c r="P106" s="54">
        <f t="shared" si="27"/>
        <v>0</v>
      </c>
      <c r="Q106" s="54">
        <f t="shared" si="28"/>
        <v>0</v>
      </c>
      <c r="R106" s="54">
        <f t="shared" si="29"/>
        <v>0</v>
      </c>
      <c r="S106" s="54">
        <f t="shared" si="36"/>
        <v>0</v>
      </c>
    </row>
    <row r="107" spans="1:19">
      <c r="A107">
        <f t="shared" si="35"/>
        <v>100</v>
      </c>
      <c r="B107" s="54">
        <f t="shared" si="22"/>
        <v>-60</v>
      </c>
      <c r="C107" s="7">
        <v>0</v>
      </c>
      <c r="D107" s="64">
        <f>D106+LOOKUP(C107,Geometry!$H$19:$I$25)</f>
        <v>710</v>
      </c>
      <c r="E107" s="54">
        <f t="shared" si="30"/>
        <v>-320</v>
      </c>
      <c r="F107" s="4">
        <f>Geometry!$D$12*D107</f>
        <v>11.239846153846154</v>
      </c>
      <c r="G107" s="4">
        <f t="shared" si="31"/>
        <v>0</v>
      </c>
      <c r="H107" s="4">
        <f>IF(ABS(E107*E107)&lt;=Geometry!$E$10,SQRT(Geometry!$E$10-E107*E107),0)</f>
        <v>0</v>
      </c>
      <c r="I107" s="4">
        <f t="shared" si="32"/>
        <v>0</v>
      </c>
      <c r="J107" s="5">
        <f t="shared" si="33"/>
        <v>0</v>
      </c>
      <c r="K107" s="15">
        <f>LOOKUP(H107,Geometry!$I$6:$J$14)</f>
        <v>0</v>
      </c>
      <c r="L107" s="15">
        <f>K107*Geometry!$J$2</f>
        <v>0</v>
      </c>
      <c r="M107" s="54">
        <f t="shared" si="24"/>
        <v>0</v>
      </c>
      <c r="N107" s="54">
        <f t="shared" si="34"/>
        <v>0</v>
      </c>
      <c r="O107" s="54">
        <f t="shared" si="26"/>
        <v>0</v>
      </c>
      <c r="P107" s="54">
        <f t="shared" si="27"/>
        <v>0</v>
      </c>
      <c r="Q107" s="54">
        <f t="shared" si="28"/>
        <v>0</v>
      </c>
      <c r="R107" s="54">
        <f t="shared" si="29"/>
        <v>0</v>
      </c>
      <c r="S107" s="54">
        <f t="shared" si="36"/>
        <v>0</v>
      </c>
    </row>
    <row r="108" spans="1:19">
      <c r="A108">
        <f t="shared" si="35"/>
        <v>101</v>
      </c>
      <c r="B108" s="54">
        <f t="shared" si="22"/>
        <v>-65</v>
      </c>
      <c r="C108" s="7">
        <v>0</v>
      </c>
      <c r="D108" s="64">
        <f>D107+LOOKUP(C108,Geometry!$H$19:$I$25)</f>
        <v>715</v>
      </c>
      <c r="E108" s="54">
        <f t="shared" si="30"/>
        <v>-325</v>
      </c>
      <c r="F108" s="4">
        <f>Geometry!$D$12*D108</f>
        <v>11.319000000000001</v>
      </c>
      <c r="G108" s="4">
        <f t="shared" si="31"/>
        <v>0</v>
      </c>
      <c r="H108" s="4">
        <f>IF(ABS(E108*E108)&lt;=Geometry!$E$10,SQRT(Geometry!$E$10-E108*E108),0)</f>
        <v>0</v>
      </c>
      <c r="I108" s="4">
        <f t="shared" si="32"/>
        <v>0</v>
      </c>
      <c r="J108" s="5">
        <f t="shared" si="33"/>
        <v>0</v>
      </c>
      <c r="K108" s="15">
        <f>LOOKUP(H108,Geometry!$I$6:$J$14)</f>
        <v>0</v>
      </c>
      <c r="L108" s="15">
        <f>K108*Geometry!$J$2</f>
        <v>0</v>
      </c>
      <c r="M108" s="54">
        <f t="shared" si="24"/>
        <v>0</v>
      </c>
      <c r="N108" s="54">
        <f t="shared" si="34"/>
        <v>0</v>
      </c>
      <c r="O108" s="54">
        <f t="shared" si="26"/>
        <v>0</v>
      </c>
      <c r="P108" s="54">
        <f t="shared" si="27"/>
        <v>0</v>
      </c>
      <c r="Q108" s="54">
        <f t="shared" si="28"/>
        <v>0</v>
      </c>
      <c r="R108" s="54">
        <f t="shared" si="29"/>
        <v>0</v>
      </c>
      <c r="S108" s="54">
        <f t="shared" si="36"/>
        <v>0</v>
      </c>
    </row>
    <row r="109" spans="1:19">
      <c r="A109">
        <f t="shared" si="35"/>
        <v>102</v>
      </c>
      <c r="B109" s="54">
        <f t="shared" si="22"/>
        <v>-70</v>
      </c>
      <c r="C109" s="7">
        <v>0</v>
      </c>
      <c r="D109" s="64">
        <f>D108+LOOKUP(C109,Geometry!$H$19:$I$25)</f>
        <v>720</v>
      </c>
      <c r="E109" s="54">
        <f t="shared" si="30"/>
        <v>-330</v>
      </c>
      <c r="F109" s="4">
        <f>Geometry!$D$12*D109</f>
        <v>11.398153846153846</v>
      </c>
      <c r="G109" s="4">
        <f t="shared" si="31"/>
        <v>0</v>
      </c>
      <c r="H109" s="4">
        <f>IF(ABS(E109*E109)&lt;=Geometry!$E$10,SQRT(Geometry!$E$10-E109*E109),0)</f>
        <v>0</v>
      </c>
      <c r="I109" s="4">
        <f t="shared" si="32"/>
        <v>0</v>
      </c>
      <c r="J109" s="5">
        <f t="shared" si="33"/>
        <v>0</v>
      </c>
      <c r="K109" s="15">
        <f>LOOKUP(H109,Geometry!$I$6:$J$14)</f>
        <v>0</v>
      </c>
      <c r="L109" s="15">
        <f>K109*Geometry!$J$2</f>
        <v>0</v>
      </c>
      <c r="M109" s="54">
        <f t="shared" si="24"/>
        <v>0</v>
      </c>
      <c r="N109" s="54">
        <f t="shared" si="34"/>
        <v>0</v>
      </c>
      <c r="O109" s="54">
        <f t="shared" si="26"/>
        <v>0</v>
      </c>
      <c r="P109" s="54">
        <f t="shared" si="27"/>
        <v>0</v>
      </c>
      <c r="Q109" s="54">
        <f t="shared" si="28"/>
        <v>0</v>
      </c>
      <c r="R109" s="54">
        <f t="shared" si="29"/>
        <v>0</v>
      </c>
      <c r="S109" s="54">
        <f t="shared" si="36"/>
        <v>0</v>
      </c>
    </row>
    <row r="110" spans="1:19">
      <c r="A110">
        <f t="shared" si="35"/>
        <v>103</v>
      </c>
      <c r="B110" s="54">
        <f t="shared" si="22"/>
        <v>-75</v>
      </c>
      <c r="C110" s="7">
        <v>0</v>
      </c>
      <c r="D110" s="64">
        <f>D109+LOOKUP(C110,Geometry!$H$19:$I$25)</f>
        <v>725</v>
      </c>
      <c r="E110" s="54">
        <f t="shared" si="30"/>
        <v>-335</v>
      </c>
      <c r="F110" s="4">
        <f>Geometry!$D$12*D110</f>
        <v>11.477307692307694</v>
      </c>
      <c r="G110" s="4">
        <f t="shared" si="31"/>
        <v>0</v>
      </c>
      <c r="H110" s="4">
        <f>IF(ABS(E110*E110)&lt;=Geometry!$E$10,SQRT(Geometry!$E$10-E110*E110),0)</f>
        <v>0</v>
      </c>
      <c r="I110" s="4">
        <f t="shared" si="32"/>
        <v>0</v>
      </c>
      <c r="J110" s="5">
        <f t="shared" si="33"/>
        <v>0</v>
      </c>
      <c r="K110" s="15">
        <f>LOOKUP(H110,Geometry!$I$6:$J$14)</f>
        <v>0</v>
      </c>
      <c r="L110" s="15">
        <f>K110*Geometry!$J$2</f>
        <v>0</v>
      </c>
      <c r="M110" s="54">
        <f t="shared" si="24"/>
        <v>0</v>
      </c>
      <c r="N110" s="54">
        <f t="shared" si="34"/>
        <v>0</v>
      </c>
      <c r="O110" s="54">
        <f t="shared" si="26"/>
        <v>0</v>
      </c>
      <c r="P110" s="54">
        <f t="shared" si="27"/>
        <v>0</v>
      </c>
      <c r="Q110" s="54">
        <f t="shared" si="28"/>
        <v>0</v>
      </c>
      <c r="R110" s="54">
        <f t="shared" si="29"/>
        <v>0</v>
      </c>
      <c r="S110" s="54">
        <f t="shared" si="36"/>
        <v>0</v>
      </c>
    </row>
    <row r="111" spans="1:19">
      <c r="A111">
        <f t="shared" si="35"/>
        <v>104</v>
      </c>
      <c r="B111" s="54">
        <f t="shared" si="22"/>
        <v>-80</v>
      </c>
      <c r="C111" s="7">
        <v>0</v>
      </c>
      <c r="D111" s="64">
        <f>D110+LOOKUP(C111,Geometry!$H$19:$I$25)</f>
        <v>730</v>
      </c>
      <c r="E111" s="54">
        <f t="shared" si="30"/>
        <v>-340</v>
      </c>
      <c r="F111" s="4">
        <f>Geometry!$D$12*D111</f>
        <v>11.556461538461539</v>
      </c>
      <c r="G111" s="4">
        <f t="shared" si="31"/>
        <v>0</v>
      </c>
      <c r="H111" s="4">
        <f>IF(ABS(E111*E111)&lt;=Geometry!$E$10,SQRT(Geometry!$E$10-E111*E111),0)</f>
        <v>0</v>
      </c>
      <c r="I111" s="4">
        <f t="shared" si="32"/>
        <v>0</v>
      </c>
      <c r="J111" s="5">
        <f t="shared" si="33"/>
        <v>0</v>
      </c>
      <c r="K111" s="15">
        <f>LOOKUP(H111,Geometry!$I$6:$J$14)</f>
        <v>0</v>
      </c>
      <c r="L111" s="15">
        <f>K111*Geometry!$J$2</f>
        <v>0</v>
      </c>
      <c r="M111" s="54">
        <f t="shared" si="24"/>
        <v>0</v>
      </c>
      <c r="N111" s="54">
        <f t="shared" si="34"/>
        <v>0</v>
      </c>
      <c r="O111" s="54">
        <f t="shared" si="26"/>
        <v>0</v>
      </c>
      <c r="P111" s="54">
        <f t="shared" si="27"/>
        <v>0</v>
      </c>
      <c r="Q111" s="54">
        <f t="shared" si="28"/>
        <v>0</v>
      </c>
      <c r="R111" s="54">
        <f t="shared" si="29"/>
        <v>0</v>
      </c>
      <c r="S111" s="54">
        <f t="shared" si="36"/>
        <v>0</v>
      </c>
    </row>
    <row r="112" spans="1:19">
      <c r="A112">
        <f t="shared" ref="A112:A117" si="37">A111+1</f>
        <v>105</v>
      </c>
      <c r="C112" s="7">
        <v>0</v>
      </c>
      <c r="D112" s="64">
        <f>D111+LOOKUP(C112,Geometry!$H$19:$I$25)</f>
        <v>735</v>
      </c>
      <c r="E112" s="54">
        <f t="shared" si="30"/>
        <v>-345</v>
      </c>
      <c r="F112" s="4">
        <f>Geometry!$D$12*D112</f>
        <v>11.635615384615384</v>
      </c>
      <c r="G112" s="4">
        <f t="shared" si="31"/>
        <v>0</v>
      </c>
      <c r="H112" s="4">
        <f>IF(ABS(E112*E112)&lt;=Geometry!$E$10,SQRT(Geometry!$E$10-E112*E112),0)</f>
        <v>0</v>
      </c>
      <c r="I112" s="4">
        <f t="shared" si="32"/>
        <v>0</v>
      </c>
      <c r="J112" s="5">
        <f t="shared" si="33"/>
        <v>0</v>
      </c>
      <c r="K112" s="15">
        <f>LOOKUP(H112,Geometry!$I$6:$J$14)</f>
        <v>0</v>
      </c>
      <c r="L112" s="15">
        <f>K112*Geometry!$J$2</f>
        <v>0</v>
      </c>
      <c r="M112" s="54">
        <f t="shared" si="24"/>
        <v>0</v>
      </c>
      <c r="N112" s="54">
        <f t="shared" si="34"/>
        <v>0</v>
      </c>
      <c r="O112" s="54">
        <f t="shared" si="26"/>
        <v>0</v>
      </c>
      <c r="P112" s="54">
        <f t="shared" si="27"/>
        <v>0</v>
      </c>
      <c r="Q112" s="54">
        <f t="shared" si="28"/>
        <v>0</v>
      </c>
      <c r="R112" s="54">
        <f t="shared" si="29"/>
        <v>0</v>
      </c>
      <c r="S112" s="54">
        <f t="shared" si="36"/>
        <v>0</v>
      </c>
    </row>
    <row r="113" spans="1:19">
      <c r="A113">
        <f t="shared" si="37"/>
        <v>106</v>
      </c>
      <c r="C113" s="7">
        <v>0</v>
      </c>
      <c r="D113" s="64">
        <f>D112+LOOKUP(C113,Geometry!$H$19:$I$25)</f>
        <v>740</v>
      </c>
      <c r="E113" s="54">
        <f t="shared" si="30"/>
        <v>-350</v>
      </c>
      <c r="F113" s="4">
        <f>Geometry!$D$12*D113</f>
        <v>11.714769230769232</v>
      </c>
      <c r="G113" s="4">
        <f t="shared" si="31"/>
        <v>0</v>
      </c>
      <c r="H113" s="4">
        <f>IF(ABS(E113*E113)&lt;=Geometry!$E$10,SQRT(Geometry!$E$10-E113*E113),0)</f>
        <v>0</v>
      </c>
      <c r="I113" s="4">
        <f t="shared" si="32"/>
        <v>0</v>
      </c>
      <c r="J113" s="5">
        <f t="shared" si="33"/>
        <v>0</v>
      </c>
      <c r="K113" s="15">
        <f>LOOKUP(H113,Geometry!$I$6:$J$14)</f>
        <v>0</v>
      </c>
      <c r="L113" s="15">
        <f>K113*Geometry!$J$2</f>
        <v>0</v>
      </c>
      <c r="M113" s="54">
        <f t="shared" si="24"/>
        <v>0</v>
      </c>
      <c r="N113" s="54">
        <f t="shared" si="34"/>
        <v>0</v>
      </c>
      <c r="O113" s="54">
        <f t="shared" si="26"/>
        <v>0</v>
      </c>
      <c r="P113" s="54">
        <f t="shared" si="27"/>
        <v>0</v>
      </c>
      <c r="Q113" s="54">
        <f t="shared" si="28"/>
        <v>0</v>
      </c>
      <c r="R113" s="54">
        <f t="shared" si="29"/>
        <v>0</v>
      </c>
      <c r="S113" s="54">
        <f t="shared" si="36"/>
        <v>0</v>
      </c>
    </row>
    <row r="114" spans="1:19">
      <c r="A114">
        <f t="shared" si="37"/>
        <v>107</v>
      </c>
      <c r="C114" s="7">
        <v>0</v>
      </c>
      <c r="D114" s="64">
        <f>D113+LOOKUP(C114,Geometry!$H$19:$I$25)</f>
        <v>745</v>
      </c>
      <c r="E114" s="54">
        <f t="shared" si="30"/>
        <v>-355</v>
      </c>
      <c r="F114" s="4">
        <f>Geometry!$D$12*D114</f>
        <v>11.793923076923077</v>
      </c>
      <c r="G114" s="4">
        <f t="shared" si="31"/>
        <v>0</v>
      </c>
      <c r="H114" s="4">
        <f>IF(ABS(E114*E114)&lt;=Geometry!$E$10,SQRT(Geometry!$E$10-E114*E114),0)</f>
        <v>0</v>
      </c>
      <c r="I114" s="4">
        <f t="shared" si="32"/>
        <v>0</v>
      </c>
      <c r="J114" s="5">
        <f t="shared" si="33"/>
        <v>0</v>
      </c>
      <c r="K114" s="15">
        <f>LOOKUP(H114,Geometry!$I$6:$J$14)</f>
        <v>0</v>
      </c>
      <c r="L114" s="15">
        <f>K114*Geometry!$J$2</f>
        <v>0</v>
      </c>
      <c r="M114" s="54">
        <f t="shared" si="24"/>
        <v>0</v>
      </c>
      <c r="N114" s="54">
        <f t="shared" si="34"/>
        <v>0</v>
      </c>
      <c r="O114" s="54">
        <f t="shared" si="26"/>
        <v>0</v>
      </c>
      <c r="P114" s="54">
        <f t="shared" si="27"/>
        <v>0</v>
      </c>
      <c r="Q114" s="54">
        <f t="shared" si="28"/>
        <v>0</v>
      </c>
      <c r="R114" s="54">
        <f t="shared" si="29"/>
        <v>0</v>
      </c>
      <c r="S114" s="54">
        <f t="shared" si="36"/>
        <v>0</v>
      </c>
    </row>
    <row r="115" spans="1:19">
      <c r="A115">
        <f t="shared" si="37"/>
        <v>108</v>
      </c>
      <c r="C115" s="7">
        <v>0</v>
      </c>
      <c r="D115" s="64">
        <f>D114+LOOKUP(C115,Geometry!$H$19:$I$25)</f>
        <v>750</v>
      </c>
      <c r="E115" s="54">
        <f t="shared" si="30"/>
        <v>-360</v>
      </c>
      <c r="F115" s="4">
        <f>Geometry!$D$12*D115</f>
        <v>11.873076923076924</v>
      </c>
      <c r="G115" s="4">
        <f t="shared" si="31"/>
        <v>0</v>
      </c>
      <c r="H115" s="4">
        <f>IF(ABS(E115*E115)&lt;=Geometry!$E$10,SQRT(Geometry!$E$10-E115*E115),0)</f>
        <v>0</v>
      </c>
      <c r="I115" s="4">
        <f t="shared" si="32"/>
        <v>0</v>
      </c>
      <c r="J115" s="5">
        <f t="shared" si="33"/>
        <v>0</v>
      </c>
      <c r="K115" s="15">
        <f>LOOKUP(H115,Geometry!$I$6:$J$14)</f>
        <v>0</v>
      </c>
      <c r="L115" s="15">
        <f>K115*Geometry!$J$2</f>
        <v>0</v>
      </c>
      <c r="M115" s="54">
        <f t="shared" si="24"/>
        <v>0</v>
      </c>
      <c r="N115" s="54">
        <f t="shared" si="34"/>
        <v>0</v>
      </c>
      <c r="O115" s="54">
        <f t="shared" si="26"/>
        <v>0</v>
      </c>
      <c r="P115" s="54">
        <f t="shared" si="27"/>
        <v>0</v>
      </c>
      <c r="Q115" s="54">
        <f t="shared" si="28"/>
        <v>0</v>
      </c>
      <c r="R115" s="54">
        <f t="shared" si="29"/>
        <v>0</v>
      </c>
      <c r="S115" s="54">
        <f t="shared" si="36"/>
        <v>0</v>
      </c>
    </row>
    <row r="116" spans="1:19">
      <c r="A116">
        <f t="shared" si="37"/>
        <v>109</v>
      </c>
      <c r="C116" s="7">
        <v>0</v>
      </c>
      <c r="D116" s="64">
        <f>D115+LOOKUP(C116,Geometry!$H$19:$I$25)</f>
        <v>755</v>
      </c>
      <c r="E116" s="54">
        <f t="shared" si="30"/>
        <v>-365</v>
      </c>
      <c r="F116" s="4">
        <f>Geometry!$D$12*D116</f>
        <v>11.95223076923077</v>
      </c>
      <c r="G116" s="4">
        <f t="shared" si="31"/>
        <v>0</v>
      </c>
      <c r="H116" s="4">
        <f>IF(ABS(E116*E116)&lt;=Geometry!$E$10,SQRT(Geometry!$E$10-E116*E116),0)</f>
        <v>0</v>
      </c>
      <c r="I116" s="4">
        <f t="shared" si="32"/>
        <v>0</v>
      </c>
      <c r="J116" s="5">
        <f t="shared" si="33"/>
        <v>0</v>
      </c>
      <c r="K116" s="15">
        <f>LOOKUP(H116,Geometry!$I$6:$J$14)</f>
        <v>0</v>
      </c>
      <c r="L116" s="15">
        <f>K116*Geometry!$J$2</f>
        <v>0</v>
      </c>
      <c r="M116" s="54">
        <f t="shared" si="24"/>
        <v>0</v>
      </c>
      <c r="N116" s="54">
        <f t="shared" si="34"/>
        <v>0</v>
      </c>
      <c r="O116" s="54">
        <f t="shared" si="26"/>
        <v>0</v>
      </c>
      <c r="P116" s="54">
        <f t="shared" si="27"/>
        <v>0</v>
      </c>
      <c r="Q116" s="54">
        <f t="shared" si="28"/>
        <v>0</v>
      </c>
      <c r="R116" s="54">
        <f t="shared" si="29"/>
        <v>0</v>
      </c>
      <c r="S116" s="54">
        <f t="shared" si="36"/>
        <v>0</v>
      </c>
    </row>
    <row r="117" spans="1:19">
      <c r="A117">
        <f t="shared" si="37"/>
        <v>110</v>
      </c>
      <c r="C117" s="7">
        <v>0</v>
      </c>
      <c r="D117" s="64">
        <f>D116+LOOKUP(C117,Geometry!$H$19:$I$25)</f>
        <v>760</v>
      </c>
      <c r="E117" s="54">
        <f t="shared" si="30"/>
        <v>-370</v>
      </c>
      <c r="F117" s="4">
        <f>Geometry!$D$12*D117</f>
        <v>12.031384615384615</v>
      </c>
      <c r="G117" s="4">
        <f t="shared" si="31"/>
        <v>0</v>
      </c>
      <c r="H117" s="4">
        <f>IF(ABS(E117*E117)&lt;=Geometry!$E$10,SQRT(Geometry!$E$10-E117*E117),0)</f>
        <v>0</v>
      </c>
      <c r="I117" s="4">
        <f t="shared" si="32"/>
        <v>0</v>
      </c>
      <c r="J117" s="5">
        <f t="shared" si="33"/>
        <v>0</v>
      </c>
      <c r="K117" s="15">
        <f>LOOKUP(H117,Geometry!$I$6:$J$14)</f>
        <v>0</v>
      </c>
      <c r="L117" s="15">
        <f>K117*Geometry!$J$2</f>
        <v>0</v>
      </c>
      <c r="M117" s="54">
        <f t="shared" si="24"/>
        <v>0</v>
      </c>
      <c r="N117" s="54">
        <f t="shared" si="34"/>
        <v>0</v>
      </c>
      <c r="O117" s="54">
        <f t="shared" si="26"/>
        <v>0</v>
      </c>
      <c r="P117" s="54">
        <f t="shared" si="27"/>
        <v>0</v>
      </c>
      <c r="Q117" s="54">
        <f t="shared" si="28"/>
        <v>0</v>
      </c>
      <c r="R117" s="54">
        <f t="shared" si="29"/>
        <v>0</v>
      </c>
      <c r="S117" s="54">
        <f t="shared" si="36"/>
        <v>0</v>
      </c>
    </row>
    <row r="118" spans="1:19">
      <c r="C118" s="7"/>
      <c r="D118" s="64"/>
      <c r="E118" s="54"/>
      <c r="F118" s="4"/>
      <c r="G118" s="4"/>
      <c r="H118" s="4"/>
      <c r="I118" s="4"/>
      <c r="J118" s="5"/>
      <c r="K118" s="15"/>
      <c r="L118" s="15"/>
      <c r="M118" s="54"/>
      <c r="N118" s="54"/>
      <c r="O118" s="54"/>
      <c r="P118" s="54"/>
      <c r="Q118" s="54"/>
      <c r="R118" s="54"/>
      <c r="S118" s="54"/>
    </row>
    <row r="119" spans="1:19">
      <c r="C119" s="7"/>
      <c r="D119" s="64"/>
      <c r="E119" s="54"/>
      <c r="F119" s="4"/>
      <c r="G119" s="4"/>
      <c r="H119" s="4"/>
      <c r="I119" s="4"/>
      <c r="J119" s="5"/>
      <c r="K119" s="15"/>
      <c r="L119" s="15"/>
      <c r="M119" s="54"/>
      <c r="N119" s="54"/>
      <c r="O119" s="54"/>
      <c r="P119" s="54"/>
      <c r="Q119" s="54"/>
      <c r="R119" s="54"/>
      <c r="S119" s="54"/>
    </row>
    <row r="120" spans="1:19">
      <c r="C120" s="7"/>
      <c r="D120" s="64"/>
      <c r="E120" s="54"/>
      <c r="F120" s="4"/>
      <c r="G120" s="4"/>
      <c r="H120" s="4"/>
      <c r="I120" s="4"/>
      <c r="J120" s="5"/>
      <c r="K120" s="15"/>
      <c r="L120" s="15"/>
      <c r="M120" s="54"/>
      <c r="N120" s="54"/>
      <c r="O120" s="54"/>
      <c r="P120" s="54"/>
      <c r="Q120" s="54"/>
      <c r="R120" s="54"/>
      <c r="S120" s="54"/>
    </row>
    <row r="121" spans="1:19">
      <c r="C121" s="7"/>
      <c r="D121" s="64"/>
      <c r="E121" s="54"/>
      <c r="F121" s="4"/>
      <c r="G121" s="4"/>
      <c r="H121" s="4"/>
      <c r="I121" s="4"/>
      <c r="J121" s="5"/>
      <c r="K121" s="15"/>
      <c r="L121" s="15"/>
      <c r="M121" s="54"/>
      <c r="N121" s="54"/>
      <c r="O121" s="54"/>
      <c r="P121" s="54"/>
      <c r="Q121" s="54"/>
      <c r="R121" s="54"/>
      <c r="S121" s="54"/>
    </row>
    <row r="122" spans="1:19">
      <c r="C122" s="7"/>
      <c r="D122" s="64"/>
      <c r="E122" s="54"/>
      <c r="F122" s="4"/>
      <c r="G122" s="4"/>
      <c r="H122" s="4"/>
      <c r="I122" s="4"/>
      <c r="J122" s="5"/>
      <c r="K122" s="15"/>
      <c r="L122" s="15"/>
      <c r="M122" s="54"/>
      <c r="N122" s="54"/>
      <c r="O122" s="54"/>
      <c r="P122" s="54"/>
      <c r="Q122" s="54"/>
      <c r="R122" s="54"/>
      <c r="S122" s="54"/>
    </row>
    <row r="123" spans="1:19">
      <c r="C123" s="7"/>
      <c r="D123" s="64"/>
      <c r="E123" s="54"/>
      <c r="F123" s="4"/>
      <c r="G123" s="4"/>
      <c r="H123" s="4"/>
      <c r="I123" s="4"/>
      <c r="J123" s="5"/>
      <c r="K123" s="15"/>
      <c r="L123" s="15"/>
      <c r="M123" s="54"/>
      <c r="N123" s="54"/>
      <c r="O123" s="54"/>
      <c r="P123" s="54"/>
      <c r="Q123" s="54"/>
      <c r="R123" s="54"/>
      <c r="S123" s="54"/>
    </row>
    <row r="124" spans="1:19">
      <c r="C124" s="7"/>
      <c r="D124" s="64"/>
      <c r="E124" s="54"/>
      <c r="F124" s="4"/>
      <c r="G124" s="4"/>
      <c r="H124" s="4"/>
      <c r="I124" s="4"/>
      <c r="J124" s="5"/>
      <c r="K124" s="15"/>
      <c r="L124" s="15"/>
      <c r="M124" s="54"/>
      <c r="N124" s="54"/>
      <c r="O124" s="54"/>
      <c r="P124" s="54"/>
      <c r="Q124" s="54"/>
      <c r="R124" s="54"/>
      <c r="S124" s="54"/>
    </row>
    <row r="125" spans="1:19">
      <c r="C125" s="7"/>
      <c r="D125" s="64"/>
      <c r="E125" s="54"/>
      <c r="F125" s="4"/>
      <c r="G125" s="4"/>
      <c r="H125" s="4"/>
      <c r="I125" s="4"/>
      <c r="J125" s="5"/>
      <c r="K125" s="15"/>
      <c r="L125" s="15"/>
      <c r="M125" s="54"/>
      <c r="N125" s="54"/>
      <c r="O125" s="54"/>
      <c r="P125" s="54"/>
      <c r="Q125" s="54"/>
      <c r="R125" s="54"/>
      <c r="S125" s="54"/>
    </row>
    <row r="126" spans="1:19">
      <c r="C126" s="7"/>
      <c r="D126" s="64"/>
      <c r="E126" s="54"/>
      <c r="F126" s="4"/>
      <c r="G126" s="4"/>
      <c r="H126" s="4"/>
      <c r="I126" s="4"/>
      <c r="J126" s="5"/>
      <c r="K126" s="15"/>
      <c r="L126" s="15"/>
      <c r="M126" s="54"/>
      <c r="N126" s="54"/>
      <c r="O126" s="54"/>
      <c r="P126" s="54"/>
      <c r="Q126" s="54"/>
      <c r="R126" s="54"/>
      <c r="S126" s="54"/>
    </row>
    <row r="127" spans="1:19">
      <c r="C127" s="7"/>
      <c r="D127" s="64"/>
      <c r="E127" s="54"/>
      <c r="F127" s="4"/>
      <c r="G127" s="4"/>
      <c r="H127" s="4"/>
      <c r="I127" s="4"/>
      <c r="J127" s="5"/>
      <c r="K127" s="15"/>
      <c r="L127" s="15"/>
      <c r="M127" s="54"/>
      <c r="N127" s="54"/>
      <c r="O127" s="54"/>
      <c r="P127" s="54"/>
      <c r="Q127" s="54"/>
      <c r="R127" s="54"/>
      <c r="S127" s="54"/>
    </row>
    <row r="128" spans="1:19">
      <c r="C128" s="7"/>
      <c r="D128" s="64"/>
      <c r="E128" s="54"/>
      <c r="F128" s="4"/>
      <c r="G128" s="4"/>
      <c r="H128" s="4"/>
      <c r="I128" s="4"/>
      <c r="J128" s="5"/>
      <c r="K128" s="15"/>
      <c r="L128" s="15"/>
      <c r="M128" s="54"/>
      <c r="N128" s="54"/>
      <c r="O128" s="54"/>
      <c r="P128" s="54"/>
      <c r="Q128" s="54"/>
      <c r="R128" s="54"/>
      <c r="S128" s="54"/>
    </row>
    <row r="129" spans="3:19">
      <c r="C129" s="7"/>
      <c r="D129" s="64"/>
      <c r="E129" s="54"/>
      <c r="F129" s="4"/>
      <c r="G129" s="4"/>
      <c r="H129" s="4"/>
      <c r="I129" s="4"/>
      <c r="J129" s="5"/>
      <c r="K129" s="15"/>
      <c r="L129" s="15"/>
      <c r="M129" s="54"/>
      <c r="N129" s="54"/>
      <c r="O129" s="54"/>
      <c r="P129" s="54"/>
      <c r="Q129" s="54"/>
      <c r="R129" s="54"/>
      <c r="S129" s="54"/>
    </row>
    <row r="130" spans="3:19">
      <c r="C130" s="7"/>
      <c r="D130" s="64"/>
      <c r="E130" s="54"/>
      <c r="F130" s="4"/>
      <c r="G130" s="4"/>
      <c r="H130" s="4"/>
      <c r="I130" s="4"/>
      <c r="J130" s="5"/>
      <c r="K130" s="15"/>
      <c r="L130" s="15"/>
      <c r="M130" s="54"/>
      <c r="N130" s="54"/>
      <c r="O130" s="54"/>
      <c r="P130" s="54"/>
      <c r="Q130" s="54"/>
      <c r="R130" s="54"/>
      <c r="S130" s="54"/>
    </row>
    <row r="131" spans="3:19">
      <c r="C131" s="7"/>
      <c r="D131" s="64"/>
      <c r="E131" s="54"/>
      <c r="F131" s="4"/>
      <c r="G131" s="4"/>
      <c r="H131" s="4"/>
      <c r="I131" s="4"/>
      <c r="J131" s="5"/>
      <c r="K131" s="15"/>
      <c r="L131" s="15"/>
      <c r="M131" s="54"/>
      <c r="N131" s="54"/>
      <c r="O131" s="54"/>
      <c r="P131" s="54"/>
      <c r="Q131" s="54"/>
      <c r="R131" s="54"/>
      <c r="S131" s="54"/>
    </row>
    <row r="132" spans="3:19">
      <c r="C132" s="7"/>
      <c r="D132" s="64"/>
      <c r="E132" s="54"/>
      <c r="F132" s="4"/>
      <c r="G132" s="4"/>
      <c r="H132" s="4"/>
      <c r="I132" s="4"/>
      <c r="J132" s="5"/>
      <c r="K132" s="15"/>
      <c r="L132" s="15"/>
      <c r="M132" s="54"/>
      <c r="N132" s="54"/>
      <c r="O132" s="54"/>
      <c r="P132" s="54"/>
      <c r="Q132" s="54"/>
      <c r="R132" s="54"/>
      <c r="S132" s="54"/>
    </row>
    <row r="133" spans="3:19">
      <c r="C133" s="7"/>
      <c r="D133" s="64"/>
      <c r="E133" s="54"/>
      <c r="F133" s="4"/>
      <c r="G133" s="4"/>
      <c r="H133" s="4"/>
      <c r="I133" s="4"/>
      <c r="J133" s="5"/>
      <c r="K133" s="15"/>
      <c r="L133" s="15"/>
      <c r="M133" s="54"/>
      <c r="N133" s="54"/>
      <c r="O133" s="54"/>
      <c r="P133" s="54"/>
      <c r="Q133" s="54"/>
      <c r="R133" s="54"/>
      <c r="S133" s="54"/>
    </row>
    <row r="134" spans="3:19">
      <c r="C134" s="7"/>
      <c r="D134" s="64"/>
      <c r="E134" s="54"/>
      <c r="F134" s="4"/>
      <c r="G134" s="4"/>
      <c r="H134" s="4"/>
      <c r="I134" s="4"/>
      <c r="M134" s="54"/>
      <c r="N134" s="54"/>
      <c r="O134" s="54"/>
      <c r="P134" s="54"/>
      <c r="Q134" s="54"/>
      <c r="R134" s="54"/>
    </row>
    <row r="135" spans="3:19">
      <c r="C135" s="7"/>
      <c r="D135" s="64"/>
      <c r="E135" s="54"/>
      <c r="F135" s="4"/>
      <c r="G135" s="4"/>
      <c r="H135" s="4"/>
      <c r="I135" s="4"/>
      <c r="M135" s="54"/>
      <c r="N135" s="54"/>
      <c r="O135" s="54"/>
      <c r="P135" s="54"/>
      <c r="Q135" s="54"/>
      <c r="R135" s="54"/>
    </row>
    <row r="136" spans="3:19">
      <c r="C136" s="7"/>
      <c r="D136" s="64"/>
      <c r="E136" s="54"/>
      <c r="F136" s="4"/>
      <c r="G136" s="4"/>
      <c r="H136" s="4"/>
      <c r="I136" s="4"/>
      <c r="M136" s="54"/>
      <c r="N136" s="54"/>
      <c r="O136" s="54"/>
      <c r="P136" s="54"/>
      <c r="Q136" s="54"/>
      <c r="R136" s="54"/>
    </row>
    <row r="137" spans="3:19">
      <c r="C137" s="7"/>
      <c r="D137" s="64"/>
      <c r="E137" s="54"/>
      <c r="F137" s="4"/>
      <c r="G137" s="4"/>
      <c r="H137" s="4"/>
      <c r="I137" s="4"/>
      <c r="M137" s="54"/>
      <c r="N137" s="54"/>
      <c r="O137" s="54"/>
      <c r="P137" s="54"/>
      <c r="Q137" s="54"/>
      <c r="R137" s="54"/>
    </row>
    <row r="138" spans="3:19">
      <c r="C138" s="7"/>
      <c r="D138" s="64"/>
      <c r="E138" s="54"/>
      <c r="F138" s="4"/>
      <c r="G138" s="4"/>
      <c r="H138" s="4"/>
      <c r="I138" s="4"/>
      <c r="M138" s="54"/>
      <c r="N138" s="54"/>
      <c r="O138" s="54"/>
      <c r="P138" s="54"/>
      <c r="Q138" s="54"/>
      <c r="R138" s="54"/>
    </row>
    <row r="139" spans="3:19">
      <c r="C139" s="7"/>
      <c r="D139" s="64"/>
      <c r="E139" s="54"/>
      <c r="F139" s="4"/>
      <c r="G139" s="4"/>
      <c r="H139" s="4"/>
      <c r="I139" s="4"/>
      <c r="M139" s="54"/>
      <c r="N139" s="54"/>
      <c r="O139" s="54"/>
      <c r="P139" s="54"/>
      <c r="Q139" s="54"/>
      <c r="R139" s="54"/>
    </row>
    <row r="140" spans="3:19">
      <c r="C140" s="7"/>
      <c r="D140" s="64"/>
      <c r="E140" s="54"/>
      <c r="F140" s="4"/>
      <c r="G140" s="4"/>
      <c r="H140" s="4"/>
      <c r="I140" s="4"/>
      <c r="M140" s="54"/>
      <c r="N140" s="54"/>
      <c r="O140" s="54"/>
      <c r="P140" s="54"/>
      <c r="Q140" s="54"/>
      <c r="R140" s="54"/>
    </row>
    <row r="141" spans="3:19">
      <c r="C141" s="7"/>
      <c r="D141" s="64"/>
      <c r="E141" s="54"/>
      <c r="F141" s="4"/>
      <c r="G141" s="4"/>
      <c r="H141" s="4"/>
      <c r="I141" s="4"/>
      <c r="M141" s="54"/>
      <c r="N141" s="54"/>
      <c r="O141" s="54"/>
      <c r="P141" s="54"/>
      <c r="Q141" s="54"/>
      <c r="R141" s="54"/>
    </row>
    <row r="142" spans="3:19">
      <c r="C142" s="7"/>
      <c r="D142" s="64"/>
      <c r="E142" s="54"/>
      <c r="F142" s="4"/>
      <c r="G142" s="4"/>
      <c r="H142" s="4"/>
      <c r="I142" s="4"/>
      <c r="M142" s="54"/>
      <c r="N142" s="54"/>
      <c r="O142" s="54"/>
      <c r="P142" s="54"/>
      <c r="Q142" s="54"/>
      <c r="R142" s="54"/>
    </row>
    <row r="143" spans="3:19">
      <c r="C143" s="7"/>
      <c r="D143" s="64"/>
      <c r="E143" s="54"/>
      <c r="F143" s="4"/>
      <c r="G143" s="4"/>
      <c r="H143" s="4"/>
      <c r="I143" s="4"/>
      <c r="M143" s="54"/>
      <c r="N143" s="54"/>
      <c r="O143" s="54"/>
      <c r="P143" s="54"/>
      <c r="Q143" s="54"/>
      <c r="R143" s="54"/>
    </row>
    <row r="144" spans="3:19">
      <c r="C144" s="7"/>
      <c r="D144" s="64"/>
      <c r="E144" s="54"/>
      <c r="F144" s="4"/>
      <c r="G144" s="4"/>
      <c r="H144" s="4"/>
      <c r="I144" s="4"/>
      <c r="M144" s="54"/>
      <c r="N144" s="54"/>
      <c r="O144" s="54"/>
      <c r="P144" s="54"/>
      <c r="Q144" s="54"/>
      <c r="R144" s="54"/>
    </row>
    <row r="145" spans="3:18">
      <c r="C145" s="7"/>
      <c r="D145" s="64"/>
      <c r="E145" s="54"/>
      <c r="F145" s="4"/>
      <c r="G145" s="4"/>
      <c r="H145" s="4"/>
      <c r="I145" s="4"/>
      <c r="M145" s="54"/>
      <c r="N145" s="54"/>
      <c r="O145" s="54"/>
      <c r="P145" s="54"/>
      <c r="Q145" s="54"/>
      <c r="R145" s="54"/>
    </row>
    <row r="146" spans="3:18">
      <c r="C146" s="7"/>
      <c r="D146" s="64"/>
      <c r="E146" s="54"/>
      <c r="F146" s="4"/>
      <c r="G146" s="4"/>
      <c r="H146" s="4"/>
      <c r="I146" s="4"/>
      <c r="M146" s="54"/>
      <c r="N146" s="54"/>
      <c r="O146" s="54"/>
      <c r="P146" s="54"/>
      <c r="Q146" s="54"/>
      <c r="R146" s="54"/>
    </row>
    <row r="147" spans="3:18">
      <c r="C147" s="7"/>
      <c r="D147" s="64"/>
      <c r="E147" s="54"/>
      <c r="F147" s="4"/>
      <c r="G147" s="4"/>
      <c r="H147" s="4"/>
      <c r="I147" s="4"/>
      <c r="M147" s="54"/>
      <c r="N147" s="54"/>
      <c r="O147" s="54"/>
      <c r="P147" s="54"/>
      <c r="Q147" s="54"/>
      <c r="R147" s="54"/>
    </row>
    <row r="148" spans="3:18">
      <c r="C148" s="7"/>
      <c r="D148" s="64"/>
      <c r="E148" s="54"/>
      <c r="F148" s="4"/>
      <c r="G148" s="4"/>
      <c r="H148" s="4"/>
      <c r="I148" s="4"/>
      <c r="M148" s="54"/>
      <c r="N148" s="54"/>
      <c r="O148" s="54"/>
      <c r="P148" s="54"/>
      <c r="Q148" s="54"/>
      <c r="R148" s="54"/>
    </row>
    <row r="149" spans="3:18">
      <c r="C149" s="7"/>
      <c r="D149" s="64"/>
      <c r="E149" s="54"/>
      <c r="F149" s="4"/>
      <c r="G149" s="4"/>
      <c r="H149" s="4"/>
      <c r="I149" s="4"/>
      <c r="M149" s="54"/>
      <c r="N149" s="54"/>
      <c r="O149" s="54"/>
      <c r="P149" s="54"/>
      <c r="Q149" s="54"/>
      <c r="R149" s="54"/>
    </row>
    <row r="150" spans="3:18">
      <c r="C150" s="7"/>
      <c r="D150" s="64"/>
      <c r="E150" s="54"/>
      <c r="F150" s="4"/>
      <c r="G150" s="4"/>
      <c r="H150" s="4"/>
      <c r="I150" s="4"/>
      <c r="M150" s="54"/>
      <c r="N150" s="54"/>
      <c r="O150" s="54"/>
      <c r="P150" s="54"/>
      <c r="Q150" s="54"/>
      <c r="R150" s="54"/>
    </row>
    <row r="151" spans="3:18">
      <c r="C151" s="7"/>
      <c r="D151" s="64"/>
      <c r="E151" s="54"/>
      <c r="F151" s="4"/>
      <c r="G151" s="4"/>
      <c r="H151" s="4"/>
      <c r="I151" s="4"/>
      <c r="M151" s="54"/>
      <c r="N151" s="54"/>
      <c r="O151" s="54"/>
      <c r="P151" s="54"/>
      <c r="Q151" s="54"/>
      <c r="R151" s="54"/>
    </row>
    <row r="152" spans="3:18">
      <c r="C152" s="7"/>
      <c r="D152" s="64"/>
      <c r="E152" s="54"/>
      <c r="F152" s="4"/>
      <c r="G152" s="4"/>
      <c r="H152" s="4"/>
      <c r="I152" s="4"/>
      <c r="M152" s="54"/>
      <c r="N152" s="54"/>
      <c r="O152" s="54"/>
      <c r="P152" s="54"/>
      <c r="Q152" s="54"/>
      <c r="R152" s="54"/>
    </row>
    <row r="153" spans="3:18">
      <c r="C153" s="7"/>
      <c r="D153" s="64"/>
      <c r="E153" s="54"/>
      <c r="F153" s="4"/>
      <c r="G153" s="4"/>
      <c r="H153" s="4"/>
      <c r="I153" s="4"/>
      <c r="M153" s="54"/>
      <c r="N153" s="54"/>
      <c r="O153" s="54"/>
      <c r="P153" s="54"/>
      <c r="Q153" s="54"/>
      <c r="R153" s="54"/>
    </row>
    <row r="154" spans="3:18">
      <c r="C154" s="7"/>
      <c r="D154" s="64"/>
      <c r="E154" s="54"/>
      <c r="F154" s="4"/>
      <c r="G154" s="4"/>
      <c r="H154" s="4"/>
      <c r="I154" s="4"/>
      <c r="M154" s="54"/>
      <c r="N154" s="54"/>
      <c r="O154" s="54"/>
      <c r="P154" s="54"/>
      <c r="Q154" s="54"/>
      <c r="R154" s="54"/>
    </row>
    <row r="155" spans="3:18">
      <c r="C155" s="7"/>
      <c r="D155" s="64"/>
      <c r="E155" s="54"/>
      <c r="F155" s="4"/>
      <c r="G155" s="4"/>
      <c r="H155" s="4"/>
      <c r="I155" s="4"/>
      <c r="M155" s="54"/>
      <c r="N155" s="54"/>
      <c r="O155" s="54"/>
      <c r="P155" s="54"/>
      <c r="Q155" s="54"/>
      <c r="R155" s="54"/>
    </row>
    <row r="156" spans="3:18">
      <c r="C156" s="7"/>
      <c r="D156" s="64"/>
      <c r="E156" s="54"/>
      <c r="F156" s="4"/>
      <c r="G156" s="4"/>
      <c r="H156" s="4"/>
      <c r="I156" s="4"/>
      <c r="M156" s="54"/>
      <c r="N156" s="54"/>
      <c r="O156" s="54"/>
      <c r="P156" s="54"/>
      <c r="Q156" s="54"/>
      <c r="R156" s="54"/>
    </row>
    <row r="157" spans="3:18">
      <c r="C157" s="7"/>
      <c r="D157" s="64"/>
      <c r="E157" s="54"/>
      <c r="F157" s="4"/>
      <c r="G157" s="4"/>
      <c r="H157" s="4"/>
      <c r="I157" s="4"/>
      <c r="M157" s="54"/>
      <c r="N157" s="54"/>
      <c r="O157" s="54"/>
      <c r="P157" s="54"/>
      <c r="Q157" s="54"/>
      <c r="R157" s="54"/>
    </row>
    <row r="158" spans="3:18">
      <c r="C158" s="7"/>
      <c r="D158" s="64"/>
      <c r="E158" s="54"/>
      <c r="F158" s="4"/>
      <c r="G158" s="4"/>
      <c r="H158" s="4"/>
      <c r="I158" s="4"/>
      <c r="M158" s="54"/>
      <c r="N158" s="54"/>
      <c r="O158" s="54"/>
      <c r="P158" s="54"/>
      <c r="Q158" s="54"/>
      <c r="R158" s="54"/>
    </row>
    <row r="159" spans="3:18">
      <c r="C159" s="7"/>
      <c r="D159" s="64"/>
      <c r="E159" s="54"/>
      <c r="F159" s="4"/>
      <c r="G159" s="4"/>
      <c r="H159" s="4"/>
      <c r="I159" s="4"/>
      <c r="M159" s="54"/>
      <c r="N159" s="54"/>
      <c r="O159" s="54"/>
      <c r="P159" s="54"/>
      <c r="Q159" s="54"/>
      <c r="R159" s="54"/>
    </row>
    <row r="160" spans="3:18">
      <c r="C160" s="7"/>
      <c r="D160" s="64"/>
      <c r="E160" s="54"/>
      <c r="F160" s="4"/>
      <c r="G160" s="4"/>
      <c r="H160" s="4"/>
      <c r="I160" s="4"/>
      <c r="M160" s="54"/>
      <c r="N160" s="54"/>
      <c r="O160" s="54"/>
      <c r="P160" s="54"/>
      <c r="Q160" s="54"/>
      <c r="R160" s="54"/>
    </row>
    <row r="161" spans="3:18">
      <c r="C161" s="7"/>
      <c r="D161" s="64"/>
      <c r="E161" s="54"/>
      <c r="F161" s="4"/>
      <c r="G161" s="4"/>
      <c r="H161" s="4"/>
      <c r="I161" s="4"/>
      <c r="M161" s="54"/>
      <c r="N161" s="54"/>
      <c r="O161" s="54"/>
      <c r="P161" s="54"/>
      <c r="Q161" s="54"/>
      <c r="R161" s="54"/>
    </row>
    <row r="162" spans="3:18">
      <c r="C162" s="7"/>
      <c r="D162" s="64"/>
      <c r="E162" s="54"/>
      <c r="F162" s="4"/>
      <c r="G162" s="4"/>
      <c r="H162" s="4"/>
      <c r="I162" s="4"/>
      <c r="M162" s="54"/>
      <c r="N162" s="54"/>
      <c r="O162" s="54"/>
      <c r="P162" s="54"/>
      <c r="Q162" s="54"/>
      <c r="R162" s="54"/>
    </row>
    <row r="163" spans="3:18">
      <c r="C163" s="7"/>
      <c r="D163" s="64"/>
      <c r="E163" s="54"/>
      <c r="F163" s="4"/>
      <c r="G163" s="4"/>
      <c r="H163" s="4"/>
      <c r="I163" s="4"/>
      <c r="M163" s="54"/>
      <c r="N163" s="54"/>
      <c r="O163" s="54"/>
      <c r="P163" s="54"/>
      <c r="Q163" s="54"/>
      <c r="R163" s="54"/>
    </row>
    <row r="164" spans="3:18">
      <c r="C164" s="7"/>
      <c r="D164" s="64"/>
      <c r="E164" s="54"/>
      <c r="F164" s="4"/>
      <c r="G164" s="4"/>
      <c r="H164" s="4"/>
      <c r="I164" s="4"/>
      <c r="M164" s="54"/>
      <c r="N164" s="54"/>
      <c r="O164" s="54"/>
      <c r="P164" s="54"/>
      <c r="Q164" s="54"/>
      <c r="R164" s="54"/>
    </row>
    <row r="165" spans="3:18">
      <c r="C165" s="7"/>
      <c r="D165" s="64"/>
      <c r="E165" s="54"/>
      <c r="F165" s="4"/>
      <c r="G165" s="4"/>
      <c r="H165" s="4"/>
      <c r="I165" s="4"/>
      <c r="M165" s="54"/>
      <c r="N165" s="54"/>
      <c r="O165" s="54"/>
      <c r="P165" s="54"/>
      <c r="Q165" s="54"/>
      <c r="R165" s="54"/>
    </row>
    <row r="166" spans="3:18">
      <c r="C166" s="7"/>
      <c r="D166" s="64"/>
      <c r="E166" s="54"/>
      <c r="F166" s="4"/>
      <c r="G166" s="4"/>
      <c r="H166" s="4"/>
      <c r="I166" s="4"/>
      <c r="M166" s="54"/>
      <c r="N166" s="54"/>
      <c r="O166" s="54"/>
      <c r="P166" s="54"/>
      <c r="Q166" s="54"/>
      <c r="R166" s="54"/>
    </row>
    <row r="167" spans="3:18">
      <c r="C167" s="7"/>
      <c r="D167" s="64"/>
      <c r="E167" s="54"/>
      <c r="F167" s="4"/>
      <c r="G167" s="4"/>
      <c r="H167" s="4"/>
      <c r="I167" s="4"/>
      <c r="M167" s="54"/>
      <c r="N167" s="54"/>
      <c r="O167" s="54"/>
      <c r="P167" s="54"/>
      <c r="Q167" s="54"/>
      <c r="R167" s="54"/>
    </row>
    <row r="168" spans="3:18">
      <c r="C168" s="7"/>
      <c r="D168" s="64"/>
      <c r="E168" s="54"/>
      <c r="F168" s="4"/>
      <c r="G168" s="4"/>
      <c r="H168" s="4"/>
      <c r="I168" s="4"/>
      <c r="M168" s="54"/>
      <c r="N168" s="54"/>
      <c r="O168" s="54"/>
      <c r="P168" s="54"/>
      <c r="Q168" s="54"/>
      <c r="R168" s="54"/>
    </row>
    <row r="169" spans="3:18">
      <c r="C169" s="7"/>
      <c r="D169" s="64"/>
      <c r="E169" s="54"/>
      <c r="F169" s="4"/>
      <c r="G169" s="4"/>
      <c r="H169" s="4"/>
      <c r="I169" s="4"/>
      <c r="M169" s="54"/>
      <c r="N169" s="54"/>
      <c r="O169" s="54"/>
      <c r="P169" s="54"/>
      <c r="Q169" s="54"/>
      <c r="R169" s="54"/>
    </row>
    <row r="170" spans="3:18">
      <c r="C170" s="7"/>
      <c r="D170" s="64"/>
      <c r="E170" s="54"/>
      <c r="F170" s="4"/>
      <c r="G170" s="4"/>
      <c r="H170" s="4"/>
      <c r="I170" s="4"/>
      <c r="M170" s="54"/>
      <c r="N170" s="54"/>
      <c r="O170" s="54"/>
      <c r="P170" s="54"/>
      <c r="Q170" s="54"/>
      <c r="R170" s="54"/>
    </row>
    <row r="171" spans="3:18">
      <c r="C171" s="7"/>
      <c r="D171" s="64"/>
      <c r="E171" s="54"/>
      <c r="F171" s="4"/>
      <c r="G171" s="4"/>
      <c r="H171" s="4"/>
      <c r="I171" s="4"/>
      <c r="M171" s="54"/>
      <c r="N171" s="54"/>
      <c r="O171" s="54"/>
      <c r="P171" s="54"/>
      <c r="Q171" s="54"/>
      <c r="R171" s="54"/>
    </row>
    <row r="172" spans="3:18">
      <c r="C172" s="7"/>
      <c r="D172" s="64"/>
      <c r="E172" s="54"/>
      <c r="F172" s="4"/>
      <c r="G172" s="4"/>
      <c r="H172" s="4"/>
      <c r="I172" s="4"/>
      <c r="M172" s="54"/>
      <c r="N172" s="54"/>
      <c r="O172" s="54"/>
      <c r="P172" s="54"/>
      <c r="Q172" s="54"/>
      <c r="R172" s="54"/>
    </row>
    <row r="173" spans="3:18">
      <c r="C173" s="7"/>
      <c r="D173" s="64"/>
      <c r="E173" s="54"/>
      <c r="F173" s="4"/>
      <c r="G173" s="4"/>
      <c r="H173" s="4"/>
      <c r="I173" s="4"/>
      <c r="M173" s="54"/>
      <c r="N173" s="54"/>
      <c r="O173" s="54"/>
      <c r="P173" s="54"/>
      <c r="Q173" s="54"/>
      <c r="R173" s="54"/>
    </row>
    <row r="174" spans="3:18">
      <c r="C174" s="7"/>
      <c r="D174" s="64"/>
      <c r="E174" s="54"/>
      <c r="F174" s="4"/>
      <c r="G174" s="4"/>
      <c r="H174" s="4"/>
      <c r="I174" s="4"/>
      <c r="M174" s="54"/>
      <c r="N174" s="54"/>
      <c r="O174" s="54"/>
      <c r="P174" s="54"/>
      <c r="Q174" s="54"/>
      <c r="R174" s="54"/>
    </row>
    <row r="175" spans="3:18">
      <c r="C175" s="7"/>
      <c r="D175" s="64"/>
      <c r="E175" s="54"/>
      <c r="F175" s="4"/>
      <c r="G175" s="4"/>
      <c r="H175" s="4"/>
      <c r="I175" s="4"/>
      <c r="M175" s="54"/>
      <c r="N175" s="54"/>
      <c r="O175" s="54"/>
      <c r="P175" s="54"/>
      <c r="Q175" s="54"/>
      <c r="R175" s="54"/>
    </row>
    <row r="176" spans="3:18">
      <c r="C176" s="7"/>
      <c r="D176" s="64"/>
      <c r="E176" s="54"/>
      <c r="F176" s="4"/>
      <c r="G176" s="4"/>
      <c r="H176" s="4"/>
      <c r="I176" s="4"/>
      <c r="M176" s="54"/>
      <c r="N176" s="54"/>
      <c r="O176" s="54"/>
      <c r="P176" s="54"/>
      <c r="Q176" s="54"/>
      <c r="R176" s="54"/>
    </row>
    <row r="177" spans="3:18">
      <c r="C177" s="7"/>
      <c r="D177" s="64"/>
      <c r="E177" s="54"/>
      <c r="F177" s="4"/>
      <c r="G177" s="4"/>
      <c r="H177" s="4"/>
      <c r="I177" s="4"/>
      <c r="M177" s="54"/>
      <c r="N177" s="54"/>
      <c r="O177" s="54"/>
      <c r="P177" s="54"/>
      <c r="Q177" s="54"/>
      <c r="R177" s="54"/>
    </row>
    <row r="178" spans="3:18">
      <c r="C178" s="7"/>
      <c r="D178" s="64"/>
      <c r="E178" s="54"/>
      <c r="F178" s="4"/>
      <c r="G178" s="4"/>
      <c r="H178" s="4"/>
      <c r="I178" s="4"/>
      <c r="M178" s="54"/>
      <c r="N178" s="54"/>
      <c r="O178" s="54"/>
      <c r="P178" s="54"/>
      <c r="Q178" s="54"/>
      <c r="R178" s="54"/>
    </row>
    <row r="179" spans="3:18">
      <c r="C179" s="7"/>
      <c r="D179" s="64"/>
      <c r="E179" s="54"/>
      <c r="F179" s="4"/>
      <c r="G179" s="4"/>
      <c r="H179" s="4"/>
      <c r="I179" s="4"/>
      <c r="M179" s="54"/>
      <c r="N179" s="54"/>
      <c r="O179" s="54"/>
      <c r="P179" s="54"/>
      <c r="Q179" s="54"/>
      <c r="R179" s="54"/>
    </row>
    <row r="180" spans="3:18">
      <c r="C180" s="7"/>
      <c r="D180" s="64"/>
      <c r="E180" s="54"/>
      <c r="F180" s="4"/>
      <c r="G180" s="4"/>
      <c r="H180" s="4"/>
      <c r="I180" s="4"/>
      <c r="M180" s="54"/>
      <c r="N180" s="54"/>
      <c r="O180" s="54"/>
      <c r="P180" s="54"/>
      <c r="Q180" s="54"/>
      <c r="R180" s="54"/>
    </row>
    <row r="181" spans="3:18">
      <c r="C181" s="7"/>
      <c r="D181" s="64"/>
      <c r="E181" s="54"/>
      <c r="F181" s="4"/>
      <c r="G181" s="4"/>
      <c r="H181" s="4"/>
      <c r="I181" s="4"/>
      <c r="M181" s="54"/>
      <c r="N181" s="54"/>
      <c r="O181" s="54"/>
      <c r="P181" s="54"/>
      <c r="Q181" s="54"/>
      <c r="R181" s="54"/>
    </row>
    <row r="182" spans="3:18">
      <c r="C182" s="7"/>
      <c r="D182" s="64"/>
      <c r="E182" s="54"/>
      <c r="F182" s="4"/>
      <c r="G182" s="4"/>
      <c r="H182" s="4"/>
      <c r="I182" s="4"/>
      <c r="M182" s="54"/>
      <c r="N182" s="54"/>
      <c r="O182" s="54"/>
      <c r="P182" s="54"/>
      <c r="Q182" s="54"/>
      <c r="R182" s="54"/>
    </row>
    <row r="183" spans="3:18">
      <c r="C183" s="7"/>
      <c r="D183" s="64"/>
      <c r="E183" s="54"/>
      <c r="F183" s="4"/>
      <c r="G183" s="4"/>
      <c r="H183" s="4"/>
      <c r="I183" s="4"/>
      <c r="M183" s="54"/>
      <c r="N183" s="54"/>
      <c r="O183" s="54"/>
      <c r="P183" s="54"/>
      <c r="Q183" s="54"/>
      <c r="R183" s="54"/>
    </row>
    <row r="184" spans="3:18">
      <c r="C184" s="7"/>
      <c r="D184" s="64"/>
      <c r="E184" s="54"/>
      <c r="F184" s="4"/>
      <c r="G184" s="4"/>
      <c r="H184" s="4"/>
      <c r="I184" s="4"/>
      <c r="M184" s="54"/>
      <c r="N184" s="54"/>
      <c r="O184" s="54"/>
      <c r="P184" s="54"/>
      <c r="Q184" s="54"/>
      <c r="R184" s="54"/>
    </row>
    <row r="185" spans="3:18">
      <c r="C185" s="7"/>
      <c r="D185" s="64"/>
      <c r="E185" s="54"/>
      <c r="F185" s="4"/>
      <c r="G185" s="4"/>
      <c r="H185" s="4"/>
      <c r="I185" s="4"/>
      <c r="M185" s="54"/>
      <c r="N185" s="54"/>
      <c r="O185" s="54"/>
      <c r="P185" s="54"/>
      <c r="Q185" s="54"/>
      <c r="R185" s="54"/>
    </row>
    <row r="186" spans="3:18">
      <c r="C186" s="7"/>
      <c r="D186" s="64"/>
      <c r="E186" s="54"/>
      <c r="F186" s="4"/>
      <c r="G186" s="4"/>
      <c r="H186" s="4"/>
      <c r="I186" s="4"/>
      <c r="M186" s="54"/>
      <c r="N186" s="54"/>
      <c r="O186" s="54"/>
      <c r="P186" s="54"/>
      <c r="Q186" s="54"/>
      <c r="R186" s="54"/>
    </row>
    <row r="187" spans="3:18">
      <c r="C187" s="7"/>
      <c r="D187" s="64"/>
      <c r="E187" s="54"/>
      <c r="F187" s="4"/>
      <c r="G187" s="4"/>
      <c r="H187" s="4"/>
      <c r="I187" s="4"/>
      <c r="M187" s="54"/>
      <c r="N187" s="54"/>
      <c r="O187" s="54"/>
      <c r="P187" s="54"/>
      <c r="Q187" s="54"/>
      <c r="R187" s="54"/>
    </row>
    <row r="188" spans="3:18">
      <c r="C188" s="7"/>
      <c r="D188" s="64"/>
      <c r="E188" s="54"/>
      <c r="F188" s="4"/>
      <c r="G188" s="4"/>
      <c r="H188" s="4"/>
      <c r="I188" s="4"/>
      <c r="M188" s="54"/>
      <c r="N188" s="54"/>
      <c r="O188" s="54"/>
      <c r="P188" s="54"/>
      <c r="Q188" s="54"/>
      <c r="R188" s="54"/>
    </row>
    <row r="189" spans="3:18">
      <c r="C189" s="7"/>
      <c r="D189" s="64"/>
      <c r="E189" s="54"/>
      <c r="F189" s="4"/>
      <c r="G189" s="4"/>
      <c r="H189" s="4"/>
      <c r="I189" s="4"/>
      <c r="M189" s="54"/>
      <c r="N189" s="54"/>
      <c r="O189" s="54"/>
      <c r="P189" s="54"/>
      <c r="Q189" s="54"/>
      <c r="R189" s="54"/>
    </row>
    <row r="190" spans="3:18">
      <c r="C190" s="7"/>
      <c r="D190" s="64"/>
      <c r="E190" s="54"/>
      <c r="F190" s="4"/>
      <c r="G190" s="4"/>
      <c r="H190" s="4"/>
      <c r="I190" s="4"/>
      <c r="M190" s="54"/>
      <c r="N190" s="54"/>
      <c r="O190" s="54"/>
      <c r="P190" s="54"/>
      <c r="Q190" s="54"/>
      <c r="R190" s="54"/>
    </row>
    <row r="191" spans="3:18">
      <c r="C191" s="7"/>
      <c r="D191" s="64"/>
      <c r="E191" s="54"/>
      <c r="F191" s="4"/>
      <c r="G191" s="4"/>
      <c r="H191" s="4"/>
      <c r="I191" s="4"/>
      <c r="M191" s="54"/>
      <c r="N191" s="54"/>
      <c r="O191" s="54"/>
      <c r="P191" s="54"/>
      <c r="Q191" s="54"/>
      <c r="R191" s="54"/>
    </row>
    <row r="192" spans="3:18">
      <c r="C192" s="7"/>
      <c r="D192" s="64"/>
      <c r="E192" s="54"/>
      <c r="F192" s="4"/>
      <c r="G192" s="4"/>
      <c r="H192" s="4"/>
      <c r="I192" s="4"/>
      <c r="M192" s="54"/>
      <c r="N192" s="54"/>
      <c r="O192" s="54"/>
      <c r="P192" s="54"/>
      <c r="Q192" s="54"/>
      <c r="R192" s="54"/>
    </row>
    <row r="193" spans="3:18">
      <c r="C193" s="7"/>
      <c r="D193" s="64"/>
      <c r="E193" s="54"/>
      <c r="F193" s="4"/>
      <c r="G193" s="4"/>
      <c r="H193" s="4"/>
      <c r="I193" s="4"/>
      <c r="M193" s="54"/>
      <c r="N193" s="54"/>
      <c r="O193" s="54"/>
      <c r="P193" s="54"/>
      <c r="Q193" s="54"/>
      <c r="R193" s="54"/>
    </row>
    <row r="194" spans="3:18">
      <c r="C194" s="7"/>
      <c r="D194" s="64"/>
      <c r="E194" s="54"/>
      <c r="F194" s="4"/>
      <c r="G194" s="4"/>
      <c r="H194" s="4"/>
      <c r="I194" s="4"/>
      <c r="M194" s="54"/>
      <c r="N194" s="54"/>
      <c r="O194" s="54"/>
      <c r="P194" s="54"/>
      <c r="Q194" s="54"/>
      <c r="R194" s="54"/>
    </row>
    <row r="195" spans="3:18">
      <c r="C195" s="7"/>
      <c r="D195" s="64"/>
      <c r="E195" s="54"/>
      <c r="F195" s="4"/>
      <c r="G195" s="4"/>
      <c r="H195" s="4"/>
      <c r="I195" s="4"/>
      <c r="M195" s="54"/>
      <c r="N195" s="54"/>
      <c r="O195" s="54"/>
      <c r="P195" s="54"/>
      <c r="Q195" s="54"/>
      <c r="R195" s="54"/>
    </row>
    <row r="196" spans="3:18">
      <c r="C196" s="7"/>
      <c r="D196" s="64"/>
      <c r="E196" s="54"/>
      <c r="F196" s="4"/>
      <c r="G196" s="4"/>
      <c r="H196" s="4"/>
      <c r="I196" s="4"/>
      <c r="M196" s="54"/>
      <c r="N196" s="54"/>
      <c r="O196" s="54"/>
      <c r="P196" s="54"/>
      <c r="Q196" s="54"/>
      <c r="R196" s="54"/>
    </row>
    <row r="197" spans="3:18">
      <c r="C197" s="7"/>
      <c r="D197" s="64"/>
      <c r="E197" s="54"/>
      <c r="F197" s="4"/>
      <c r="G197" s="4"/>
      <c r="H197" s="4"/>
      <c r="I197" s="4"/>
      <c r="M197" s="54"/>
      <c r="N197" s="54"/>
      <c r="O197" s="54"/>
      <c r="P197" s="54"/>
      <c r="Q197" s="54"/>
      <c r="R197" s="54"/>
    </row>
    <row r="198" spans="3:18">
      <c r="C198" s="7"/>
      <c r="D198" s="64"/>
      <c r="E198" s="54"/>
      <c r="F198" s="4"/>
      <c r="G198" s="4"/>
      <c r="H198" s="4"/>
      <c r="I198" s="4"/>
      <c r="M198" s="54"/>
      <c r="N198" s="54"/>
      <c r="O198" s="54"/>
      <c r="P198" s="54"/>
      <c r="Q198" s="54"/>
      <c r="R198" s="54"/>
    </row>
    <row r="199" spans="3:18">
      <c r="C199" s="7"/>
      <c r="D199" s="64"/>
      <c r="E199" s="54"/>
      <c r="F199" s="4"/>
      <c r="G199" s="4"/>
      <c r="H199" s="4"/>
      <c r="I199" s="4"/>
      <c r="M199" s="54"/>
      <c r="N199" s="54"/>
      <c r="O199" s="54"/>
      <c r="P199" s="54"/>
      <c r="Q199" s="54"/>
      <c r="R199" s="54"/>
    </row>
    <row r="200" spans="3:18">
      <c r="C200" s="7"/>
      <c r="D200" s="64"/>
      <c r="E200" s="54"/>
      <c r="F200" s="4"/>
      <c r="G200" s="4"/>
      <c r="H200" s="4"/>
      <c r="I200" s="4"/>
      <c r="M200" s="54"/>
      <c r="N200" s="54"/>
      <c r="O200" s="54"/>
      <c r="P200" s="54"/>
      <c r="Q200" s="54"/>
      <c r="R200" s="54"/>
    </row>
    <row r="201" spans="3:18">
      <c r="C201" s="7"/>
      <c r="D201" s="64"/>
      <c r="E201" s="54"/>
      <c r="F201" s="4"/>
      <c r="G201" s="4"/>
      <c r="H201" s="4"/>
      <c r="I201" s="4"/>
      <c r="M201" s="54"/>
      <c r="N201" s="54"/>
      <c r="O201" s="54"/>
      <c r="P201" s="54"/>
      <c r="Q201" s="54"/>
      <c r="R201" s="54"/>
    </row>
    <row r="202" spans="3:18">
      <c r="C202" s="7"/>
      <c r="D202" s="64"/>
      <c r="E202" s="54"/>
      <c r="F202" s="4"/>
      <c r="G202" s="4"/>
      <c r="H202" s="4"/>
      <c r="I202" s="4"/>
      <c r="M202" s="54"/>
      <c r="N202" s="54"/>
      <c r="O202" s="54"/>
      <c r="P202" s="54"/>
      <c r="Q202" s="54"/>
      <c r="R202" s="54"/>
    </row>
    <row r="203" spans="3:18">
      <c r="C203" s="7"/>
      <c r="D203" s="64"/>
      <c r="E203" s="54"/>
      <c r="F203" s="4"/>
      <c r="G203" s="4"/>
      <c r="H203" s="4"/>
      <c r="I203" s="4"/>
      <c r="M203" s="54"/>
      <c r="N203" s="54"/>
      <c r="O203" s="54"/>
      <c r="P203" s="54"/>
      <c r="Q203" s="54"/>
      <c r="R203" s="54"/>
    </row>
    <row r="204" spans="3:18">
      <c r="C204" s="7"/>
      <c r="D204" s="64"/>
      <c r="E204" s="54"/>
      <c r="F204" s="4"/>
      <c r="G204" s="4"/>
      <c r="H204" s="4"/>
      <c r="I204" s="4"/>
      <c r="M204" s="54"/>
      <c r="N204" s="54"/>
      <c r="O204" s="54"/>
      <c r="P204" s="54"/>
      <c r="Q204" s="54"/>
      <c r="R204" s="54"/>
    </row>
    <row r="205" spans="3:18">
      <c r="C205" s="7"/>
      <c r="D205" s="64"/>
      <c r="E205" s="54"/>
      <c r="F205" s="4"/>
      <c r="G205" s="4"/>
      <c r="H205" s="4"/>
      <c r="I205" s="4"/>
      <c r="M205" s="54"/>
      <c r="N205" s="54"/>
      <c r="O205" s="54"/>
      <c r="P205" s="54"/>
      <c r="Q205" s="54"/>
      <c r="R205" s="54"/>
    </row>
    <row r="206" spans="3:18">
      <c r="C206" s="7"/>
      <c r="D206" s="64"/>
      <c r="E206" s="54"/>
      <c r="F206" s="4"/>
      <c r="G206" s="4"/>
      <c r="H206" s="4"/>
      <c r="I206" s="4"/>
      <c r="M206" s="54"/>
      <c r="N206" s="54"/>
      <c r="O206" s="54"/>
      <c r="P206" s="54"/>
      <c r="Q206" s="54"/>
      <c r="R206" s="54"/>
    </row>
    <row r="207" spans="3:18">
      <c r="C207" s="7"/>
      <c r="D207" s="64"/>
      <c r="E207" s="54"/>
      <c r="F207" s="4"/>
      <c r="G207" s="4"/>
      <c r="H207" s="4"/>
      <c r="I207" s="4"/>
      <c r="M207" s="54"/>
      <c r="N207" s="54"/>
      <c r="O207" s="54"/>
      <c r="P207" s="54"/>
      <c r="Q207" s="54"/>
      <c r="R207" s="54"/>
    </row>
    <row r="208" spans="3:18">
      <c r="C208" s="7"/>
      <c r="D208" s="64"/>
      <c r="E208" s="54"/>
      <c r="F208" s="4"/>
      <c r="G208" s="4"/>
      <c r="H208" s="4"/>
      <c r="I208" s="4"/>
    </row>
    <row r="209" spans="3:9">
      <c r="C209" s="7"/>
      <c r="D209" s="64"/>
      <c r="E209" s="54"/>
      <c r="F209" s="4"/>
      <c r="G209" s="4"/>
      <c r="H209" s="4"/>
      <c r="I209" s="4"/>
    </row>
  </sheetData>
  <autoFilter ref="A6:T117" xr:uid="{CCCABA75-5BBE-CE43-B9F7-17EC3F665401}"/>
  <pageMargins left="0.7" right="0.7" top="0.75" bottom="0.75" header="0.3" footer="0.3"/>
  <pageSetup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3CF4E-982B-F64A-90C0-F8C4D2081E9D}">
  <dimension ref="A1:J59"/>
  <sheetViews>
    <sheetView topLeftCell="A18" workbookViewId="0">
      <selection activeCell="E28" sqref="E28:E29"/>
    </sheetView>
  </sheetViews>
  <sheetFormatPr baseColWidth="10" defaultRowHeight="16"/>
  <cols>
    <col min="1" max="1" width="16.5" customWidth="1"/>
    <col min="3" max="3" width="28" customWidth="1"/>
    <col min="5" max="5" width="49.1640625" customWidth="1"/>
    <col min="6" max="6" width="11.6640625" bestFit="1" customWidth="1"/>
  </cols>
  <sheetData>
    <row r="1" spans="1:10">
      <c r="A1" t="s">
        <v>150</v>
      </c>
      <c r="C1">
        <f>Vehicle!B11</f>
        <v>3000</v>
      </c>
      <c r="J1" s="3"/>
    </row>
    <row r="2" spans="1:10" ht="18">
      <c r="A2" t="s">
        <v>834</v>
      </c>
      <c r="C2" s="3">
        <f>Vehicle!B5</f>
        <v>1374661192.9355617</v>
      </c>
      <c r="D2" t="s">
        <v>5</v>
      </c>
      <c r="I2" s="104"/>
    </row>
    <row r="3" spans="1:10">
      <c r="A3" t="s">
        <v>834</v>
      </c>
      <c r="C3" s="4">
        <f>Vehicle!D5</f>
        <v>43.561279078396474</v>
      </c>
      <c r="D3" t="s">
        <v>6</v>
      </c>
      <c r="H3" s="3"/>
      <c r="I3" s="3"/>
    </row>
    <row r="4" spans="1:10">
      <c r="A4" t="s">
        <v>157</v>
      </c>
      <c r="C4" s="3">
        <f>C7*3600*24*365.26</f>
        <v>2674461586.9081182</v>
      </c>
      <c r="D4" t="s">
        <v>5</v>
      </c>
    </row>
    <row r="5" spans="1:10">
      <c r="A5" t="s">
        <v>157</v>
      </c>
      <c r="C5" s="3">
        <f>C4/3600/24</f>
        <v>30954.416515140256</v>
      </c>
      <c r="D5" t="s">
        <v>476</v>
      </c>
    </row>
    <row r="6" spans="1:10">
      <c r="A6" t="s">
        <v>157</v>
      </c>
      <c r="C6" s="4">
        <f>Vehicle!B10</f>
        <v>63.561279078396474</v>
      </c>
      <c r="D6" t="s">
        <v>6</v>
      </c>
    </row>
    <row r="7" spans="1:10">
      <c r="A7" t="s">
        <v>160</v>
      </c>
      <c r="C7" s="4">
        <f>C6*1.3333</f>
        <v>84.74625339522602</v>
      </c>
      <c r="D7" t="s">
        <v>6</v>
      </c>
    </row>
    <row r="8" spans="1:10">
      <c r="A8" t="s">
        <v>191</v>
      </c>
      <c r="C8" s="4">
        <f>5*10000000</f>
        <v>50000000</v>
      </c>
      <c r="D8" t="s">
        <v>166</v>
      </c>
      <c r="E8" t="s">
        <v>739</v>
      </c>
    </row>
    <row r="9" spans="1:10">
      <c r="C9" s="3">
        <f>C8*Conversion!C38</f>
        <v>4320000000</v>
      </c>
      <c r="D9" t="s">
        <v>772</v>
      </c>
    </row>
    <row r="10" spans="1:10">
      <c r="C10" s="3"/>
    </row>
    <row r="11" spans="1:10">
      <c r="A11" t="s">
        <v>151</v>
      </c>
      <c r="C11" s="16">
        <f>1*18775</f>
        <v>18775</v>
      </c>
      <c r="D11" t="s">
        <v>164</v>
      </c>
      <c r="E11" t="s">
        <v>163</v>
      </c>
    </row>
    <row r="12" spans="1:10">
      <c r="A12" t="s">
        <v>152</v>
      </c>
      <c r="C12" s="3">
        <f>(C11*C1)/Conversion!B2</f>
        <v>154209.44558521561</v>
      </c>
      <c r="D12" t="s">
        <v>773</v>
      </c>
    </row>
    <row r="13" spans="1:10">
      <c r="C13" s="3">
        <f>C12*Conversion!B38</f>
        <v>1784.8315461251805</v>
      </c>
      <c r="D13" t="s">
        <v>166</v>
      </c>
    </row>
    <row r="14" spans="1:10">
      <c r="C14" s="3"/>
      <c r="E14" t="s">
        <v>562</v>
      </c>
    </row>
    <row r="15" spans="1:10">
      <c r="A15" t="s">
        <v>222</v>
      </c>
      <c r="C15" s="54">
        <f>SUM(Crops!AD:AD)*Conversion!B33</f>
        <v>102010.79220655339</v>
      </c>
      <c r="D15" t="s">
        <v>164</v>
      </c>
      <c r="E15" t="s">
        <v>560</v>
      </c>
    </row>
    <row r="16" spans="1:10">
      <c r="C16" s="54">
        <f>C15/Conversion!B2</f>
        <v>279.29032773868141</v>
      </c>
      <c r="D16" t="s">
        <v>774</v>
      </c>
      <c r="E16" t="s">
        <v>561</v>
      </c>
    </row>
    <row r="17" spans="1:9">
      <c r="C17" s="4">
        <f>C15*Conversion!B37</f>
        <v>3.2325269414199238</v>
      </c>
      <c r="D17" t="s">
        <v>166</v>
      </c>
      <c r="E17" t="s">
        <v>763</v>
      </c>
    </row>
    <row r="18" spans="1:9">
      <c r="C18" s="4"/>
      <c r="E18" t="s">
        <v>562</v>
      </c>
    </row>
    <row r="19" spans="1:9">
      <c r="A19" t="s">
        <v>768</v>
      </c>
      <c r="E19" s="4" t="s">
        <v>762</v>
      </c>
    </row>
    <row r="20" spans="1:9">
      <c r="E20" s="4"/>
    </row>
    <row r="21" spans="1:9">
      <c r="C21" t="s">
        <v>800</v>
      </c>
      <c r="D21" t="s">
        <v>798</v>
      </c>
      <c r="E21" s="4" t="s">
        <v>799</v>
      </c>
    </row>
    <row r="22" spans="1:9">
      <c r="A22" t="s">
        <v>796</v>
      </c>
      <c r="D22" s="3">
        <v>1000</v>
      </c>
      <c r="E22" s="3">
        <v>100</v>
      </c>
      <c r="G22" t="s">
        <v>559</v>
      </c>
    </row>
    <row r="23" spans="1:9">
      <c r="A23" t="s">
        <v>882</v>
      </c>
      <c r="C23">
        <v>3500</v>
      </c>
      <c r="D23" s="3"/>
      <c r="E23" s="3"/>
      <c r="G23" t="s">
        <v>883</v>
      </c>
    </row>
    <row r="24" spans="1:9">
      <c r="A24" t="s">
        <v>797</v>
      </c>
      <c r="C24">
        <v>0.1</v>
      </c>
      <c r="D24" s="3">
        <v>100</v>
      </c>
      <c r="E24" s="3">
        <v>1</v>
      </c>
    </row>
    <row r="25" spans="1:9">
      <c r="A25" t="s">
        <v>764</v>
      </c>
      <c r="C25">
        <f>24-8</f>
        <v>16</v>
      </c>
      <c r="D25" s="4">
        <v>12</v>
      </c>
      <c r="E25" s="4">
        <v>0.5</v>
      </c>
    </row>
    <row r="26" spans="1:9">
      <c r="A26" t="s">
        <v>153</v>
      </c>
      <c r="C26">
        <v>266</v>
      </c>
      <c r="D26">
        <v>266</v>
      </c>
      <c r="E26">
        <v>266</v>
      </c>
      <c r="G26" t="s">
        <v>563</v>
      </c>
    </row>
    <row r="27" spans="1:9">
      <c r="A27" t="s">
        <v>322</v>
      </c>
      <c r="C27" s="3">
        <f>Vehicle!C31+Vehicle!C33</f>
        <v>11476408.735817196</v>
      </c>
      <c r="D27" s="3">
        <f>Vehicle!C32+Vehicle!C35</f>
        <v>1680822.5916637843</v>
      </c>
      <c r="E27" s="3">
        <f>Vehicle!C37-C27-D27</f>
        <v>24765027.797674604</v>
      </c>
    </row>
    <row r="28" spans="1:9">
      <c r="A28" t="s">
        <v>766</v>
      </c>
      <c r="C28" s="3">
        <f>C29*1000/C25</f>
        <v>151005378102.85782</v>
      </c>
      <c r="D28" s="3">
        <f>(D22*D27/D26)*1000</f>
        <v>6318881923.5480614</v>
      </c>
      <c r="E28" s="3">
        <f>(E22*E27/E26)*1000</f>
        <v>9310160826.1934586</v>
      </c>
      <c r="G28" t="s">
        <v>767</v>
      </c>
    </row>
    <row r="29" spans="1:9">
      <c r="A29" t="s">
        <v>165</v>
      </c>
      <c r="C29" s="3">
        <f>(C23/C26*C25)*C27</f>
        <v>2416086049.6457253</v>
      </c>
      <c r="D29" s="3">
        <f>((D22*D25+D24*(24-D25))*D27/D26)</f>
        <v>83409241.390834406</v>
      </c>
      <c r="E29" s="3">
        <f>((E22*E25+E24*(24-E25))*E27/E26)</f>
        <v>6842968.2072521932</v>
      </c>
      <c r="G29" t="s">
        <v>765</v>
      </c>
      <c r="I29" s="3">
        <f>SUM(D29:E29)</f>
        <v>90252209.598086596</v>
      </c>
    </row>
    <row r="30" spans="1:9">
      <c r="C30" s="3"/>
    </row>
    <row r="31" spans="1:9">
      <c r="A31" t="s">
        <v>171</v>
      </c>
      <c r="C31" s="3">
        <v>0.04</v>
      </c>
      <c r="D31" t="s">
        <v>172</v>
      </c>
    </row>
    <row r="32" spans="1:9">
      <c r="A32" t="s">
        <v>176</v>
      </c>
      <c r="C32" s="3">
        <f>SUM(C28:E28)*C31</f>
        <v>6665376834.1039734</v>
      </c>
      <c r="D32" s="42" t="s">
        <v>49</v>
      </c>
    </row>
    <row r="33" spans="1:6">
      <c r="C33" s="3"/>
      <c r="D33" s="42"/>
    </row>
    <row r="34" spans="1:6">
      <c r="A34" t="s">
        <v>769</v>
      </c>
      <c r="C34" s="3">
        <f>C13+C8+C17+SUM(C28:E28)</f>
        <v>166684422640.66342</v>
      </c>
      <c r="D34" s="42"/>
      <c r="E34" s="4">
        <f>C34/10000000</f>
        <v>16668.442264066343</v>
      </c>
    </row>
    <row r="35" spans="1:6">
      <c r="A35" t="s">
        <v>770</v>
      </c>
      <c r="C35" s="3">
        <f>C12+C9+C16+SUM(C29:E29)</f>
        <v>6826492747.9797249</v>
      </c>
      <c r="D35" t="s">
        <v>221</v>
      </c>
      <c r="E35" s="4">
        <f>C35/10000000</f>
        <v>682.64927479797245</v>
      </c>
      <c r="F35" t="s">
        <v>564</v>
      </c>
    </row>
    <row r="36" spans="1:6">
      <c r="A36" t="s">
        <v>735</v>
      </c>
      <c r="C36" s="3">
        <f>C35*Conversion!B2</f>
        <v>2493376476199.5947</v>
      </c>
      <c r="D36" t="s">
        <v>221</v>
      </c>
      <c r="E36" s="4"/>
    </row>
    <row r="37" spans="1:6">
      <c r="C37" s="3"/>
      <c r="E37" s="3"/>
    </row>
    <row r="38" spans="1:6">
      <c r="A38" t="s">
        <v>566</v>
      </c>
      <c r="B38" t="s">
        <v>567</v>
      </c>
    </row>
    <row r="39" spans="1:6">
      <c r="A39" t="s">
        <v>884</v>
      </c>
      <c r="C39">
        <v>0.2</v>
      </c>
    </row>
    <row r="40" spans="1:6">
      <c r="A40" t="s">
        <v>170</v>
      </c>
      <c r="C40" s="50">
        <f>(100+3000)/7000000000/Conversion!C4/C39</f>
        <v>2.5260451552572538E-10</v>
      </c>
      <c r="D40" t="s">
        <v>168</v>
      </c>
      <c r="E40" t="s">
        <v>885</v>
      </c>
      <c r="F40" t="s">
        <v>53</v>
      </c>
    </row>
    <row r="41" spans="1:6">
      <c r="A41" t="s">
        <v>173</v>
      </c>
      <c r="C41" s="50">
        <v>1E-3</v>
      </c>
      <c r="D41" t="s">
        <v>161</v>
      </c>
    </row>
    <row r="42" spans="1:6">
      <c r="A42" t="s">
        <v>156</v>
      </c>
      <c r="C42" s="3">
        <v>1.1000000000000001</v>
      </c>
    </row>
    <row r="43" spans="1:6">
      <c r="A43" t="s">
        <v>777</v>
      </c>
      <c r="C43" s="3">
        <f>C34*C41</f>
        <v>166684422.64066342</v>
      </c>
    </row>
    <row r="44" spans="1:6">
      <c r="A44" t="s">
        <v>174</v>
      </c>
      <c r="C44" s="3">
        <f>C36*C40*Conversion!C4</f>
        <v>5521047.9115848159</v>
      </c>
      <c r="D44" t="s">
        <v>49</v>
      </c>
      <c r="E44" s="3">
        <f>C35*C40*Conversion!C4</f>
        <v>15115.805370526532</v>
      </c>
    </row>
    <row r="45" spans="1:6">
      <c r="A45" t="s">
        <v>575</v>
      </c>
      <c r="C45" s="3">
        <f>C58</f>
        <v>126227.808</v>
      </c>
    </row>
    <row r="46" spans="1:6">
      <c r="C46" s="41"/>
    </row>
    <row r="47" spans="1:6">
      <c r="A47" t="s">
        <v>175</v>
      </c>
      <c r="C47" s="21">
        <f>C7*(C44-C45)</f>
        <v>457190791.52005827</v>
      </c>
      <c r="D47" t="s">
        <v>49</v>
      </c>
      <c r="E47" t="s">
        <v>776</v>
      </c>
      <c r="F47" s="4"/>
    </row>
    <row r="48" spans="1:6">
      <c r="C48" s="4">
        <f>C47/Conversion!$D$31</f>
        <v>4.3018048986807464</v>
      </c>
      <c r="D48" t="s">
        <v>178</v>
      </c>
    </row>
    <row r="49" spans="1:5">
      <c r="C49" s="3"/>
    </row>
    <row r="50" spans="1:5">
      <c r="A50" t="s">
        <v>570</v>
      </c>
      <c r="E50" t="s">
        <v>576</v>
      </c>
    </row>
    <row r="51" spans="1:5">
      <c r="A51" t="s">
        <v>571</v>
      </c>
      <c r="C51">
        <f>Geometry!E45</f>
        <v>849486.65353067999</v>
      </c>
    </row>
    <row r="52" spans="1:5">
      <c r="E52" s="3">
        <f>Geometry!E49</f>
        <v>13218581253.604702</v>
      </c>
    </row>
    <row r="53" spans="1:5">
      <c r="A53" t="s">
        <v>568</v>
      </c>
      <c r="C53" s="3">
        <f>0.02*10000/6.022E+23*18.0152/1000</f>
        <v>5.983128528727997E-24</v>
      </c>
      <c r="D53" t="s">
        <v>244</v>
      </c>
    </row>
    <row r="54" spans="1:5">
      <c r="A54" t="s">
        <v>569</v>
      </c>
      <c r="C54" s="3">
        <f>C53*Conversion!$C$3</f>
        <v>1.8880929979090003E-16</v>
      </c>
      <c r="D54" t="s">
        <v>574</v>
      </c>
    </row>
    <row r="55" spans="1:5">
      <c r="A55" t="s">
        <v>572</v>
      </c>
      <c r="C55" s="3">
        <f>4/1000</f>
        <v>4.0000000000000001E-3</v>
      </c>
      <c r="D55" t="s">
        <v>244</v>
      </c>
    </row>
    <row r="56" spans="1:5">
      <c r="C56" s="3">
        <f>C55*Conversion!$C$3</f>
        <v>126227.808</v>
      </c>
      <c r="D56" t="s">
        <v>574</v>
      </c>
    </row>
    <row r="57" spans="1:5">
      <c r="A57" t="s">
        <v>573</v>
      </c>
      <c r="C57">
        <f>4/1000</f>
        <v>4.0000000000000001E-3</v>
      </c>
      <c r="D57" t="s">
        <v>244</v>
      </c>
      <c r="E57" s="73">
        <f>C58/E52</f>
        <v>9.5492704987214676E-6</v>
      </c>
    </row>
    <row r="58" spans="1:5">
      <c r="C58" s="3">
        <f>C57*Conversion!$C$3</f>
        <v>126227.808</v>
      </c>
      <c r="D58" t="s">
        <v>574</v>
      </c>
    </row>
    <row r="59" spans="1:5">
      <c r="A59" t="s">
        <v>577</v>
      </c>
      <c r="C59" s="3">
        <f>C58+C56+C54</f>
        <v>252455.61600000001</v>
      </c>
    </row>
  </sheetData>
  <pageMargins left="0.7" right="0.7" top="0.75" bottom="0.75" header="0.3" footer="0.3"/>
  <pageSetup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73055-BCCC-804F-A1C5-A1102032AA92}">
  <dimension ref="A1:R447"/>
  <sheetViews>
    <sheetView zoomScale="89" workbookViewId="0">
      <selection activeCell="H14" sqref="H14"/>
    </sheetView>
  </sheetViews>
  <sheetFormatPr baseColWidth="10" defaultRowHeight="16"/>
  <cols>
    <col min="1" max="1" width="15.83203125" bestFit="1" customWidth="1"/>
    <col min="2" max="2" width="6.1640625" customWidth="1"/>
    <col min="3" max="3" width="11.33203125" customWidth="1"/>
    <col min="4" max="4" width="11.5" customWidth="1"/>
    <col min="5" max="5" width="12.33203125" customWidth="1"/>
    <col min="6" max="6" width="12.6640625" bestFit="1" customWidth="1"/>
    <col min="7" max="7" width="22" bestFit="1" customWidth="1"/>
    <col min="8" max="8" width="13.33203125" customWidth="1"/>
    <col min="9" max="9" width="12.1640625" bestFit="1" customWidth="1"/>
    <col min="10" max="10" width="11.6640625" customWidth="1"/>
    <col min="11" max="11" width="12.6640625" bestFit="1" customWidth="1"/>
    <col min="12" max="12" width="12.6640625" customWidth="1"/>
    <col min="14" max="14" width="12.83203125" bestFit="1" customWidth="1"/>
    <col min="15" max="15" width="11.33203125" customWidth="1"/>
    <col min="18" max="18" width="10.83203125" style="41"/>
    <col min="19" max="19" width="11.6640625" bestFit="1" customWidth="1"/>
    <col min="21" max="21" width="11.1640625" bestFit="1" customWidth="1"/>
  </cols>
  <sheetData>
    <row r="1" spans="1:18">
      <c r="A1" t="s">
        <v>910</v>
      </c>
      <c r="C1" t="s">
        <v>905</v>
      </c>
    </row>
    <row r="2" spans="1:18">
      <c r="A2" s="19" t="s">
        <v>63</v>
      </c>
      <c r="B2" s="19"/>
      <c r="C2" s="19"/>
      <c r="D2" s="19"/>
      <c r="E2" s="19"/>
      <c r="F2" s="19"/>
      <c r="G2" s="19"/>
    </row>
    <row r="3" spans="1:18">
      <c r="A3" s="19" t="s">
        <v>64</v>
      </c>
      <c r="B3" s="19"/>
      <c r="C3" s="3">
        <f>Vehicle!B58+Vehicle!B70</f>
        <v>261716197459.12839</v>
      </c>
      <c r="R3"/>
    </row>
    <row r="4" spans="1:18" ht="18">
      <c r="A4" s="19" t="s">
        <v>51</v>
      </c>
      <c r="B4" s="19"/>
      <c r="C4" s="3">
        <f>Vehicle!B59</f>
        <v>60456192449.128387</v>
      </c>
      <c r="E4" s="4">
        <f>C4/G18</f>
        <v>9425.680893000841</v>
      </c>
      <c r="P4" s="57"/>
      <c r="Q4" s="57"/>
    </row>
    <row r="5" spans="1:18">
      <c r="A5" s="19" t="s">
        <v>7</v>
      </c>
      <c r="B5" s="19"/>
      <c r="C5">
        <f>Vehicle!B2</f>
        <v>7.8400000000000007</v>
      </c>
      <c r="G5" s="4"/>
      <c r="M5" s="4"/>
      <c r="N5" s="4"/>
      <c r="O5" s="4"/>
      <c r="P5" s="4"/>
      <c r="Q5" s="4"/>
      <c r="R5" s="4"/>
    </row>
    <row r="6" spans="1:18">
      <c r="A6" s="19" t="s">
        <v>179</v>
      </c>
      <c r="B6" s="19"/>
      <c r="C6" s="3">
        <f>'Power Consumption'!C40</f>
        <v>2.5260451552572538E-10</v>
      </c>
      <c r="D6" t="s">
        <v>168</v>
      </c>
      <c r="E6" t="s">
        <v>944</v>
      </c>
      <c r="M6" s="4"/>
      <c r="N6" s="4"/>
      <c r="O6" s="4"/>
      <c r="P6" s="4"/>
      <c r="Q6" s="4"/>
      <c r="R6" s="4"/>
    </row>
    <row r="7" spans="1:18">
      <c r="A7" s="19" t="s">
        <v>16</v>
      </c>
      <c r="B7" s="19"/>
      <c r="C7" s="3" t="s">
        <v>911</v>
      </c>
      <c r="D7" t="s">
        <v>912</v>
      </c>
      <c r="F7" t="s">
        <v>914</v>
      </c>
      <c r="G7" t="s">
        <v>913</v>
      </c>
      <c r="H7" t="s">
        <v>916</v>
      </c>
      <c r="I7" t="s">
        <v>915</v>
      </c>
      <c r="J7" t="s">
        <v>900</v>
      </c>
      <c r="K7" s="5" t="s">
        <v>899</v>
      </c>
      <c r="L7" s="5"/>
      <c r="M7" s="4"/>
      <c r="N7" s="4"/>
      <c r="O7" s="4"/>
      <c r="P7" s="4"/>
      <c r="Q7" s="4"/>
      <c r="R7" s="4"/>
    </row>
    <row r="8" spans="1:18" ht="18">
      <c r="A8" t="s">
        <v>907</v>
      </c>
      <c r="C8" s="57">
        <f>Mission!B6</f>
        <v>45.5</v>
      </c>
      <c r="D8">
        <f>C8*Conversion!$B$5</f>
        <v>4.3046185E+17</v>
      </c>
      <c r="E8">
        <f>Mission!B18</f>
        <v>9833546046732292</v>
      </c>
      <c r="F8" s="3">
        <f>Mission!D18</f>
        <v>68517023.428875133</v>
      </c>
      <c r="G8" s="5">
        <f>F8/Conversion!$C$3</f>
        <v>2.1712180387026963</v>
      </c>
      <c r="H8" s="3">
        <f>H9*2</f>
        <v>1510408906.7955492</v>
      </c>
      <c r="I8" s="5">
        <f>H8/Conversion!$C$3</f>
        <v>47.862952885803075</v>
      </c>
      <c r="K8" s="5"/>
      <c r="L8" s="5"/>
      <c r="M8" s="4"/>
      <c r="N8" s="4"/>
      <c r="O8" s="4"/>
      <c r="P8" s="4"/>
      <c r="Q8" s="4"/>
      <c r="R8" s="4"/>
    </row>
    <row r="9" spans="1:18">
      <c r="A9" t="s">
        <v>917</v>
      </c>
      <c r="C9" s="4">
        <f>C8/2</f>
        <v>22.75</v>
      </c>
      <c r="D9">
        <f>D8/2</f>
        <v>2.15230925E+17</v>
      </c>
      <c r="E9" s="4">
        <f>Mission!B19</f>
        <v>4916773023366146</v>
      </c>
      <c r="F9" s="3">
        <f>Mission!D19</f>
        <v>34258511.714437567</v>
      </c>
      <c r="G9" s="4">
        <f>F9/$C$14</f>
        <v>1.085586727585037</v>
      </c>
      <c r="H9" s="3">
        <f>SQRT(($D$9/$C$16)^2+2*$D$9/$C$5)</f>
        <v>755204453.39777458</v>
      </c>
      <c r="I9" s="4">
        <f>H9/Conversion!$C$3</f>
        <v>23.931476442901538</v>
      </c>
      <c r="J9" s="3">
        <f>SQRT(1+($C$5*F9/$C$16)^2)</f>
        <v>1.3426290479811602</v>
      </c>
      <c r="K9" s="5">
        <f>$C$5*F9/J9</f>
        <v>200045375.3365832</v>
      </c>
      <c r="L9" s="133">
        <f>K9/C16</f>
        <v>0.66727954622722097</v>
      </c>
      <c r="M9" s="4"/>
      <c r="N9" s="4"/>
      <c r="O9" s="4"/>
      <c r="P9" s="4"/>
      <c r="Q9" s="4"/>
      <c r="R9" s="4"/>
    </row>
    <row r="10" spans="1:18">
      <c r="A10" s="25"/>
      <c r="B10" s="132"/>
      <c r="C10" s="22"/>
      <c r="D10" s="3"/>
      <c r="E10" s="3"/>
      <c r="F10" s="4"/>
      <c r="G10" s="4"/>
      <c r="J10" s="3"/>
      <c r="M10" s="4"/>
      <c r="N10" s="4"/>
      <c r="O10" s="4"/>
      <c r="P10" s="4"/>
      <c r="Q10" s="4"/>
      <c r="R10" s="4"/>
    </row>
    <row r="11" spans="1:18">
      <c r="A11" s="19" t="s">
        <v>11</v>
      </c>
      <c r="B11" s="19"/>
      <c r="C11">
        <f>Conversion!B3*0.1</f>
        <v>3155760</v>
      </c>
      <c r="D11">
        <v>0.25</v>
      </c>
      <c r="F11" s="5">
        <f>2*C16/C5*ACOSH(C5*D8/(2*D16)+1)</f>
        <v>281202605.06160599</v>
      </c>
      <c r="G11" s="5">
        <f>F11/Conversion!$C$3</f>
        <v>8.9109558192314005</v>
      </c>
      <c r="H11" s="3"/>
      <c r="M11" s="4"/>
      <c r="N11" s="4"/>
      <c r="O11" s="4"/>
      <c r="P11" s="3"/>
      <c r="Q11" s="3"/>
      <c r="R11" s="4"/>
    </row>
    <row r="12" spans="1:18">
      <c r="A12" s="19" t="s">
        <v>906</v>
      </c>
      <c r="B12" s="19"/>
      <c r="C12" s="3">
        <f>'Power Consumption'!C44*D11</f>
        <v>1380261.977896204</v>
      </c>
      <c r="F12" t="s">
        <v>946</v>
      </c>
      <c r="G12">
        <f>D8-E8</f>
        <v>4.2062830395326771E+17</v>
      </c>
      <c r="M12" s="3"/>
      <c r="N12" s="3"/>
      <c r="O12" s="3"/>
      <c r="P12" s="3"/>
      <c r="Q12" s="51"/>
    </row>
    <row r="13" spans="1:18">
      <c r="A13" s="19" t="s">
        <v>74</v>
      </c>
      <c r="B13" s="19"/>
      <c r="C13" s="44">
        <f>SUM(G18:G82)</f>
        <v>145081303.58598387</v>
      </c>
      <c r="D13" s="24">
        <f>C13/C4</f>
        <v>2.3997757336118104E-3</v>
      </c>
      <c r="F13" t="s">
        <v>945</v>
      </c>
      <c r="G13">
        <f>G12/K9</f>
        <v>2102664474.225141</v>
      </c>
      <c r="H13">
        <f>G13/C14</f>
        <v>66.629416502685288</v>
      </c>
      <c r="M13" s="3"/>
      <c r="N13" s="3"/>
      <c r="O13" s="3"/>
      <c r="P13" s="3"/>
      <c r="Q13" s="3"/>
    </row>
    <row r="14" spans="1:18">
      <c r="A14" t="s">
        <v>902</v>
      </c>
      <c r="C14">
        <f>Conversion!B3</f>
        <v>31557600</v>
      </c>
      <c r="M14" s="3"/>
      <c r="N14" s="3"/>
      <c r="O14" s="3"/>
      <c r="P14" s="3"/>
      <c r="Q14" s="3"/>
    </row>
    <row r="15" spans="1:18">
      <c r="A15" t="s">
        <v>0</v>
      </c>
      <c r="C15">
        <v>9460700000000000</v>
      </c>
      <c r="M15" s="3"/>
      <c r="N15" s="3"/>
      <c r="O15" s="3"/>
      <c r="P15" s="3"/>
      <c r="Q15" s="3"/>
    </row>
    <row r="16" spans="1:18">
      <c r="A16" t="s">
        <v>15</v>
      </c>
      <c r="C16" s="3">
        <f>Conversion!B6</f>
        <v>299792458</v>
      </c>
      <c r="D16" s="3">
        <f>C16*C16</f>
        <v>8.987551787368176E+16</v>
      </c>
      <c r="E16" s="3"/>
      <c r="M16" s="3"/>
      <c r="N16" s="3"/>
      <c r="O16" s="3"/>
      <c r="P16" s="3"/>
      <c r="Q16" s="3"/>
    </row>
    <row r="17" spans="1:18">
      <c r="A17" t="s">
        <v>909</v>
      </c>
      <c r="B17" t="s">
        <v>918</v>
      </c>
      <c r="C17" t="s">
        <v>908</v>
      </c>
      <c r="E17" t="s">
        <v>65</v>
      </c>
      <c r="F17" t="s">
        <v>54</v>
      </c>
      <c r="G17" t="s">
        <v>66</v>
      </c>
      <c r="H17" t="s">
        <v>192</v>
      </c>
      <c r="J17" t="s">
        <v>900</v>
      </c>
      <c r="K17" t="s">
        <v>899</v>
      </c>
      <c r="M17" t="s">
        <v>904</v>
      </c>
      <c r="N17" s="41" t="s">
        <v>901</v>
      </c>
      <c r="O17" s="41" t="s">
        <v>919</v>
      </c>
      <c r="P17" t="s">
        <v>8</v>
      </c>
      <c r="Q17" t="s">
        <v>903</v>
      </c>
      <c r="R17"/>
    </row>
    <row r="18" spans="1:18">
      <c r="A18">
        <f>IF(B18=2,0,IF(B18=0,C18,$G$8-C18))*$C$14</f>
        <v>0</v>
      </c>
      <c r="B18">
        <v>0</v>
      </c>
      <c r="C18">
        <v>0</v>
      </c>
      <c r="D18" s="4">
        <f>$C$16/$C$5*ASINH($C$5*A18*$C$14/$C$16)/$C$14</f>
        <v>0</v>
      </c>
      <c r="E18" s="21">
        <f>C3+C4</f>
        <v>322172389908.25677</v>
      </c>
      <c r="F18" s="21">
        <f>IF(B18=1,0,IF(B18=3,0,IF(E18&gt;$C$3,E18*$C$5,0)))</f>
        <v>2525831536880.7334</v>
      </c>
      <c r="G18" s="21">
        <f>F18*$C$14*$D$11*$C$6/1000+$C$12</f>
        <v>6413986.7597279791</v>
      </c>
      <c r="H18" s="43">
        <f>1-(($E$18-E18)/$C$4)</f>
        <v>1</v>
      </c>
      <c r="I18" s="21">
        <f>G18</f>
        <v>6413986.7597279791</v>
      </c>
      <c r="J18" s="3">
        <f>IF(B18=1,$J$9,SQRT(1+($C$5*A18/$C$16)^2))</f>
        <v>1</v>
      </c>
      <c r="K18" s="3">
        <f>IF(B18=1,$K$9,$C$5*A18/J18)</f>
        <v>0</v>
      </c>
      <c r="L18" s="41">
        <f>K18/$C$16</f>
        <v>0</v>
      </c>
      <c r="M18" s="3">
        <f>K18/J18</f>
        <v>0</v>
      </c>
      <c r="N18" s="41">
        <f>K18/$C$16</f>
        <v>0</v>
      </c>
      <c r="O18" s="3">
        <f>$D$16/$C$5*(J18-1)</f>
        <v>0</v>
      </c>
      <c r="P18" s="3">
        <v>0</v>
      </c>
      <c r="Q18">
        <f>P18/$C$15</f>
        <v>0</v>
      </c>
      <c r="R18"/>
    </row>
    <row r="19" spans="1:18">
      <c r="A19">
        <f>IF(B19=3,0,IF(B19=1,0,IF(B19=0,C19,$G$8-C19)))*$C$14</f>
        <v>3425851.1714437562</v>
      </c>
      <c r="B19">
        <v>0</v>
      </c>
      <c r="C19">
        <f>C18+$G$9/10</f>
        <v>0.1085586727585037</v>
      </c>
      <c r="D19" s="4">
        <f>$C$16/$C$5*ASINH($C$5*A19*$C$14/$C$16)/$C$14</f>
        <v>18.839717335305078</v>
      </c>
      <c r="E19" s="21">
        <f>E18-G18-$C$12</f>
        <v>322164595659.51917</v>
      </c>
      <c r="F19" s="21">
        <f t="shared" ref="F19:F82" si="0">IF(B19=1,0,IF(B19=3,0,IF(E19&gt;$C$3,E19*$C$5,0)))</f>
        <v>2525770429970.6304</v>
      </c>
      <c r="G19" s="21">
        <f>F19*$C$14*$D$11*$C$6/1000+$C$12</f>
        <v>6413864.9798850892</v>
      </c>
      <c r="H19" s="43">
        <f>1-(($E$18-E19)/$C$4)</f>
        <v>0.99987107608961368</v>
      </c>
      <c r="I19" s="21">
        <f>I18+G19</f>
        <v>12827851.739613067</v>
      </c>
      <c r="J19" s="3">
        <f t="shared" ref="J19:J82" si="1">IF(B19=1,$J$9,SQRT(1+($C$5*A19/$C$16)^2))</f>
        <v>1.0040052428174009</v>
      </c>
      <c r="K19" s="3">
        <f>IF(B19=1,$K$9,$C$5*A19/J19)</f>
        <v>26751526.823454898</v>
      </c>
      <c r="L19" s="41">
        <f>K19/$C$16</f>
        <v>8.9233488400348282E-2</v>
      </c>
      <c r="M19" s="3">
        <f>K19/J19</f>
        <v>26644807.898000404</v>
      </c>
      <c r="N19" s="41">
        <f t="shared" ref="N19:N82" si="2">K19/$C$16</f>
        <v>8.9233488400348282E-2</v>
      </c>
      <c r="O19" s="3">
        <f t="shared" ref="O19:O82" si="3">$D$16/$C$5*(J19-1)</f>
        <v>45914958217314.938</v>
      </c>
      <c r="P19" s="3">
        <f>IF(B19=0,O19,IF(B19=2,$D$8-O19,IF(B19=1,P18+$K$9*(C19-C18)*$C$14)))</f>
        <v>45914958217314.938</v>
      </c>
      <c r="Q19">
        <f>P19/$C$15</f>
        <v>4.8532305450246747E-3</v>
      </c>
      <c r="R19"/>
    </row>
    <row r="20" spans="1:18">
      <c r="A20">
        <f t="shared" ref="A20:A83" si="4">IF(B20=3,0,IF(B20=1,0,IF(B20=0,C20,$G$8-C20)))*$C$14</f>
        <v>6851702.3428875124</v>
      </c>
      <c r="B20">
        <v>0</v>
      </c>
      <c r="C20">
        <f t="shared" ref="C20:C28" si="5">C19+$G$9/10</f>
        <v>0.2171173455170074</v>
      </c>
      <c r="D20" s="4">
        <f t="shared" ref="D20:D41" si="6">$C$16/$C$5*ASINH($C$5*A20*$C$14/$C$16)/$C$14</f>
        <v>19.679614536787078</v>
      </c>
      <c r="E20" s="21">
        <f t="shared" ref="E20:E41" si="7">E19-G19-$C$12</f>
        <v>322156801532.5614</v>
      </c>
      <c r="F20" s="21">
        <f t="shared" si="0"/>
        <v>2525709324015.2817</v>
      </c>
      <c r="G20" s="21">
        <f t="shared" ref="G20:G83" si="8">F20*$C$14*$D$11*$C$6/1000+$C$12</f>
        <v>6413743.2019449286</v>
      </c>
      <c r="H20" s="43">
        <f t="shared" ref="H20:H41" si="9">1-(($E$18-E20)/$C$4)</f>
        <v>0.99974215419357593</v>
      </c>
      <c r="I20" s="21">
        <f t="shared" ref="I20:I41" si="10">I19+G20</f>
        <v>19241594.941557996</v>
      </c>
      <c r="J20" s="3">
        <f t="shared" si="1"/>
        <v>1.0159262327646195</v>
      </c>
      <c r="K20" s="3">
        <f t="shared" ref="K20:K83" si="11">IF(B20=1,$K$9,$C$5*A20/J20)</f>
        <v>52875242.941663362</v>
      </c>
      <c r="L20" s="41">
        <f t="shared" ref="L20:L82" si="12">K20/$C$16</f>
        <v>0.17637282570218416</v>
      </c>
      <c r="M20" s="3">
        <f t="shared" ref="M20:M82" si="13">K20/J20</f>
        <v>52046340.803480424</v>
      </c>
      <c r="N20" s="41">
        <f t="shared" si="2"/>
        <v>0.17637282570218416</v>
      </c>
      <c r="O20" s="3">
        <f t="shared" ref="O20:O42" si="14">$D$16/$C$5*(J20-1)</f>
        <v>182573777741960.78</v>
      </c>
      <c r="P20" s="3">
        <f t="shared" ref="P20:P83" si="15">IF(B20=0,O20,IF(B20=2,$D$8-O20,IF(B20=1,P19+$K$9*(C20-C19)*$C$14)))</f>
        <v>182573777741960.78</v>
      </c>
      <c r="Q20">
        <f t="shared" ref="Q20:Q83" si="16">P20/$C$15</f>
        <v>1.9298125692809281E-2</v>
      </c>
      <c r="R20"/>
    </row>
    <row r="21" spans="1:18">
      <c r="A21">
        <f t="shared" si="4"/>
        <v>10277553.514331268</v>
      </c>
      <c r="B21">
        <v>0</v>
      </c>
      <c r="C21">
        <f t="shared" si="5"/>
        <v>0.32567601827551107</v>
      </c>
      <c r="D21" s="4">
        <f t="shared" si="6"/>
        <v>20.1709229041147</v>
      </c>
      <c r="E21" s="21">
        <f t="shared" si="7"/>
        <v>322149007527.38153</v>
      </c>
      <c r="F21" s="21">
        <f t="shared" si="0"/>
        <v>2525648219014.6714</v>
      </c>
      <c r="G21" s="21">
        <f t="shared" si="8"/>
        <v>6413621.4259074628</v>
      </c>
      <c r="H21" s="43">
        <f t="shared" si="9"/>
        <v>0.99961323431185445</v>
      </c>
      <c r="I21" s="21">
        <f t="shared" si="10"/>
        <v>25655216.367465459</v>
      </c>
      <c r="J21" s="3">
        <f t="shared" si="1"/>
        <v>1.0354896177381268</v>
      </c>
      <c r="K21" s="3">
        <f t="shared" si="11"/>
        <v>77814415.685174614</v>
      </c>
      <c r="L21" s="41">
        <f t="shared" si="12"/>
        <v>0.25956095161398163</v>
      </c>
      <c r="M21" s="3">
        <f t="shared" si="13"/>
        <v>75147461.01959829</v>
      </c>
      <c r="N21" s="41">
        <f t="shared" si="2"/>
        <v>0.25956095161398163</v>
      </c>
      <c r="O21" s="3">
        <f t="shared" si="14"/>
        <v>406842828233819.44</v>
      </c>
      <c r="P21" s="3">
        <f t="shared" si="15"/>
        <v>406842828233819.44</v>
      </c>
      <c r="Q21">
        <f t="shared" si="16"/>
        <v>4.3003459388186858E-2</v>
      </c>
      <c r="R21"/>
    </row>
    <row r="22" spans="1:18">
      <c r="A22">
        <f t="shared" si="4"/>
        <v>13703404.685775025</v>
      </c>
      <c r="B22">
        <v>0</v>
      </c>
      <c r="C22">
        <f t="shared" si="5"/>
        <v>0.4342346910340148</v>
      </c>
      <c r="D22" s="4">
        <f t="shared" si="6"/>
        <v>20.519511738269102</v>
      </c>
      <c r="E22" s="21">
        <f t="shared" si="7"/>
        <v>322141213643.97772</v>
      </c>
      <c r="F22" s="21">
        <f t="shared" si="0"/>
        <v>2525587114968.7856</v>
      </c>
      <c r="G22" s="21">
        <f t="shared" si="8"/>
        <v>6413499.6517726658</v>
      </c>
      <c r="H22" s="43">
        <f t="shared" si="9"/>
        <v>0.99948431644441904</v>
      </c>
      <c r="I22" s="21">
        <f t="shared" si="10"/>
        <v>32068716.019238126</v>
      </c>
      <c r="J22" s="3">
        <f t="shared" si="1"/>
        <v>1.062273242474481</v>
      </c>
      <c r="K22" s="3">
        <f t="shared" si="11"/>
        <v>101136589.38279913</v>
      </c>
      <c r="L22" s="41">
        <f t="shared" si="12"/>
        <v>0.33735534928900424</v>
      </c>
      <c r="M22" s="3">
        <f t="shared" si="13"/>
        <v>95207697.35968262</v>
      </c>
      <c r="N22" s="41">
        <f t="shared" si="2"/>
        <v>0.33735534928900424</v>
      </c>
      <c r="O22" s="3">
        <f t="shared" si="14"/>
        <v>713882642483078</v>
      </c>
      <c r="P22" s="3">
        <f t="shared" si="15"/>
        <v>713882642483078</v>
      </c>
      <c r="Q22">
        <f t="shared" si="16"/>
        <v>7.5457697895829901E-2</v>
      </c>
      <c r="R22"/>
    </row>
    <row r="23" spans="1:18">
      <c r="A23">
        <f t="shared" ref="A23:A24" si="17">IF(B23=3,0,IF(B23=1,0,IF(B23=0,C23,$G$8-C23)))*$C$14</f>
        <v>17129255.857218783</v>
      </c>
      <c r="B23">
        <v>0</v>
      </c>
      <c r="C23">
        <f t="shared" si="5"/>
        <v>0.54279336379251852</v>
      </c>
      <c r="D23" s="4">
        <f t="shared" ref="D23:D24" si="18">$C$16/$C$5*ASINH($C$5*A23*$C$14/$C$16)/$C$14</f>
        <v>20.789898244243435</v>
      </c>
      <c r="E23" s="21">
        <f t="shared" ref="E23:E24" si="19">E22-G22-$C$12</f>
        <v>322133419882.34802</v>
      </c>
      <c r="F23" s="21">
        <f t="shared" si="0"/>
        <v>2525526011877.6089</v>
      </c>
      <c r="G23" s="21">
        <f t="shared" ref="G23:G24" si="20">F23*$C$14*$D$11*$C$6/1000+$C$12</f>
        <v>6413377.8795405077</v>
      </c>
      <c r="H23" s="43">
        <f t="shared" ref="H23:H24" si="21">1-(($E$18-E23)/$C$4)</f>
        <v>0.99935540059123729</v>
      </c>
      <c r="I23" s="21">
        <f t="shared" ref="I23:I24" si="22">I22+G23</f>
        <v>38482093.898778632</v>
      </c>
      <c r="J23" s="3">
        <f t="shared" si="1"/>
        <v>1.0957477766898271</v>
      </c>
      <c r="K23" s="3">
        <f t="shared" si="11"/>
        <v>122558647.87267523</v>
      </c>
      <c r="L23" s="41">
        <f>K23/$C$16</f>
        <v>0.40881164486357835</v>
      </c>
      <c r="M23" s="3">
        <f t="shared" ref="M23:M24" si="23">K23/J23</f>
        <v>111849323.79503961</v>
      </c>
      <c r="N23" s="41">
        <f t="shared" ref="N23:N24" si="24">K23/$C$16</f>
        <v>0.40881164486357835</v>
      </c>
      <c r="O23" s="3">
        <f t="shared" ref="O23:O24" si="25">$D$16/$C$5*(J23-1)</f>
        <v>1097625129496409.4</v>
      </c>
      <c r="P23" s="3">
        <f t="shared" ref="P23:P24" si="26">IF(B23=0,O23,IF(B23=2,$D$8-O23,IF(B23=1,P22+$K$9*(C23-C22)*$C$14)))</f>
        <v>1097625129496409.4</v>
      </c>
      <c r="Q23">
        <f t="shared" ref="Q23:Q24" si="27">P23/$C$15</f>
        <v>0.11601944142573059</v>
      </c>
      <c r="R23"/>
    </row>
    <row r="24" spans="1:18">
      <c r="A24">
        <f t="shared" si="17"/>
        <v>20555107.02866254</v>
      </c>
      <c r="B24">
        <v>0</v>
      </c>
      <c r="C24">
        <f t="shared" si="5"/>
        <v>0.65135203655102225</v>
      </c>
      <c r="D24" s="4">
        <f t="shared" si="18"/>
        <v>21.010820105596725</v>
      </c>
      <c r="E24" s="21">
        <f t="shared" si="19"/>
        <v>322125626242.4906</v>
      </c>
      <c r="F24" s="21">
        <f t="shared" si="0"/>
        <v>2525464909741.1265</v>
      </c>
      <c r="G24" s="21">
        <f t="shared" si="20"/>
        <v>6413256.1092109568</v>
      </c>
      <c r="H24" s="43">
        <f t="shared" si="21"/>
        <v>0.99922648675227899</v>
      </c>
      <c r="I24" s="21">
        <f t="shared" si="22"/>
        <v>44895350.007989585</v>
      </c>
      <c r="J24" s="3">
        <f t="shared" si="1"/>
        <v>1.1353215376155807</v>
      </c>
      <c r="K24" s="3">
        <f t="shared" si="11"/>
        <v>141943963.68377566</v>
      </c>
      <c r="L24" s="41">
        <f t="shared" ref="L24" si="28">K24/$C$16</f>
        <v>0.47347409815017982</v>
      </c>
      <c r="M24" s="3">
        <f t="shared" si="23"/>
        <v>125025342.14394321</v>
      </c>
      <c r="N24" s="41">
        <f t="shared" si="24"/>
        <v>0.47347409815017982</v>
      </c>
      <c r="O24" s="3">
        <f t="shared" si="25"/>
        <v>1551287407227452.2</v>
      </c>
      <c r="P24" s="3">
        <f t="shared" si="26"/>
        <v>1551287407227452.2</v>
      </c>
      <c r="Q24">
        <f t="shared" si="27"/>
        <v>0.16397173647060495</v>
      </c>
      <c r="R24"/>
    </row>
    <row r="25" spans="1:18">
      <c r="A25">
        <f t="shared" si="4"/>
        <v>23980958.200106297</v>
      </c>
      <c r="B25">
        <v>0</v>
      </c>
      <c r="C25">
        <f t="shared" si="5"/>
        <v>0.75991070930952598</v>
      </c>
      <c r="D25" s="4">
        <f t="shared" si="6"/>
        <v>21.197606877908019</v>
      </c>
      <c r="E25" s="21">
        <f t="shared" si="7"/>
        <v>322117832724.4035</v>
      </c>
      <c r="F25" s="21">
        <f t="shared" si="0"/>
        <v>2525403808559.3237</v>
      </c>
      <c r="G25" s="21">
        <f t="shared" si="8"/>
        <v>6413134.3407839863</v>
      </c>
      <c r="H25" s="43">
        <f t="shared" si="9"/>
        <v>0.99909757492751172</v>
      </c>
      <c r="I25" s="21">
        <f t="shared" si="10"/>
        <v>51308484.348773569</v>
      </c>
      <c r="J25" s="3">
        <f t="shared" si="1"/>
        <v>1.1803812319062728</v>
      </c>
      <c r="K25" s="3">
        <f t="shared" si="11"/>
        <v>159279652.37570146</v>
      </c>
      <c r="L25" s="41">
        <f t="shared" si="12"/>
        <v>0.53129973128177044</v>
      </c>
      <c r="M25" s="3">
        <f t="shared" si="13"/>
        <v>134939160.3918258</v>
      </c>
      <c r="N25" s="41">
        <f t="shared" si="2"/>
        <v>0.53129973128177044</v>
      </c>
      <c r="O25" s="3">
        <f t="shared" si="14"/>
        <v>2067838856156754</v>
      </c>
      <c r="P25" s="3">
        <f t="shared" si="15"/>
        <v>2067838856156754</v>
      </c>
      <c r="Q25">
        <f t="shared" si="16"/>
        <v>0.21857144356725761</v>
      </c>
      <c r="R25"/>
    </row>
    <row r="26" spans="1:18">
      <c r="A26">
        <f t="shared" si="4"/>
        <v>27406809.371550053</v>
      </c>
      <c r="B26">
        <v>0</v>
      </c>
      <c r="C26">
        <f t="shared" si="5"/>
        <v>0.8684693820680297</v>
      </c>
      <c r="D26" s="4">
        <f t="shared" si="6"/>
        <v>21.359408939751127</v>
      </c>
      <c r="E26" s="21">
        <f t="shared" si="7"/>
        <v>322110039328.08484</v>
      </c>
      <c r="F26" s="21">
        <f t="shared" si="0"/>
        <v>2525342708332.1855</v>
      </c>
      <c r="G26" s="21">
        <f t="shared" si="8"/>
        <v>6413012.5742595643</v>
      </c>
      <c r="H26" s="43">
        <f t="shared" si="9"/>
        <v>0.9989686651169043</v>
      </c>
      <c r="I26" s="21">
        <f t="shared" si="10"/>
        <v>57721496.923033133</v>
      </c>
      <c r="J26" s="3">
        <f t="shared" si="1"/>
        <v>1.2303242526704046</v>
      </c>
      <c r="K26" s="3">
        <f t="shared" si="11"/>
        <v>174644517.49738404</v>
      </c>
      <c r="L26" s="41">
        <f t="shared" si="12"/>
        <v>0.58255140460332744</v>
      </c>
      <c r="M26" s="3">
        <f t="shared" si="13"/>
        <v>141949991.73455301</v>
      </c>
      <c r="N26" s="41">
        <f t="shared" si="2"/>
        <v>0.58255140460332744</v>
      </c>
      <c r="O26" s="3">
        <f t="shared" si="14"/>
        <v>2640371363217007.5</v>
      </c>
      <c r="P26" s="3">
        <f t="shared" si="15"/>
        <v>2640371363217007.5</v>
      </c>
      <c r="Q26">
        <f t="shared" si="16"/>
        <v>0.27908837223641036</v>
      </c>
      <c r="R26"/>
    </row>
    <row r="27" spans="1:18">
      <c r="A27">
        <f t="shared" si="4"/>
        <v>30832660.54299381</v>
      </c>
      <c r="B27">
        <v>0</v>
      </c>
      <c r="C27">
        <f t="shared" si="5"/>
        <v>0.97702805482653343</v>
      </c>
      <c r="D27" s="4">
        <f t="shared" si="6"/>
        <v>21.502128472924355</v>
      </c>
      <c r="E27" s="21">
        <f t="shared" si="7"/>
        <v>322102246053.53265</v>
      </c>
      <c r="F27" s="21">
        <f t="shared" si="0"/>
        <v>2525281609059.6963</v>
      </c>
      <c r="G27" s="21">
        <f t="shared" si="8"/>
        <v>6412890.8096376611</v>
      </c>
      <c r="H27" s="43">
        <f t="shared" si="9"/>
        <v>0.99883975732042429</v>
      </c>
      <c r="I27" s="21">
        <f t="shared" si="10"/>
        <v>64134387.732670791</v>
      </c>
      <c r="J27" s="3">
        <f t="shared" si="1"/>
        <v>1.2845811519678565</v>
      </c>
      <c r="K27" s="3">
        <f t="shared" si="11"/>
        <v>188176557.22783029</v>
      </c>
      <c r="L27" s="41">
        <f t="shared" si="12"/>
        <v>0.62768943049204495</v>
      </c>
      <c r="M27" s="3">
        <f t="shared" si="13"/>
        <v>146488648.80164376</v>
      </c>
      <c r="N27" s="41">
        <f t="shared" si="2"/>
        <v>0.62768943049204495</v>
      </c>
      <c r="O27" s="3">
        <f t="shared" si="14"/>
        <v>3262356940076534.5</v>
      </c>
      <c r="P27" s="3">
        <f t="shared" si="15"/>
        <v>3262356940076534.5</v>
      </c>
      <c r="Q27">
        <f t="shared" si="16"/>
        <v>0.34483251134446019</v>
      </c>
      <c r="R27"/>
    </row>
    <row r="28" spans="1:18">
      <c r="A28">
        <f t="shared" si="4"/>
        <v>34258511.714437567</v>
      </c>
      <c r="B28">
        <v>0</v>
      </c>
      <c r="C28">
        <f t="shared" si="5"/>
        <v>1.085586727585037</v>
      </c>
      <c r="D28" s="4">
        <f t="shared" si="6"/>
        <v>21.62979544572546</v>
      </c>
      <c r="E28" s="21">
        <f t="shared" si="7"/>
        <v>322094452900.74512</v>
      </c>
      <c r="F28" s="21">
        <f t="shared" si="0"/>
        <v>2525220510741.8418</v>
      </c>
      <c r="G28" s="21">
        <f t="shared" si="8"/>
        <v>6412769.0469182469</v>
      </c>
      <c r="H28" s="43">
        <f t="shared" si="9"/>
        <v>0.99871085153804151</v>
      </c>
      <c r="I28" s="21">
        <f t="shared" si="10"/>
        <v>70547156.779589042</v>
      </c>
      <c r="J28" s="3">
        <f t="shared" si="1"/>
        <v>1.3426290479811602</v>
      </c>
      <c r="K28" s="3">
        <f t="shared" si="11"/>
        <v>200045375.3365832</v>
      </c>
      <c r="L28" s="41">
        <f t="shared" si="12"/>
        <v>0.66727954622722097</v>
      </c>
      <c r="M28" s="3">
        <f t="shared" si="13"/>
        <v>148995268.37839594</v>
      </c>
      <c r="N28" s="41">
        <f t="shared" si="2"/>
        <v>0.66727954622722097</v>
      </c>
      <c r="O28" s="3">
        <f t="shared" si="14"/>
        <v>3927801419116496</v>
      </c>
      <c r="P28" s="3">
        <f>E9</f>
        <v>4916773023366146</v>
      </c>
      <c r="Q28">
        <f t="shared" si="16"/>
        <v>0.5197049925868219</v>
      </c>
      <c r="R28"/>
    </row>
    <row r="29" spans="1:18">
      <c r="A29">
        <f t="shared" si="4"/>
        <v>0</v>
      </c>
      <c r="B29">
        <f>IF(P28&gt;$D$8,3,IF(P28&gt;$D$8-$E$9,2,1))</f>
        <v>1</v>
      </c>
      <c r="C29">
        <f t="shared" ref="C29:C41" si="29">C28+$D$11</f>
        <v>1.335586727585037</v>
      </c>
      <c r="D29" s="4">
        <f t="shared" si="6"/>
        <v>0</v>
      </c>
      <c r="E29" s="21">
        <f t="shared" si="7"/>
        <v>322086659869.72028</v>
      </c>
      <c r="F29" s="21">
        <f t="shared" si="0"/>
        <v>0</v>
      </c>
      <c r="G29" s="21">
        <f t="shared" si="8"/>
        <v>1380261.977896204</v>
      </c>
      <c r="H29" s="43">
        <f t="shared" si="9"/>
        <v>0.99858194776972375</v>
      </c>
      <c r="I29" s="21">
        <f t="shared" si="10"/>
        <v>71927418.757485241</v>
      </c>
      <c r="J29" s="3">
        <f t="shared" si="1"/>
        <v>1.3426290479811602</v>
      </c>
      <c r="K29" s="3">
        <f t="shared" si="11"/>
        <v>200045375.3365832</v>
      </c>
      <c r="L29" s="41">
        <f t="shared" si="12"/>
        <v>0.66727954622722097</v>
      </c>
      <c r="M29" s="3">
        <f t="shared" si="13"/>
        <v>148995268.37839594</v>
      </c>
      <c r="N29" s="41">
        <f t="shared" si="2"/>
        <v>0.66727954622722097</v>
      </c>
      <c r="O29" s="3">
        <f t="shared" si="14"/>
        <v>3927801419116496</v>
      </c>
      <c r="P29" s="3">
        <f t="shared" si="15"/>
        <v>6495011007546586</v>
      </c>
      <c r="Q29">
        <f t="shared" si="16"/>
        <v>0.6865254164645942</v>
      </c>
      <c r="R29"/>
    </row>
    <row r="30" spans="1:18">
      <c r="A30">
        <f t="shared" si="4"/>
        <v>0</v>
      </c>
      <c r="B30">
        <f t="shared" ref="B30:B70" si="30">IF(P29&gt;$D$8,3,IF(P29&gt;$D$8-$E$9,2,1))</f>
        <v>1</v>
      </c>
      <c r="C30">
        <f t="shared" si="29"/>
        <v>1.585586727585037</v>
      </c>
      <c r="D30" s="4">
        <f t="shared" si="6"/>
        <v>0</v>
      </c>
      <c r="E30" s="21">
        <f t="shared" si="7"/>
        <v>322083899345.76447</v>
      </c>
      <c r="F30" s="21">
        <f t="shared" si="0"/>
        <v>0</v>
      </c>
      <c r="G30" s="21">
        <f t="shared" si="8"/>
        <v>1380261.977896204</v>
      </c>
      <c r="H30" s="43">
        <f t="shared" si="9"/>
        <v>0.99853628621142865</v>
      </c>
      <c r="I30" s="21">
        <f t="shared" si="10"/>
        <v>73307680.735381439</v>
      </c>
      <c r="J30" s="3">
        <f t="shared" si="1"/>
        <v>1.3426290479811602</v>
      </c>
      <c r="K30" s="3">
        <f t="shared" si="11"/>
        <v>200045375.3365832</v>
      </c>
      <c r="L30" s="41">
        <f t="shared" si="12"/>
        <v>0.66727954622722097</v>
      </c>
      <c r="M30" s="3">
        <f t="shared" si="13"/>
        <v>148995268.37839594</v>
      </c>
      <c r="N30" s="41">
        <f t="shared" si="2"/>
        <v>0.66727954622722097</v>
      </c>
      <c r="O30" s="3">
        <f t="shared" si="14"/>
        <v>3927801419116496</v>
      </c>
      <c r="P30" s="3">
        <f t="shared" si="15"/>
        <v>8073248991727026</v>
      </c>
      <c r="Q30">
        <f t="shared" si="16"/>
        <v>0.85334584034236638</v>
      </c>
      <c r="R30"/>
    </row>
    <row r="31" spans="1:18">
      <c r="A31">
        <f t="shared" si="4"/>
        <v>0</v>
      </c>
      <c r="B31">
        <f t="shared" si="30"/>
        <v>1</v>
      </c>
      <c r="C31">
        <f t="shared" si="29"/>
        <v>1.835586727585037</v>
      </c>
      <c r="D31" s="4">
        <f t="shared" si="6"/>
        <v>0</v>
      </c>
      <c r="E31" s="21">
        <f t="shared" si="7"/>
        <v>322081138821.80865</v>
      </c>
      <c r="F31" s="21">
        <f t="shared" si="0"/>
        <v>0</v>
      </c>
      <c r="G31" s="21">
        <f>F31*$C$14*$D$11*$C$6/1000+$C$12</f>
        <v>1380261.977896204</v>
      </c>
      <c r="H31" s="43">
        <f t="shared" si="9"/>
        <v>0.99849062465313365</v>
      </c>
      <c r="I31" s="21">
        <f t="shared" si="10"/>
        <v>74687942.713277638</v>
      </c>
      <c r="J31" s="3">
        <f t="shared" si="1"/>
        <v>1.3426290479811602</v>
      </c>
      <c r="K31" s="3">
        <f t="shared" si="11"/>
        <v>200045375.3365832</v>
      </c>
      <c r="L31" s="41">
        <f t="shared" si="12"/>
        <v>0.66727954622722097</v>
      </c>
      <c r="M31" s="3">
        <f t="shared" si="13"/>
        <v>148995268.37839594</v>
      </c>
      <c r="N31" s="41">
        <f t="shared" si="2"/>
        <v>0.66727954622722097</v>
      </c>
      <c r="O31" s="3">
        <f t="shared" si="14"/>
        <v>3927801419116496</v>
      </c>
      <c r="P31" s="3">
        <f t="shared" si="15"/>
        <v>9651486975907466</v>
      </c>
      <c r="Q31">
        <f t="shared" si="16"/>
        <v>1.0201662642201388</v>
      </c>
      <c r="R31"/>
    </row>
    <row r="32" spans="1:18">
      <c r="A32">
        <f t="shared" si="4"/>
        <v>0</v>
      </c>
      <c r="B32">
        <f t="shared" si="30"/>
        <v>1</v>
      </c>
      <c r="C32">
        <f t="shared" si="29"/>
        <v>2.0855867275850368</v>
      </c>
      <c r="D32" s="4">
        <f t="shared" si="6"/>
        <v>0</v>
      </c>
      <c r="E32" s="21">
        <f t="shared" si="7"/>
        <v>322078378297.85284</v>
      </c>
      <c r="F32" s="21">
        <f t="shared" si="0"/>
        <v>0</v>
      </c>
      <c r="G32" s="21">
        <f t="shared" si="8"/>
        <v>1380261.977896204</v>
      </c>
      <c r="H32" s="43">
        <f t="shared" si="9"/>
        <v>0.99844496309483866</v>
      </c>
      <c r="I32" s="21">
        <f t="shared" si="10"/>
        <v>76068204.691173837</v>
      </c>
      <c r="J32" s="3">
        <f t="shared" si="1"/>
        <v>1.3426290479811602</v>
      </c>
      <c r="K32" s="3">
        <f t="shared" si="11"/>
        <v>200045375.3365832</v>
      </c>
      <c r="L32" s="41">
        <f t="shared" si="12"/>
        <v>0.66727954622722097</v>
      </c>
      <c r="M32" s="3">
        <f t="shared" si="13"/>
        <v>148995268.37839594</v>
      </c>
      <c r="N32" s="41">
        <f t="shared" si="2"/>
        <v>0.66727954622722097</v>
      </c>
      <c r="O32" s="3">
        <f t="shared" si="14"/>
        <v>3927801419116496</v>
      </c>
      <c r="P32" s="3">
        <f t="shared" si="15"/>
        <v>1.1229724960087904E+16</v>
      </c>
      <c r="Q32">
        <f t="shared" si="16"/>
        <v>1.1869866880979107</v>
      </c>
      <c r="R32"/>
    </row>
    <row r="33" spans="1:18">
      <c r="A33">
        <f t="shared" si="4"/>
        <v>0</v>
      </c>
      <c r="B33">
        <f t="shared" si="30"/>
        <v>1</v>
      </c>
      <c r="C33">
        <f t="shared" si="29"/>
        <v>2.3355867275850368</v>
      </c>
      <c r="D33" s="4">
        <f t="shared" si="6"/>
        <v>0</v>
      </c>
      <c r="E33" s="21">
        <f t="shared" si="7"/>
        <v>322075617773.89703</v>
      </c>
      <c r="F33" s="21">
        <f t="shared" si="0"/>
        <v>0</v>
      </c>
      <c r="G33" s="21">
        <f t="shared" si="8"/>
        <v>1380261.977896204</v>
      </c>
      <c r="H33" s="43">
        <f t="shared" si="9"/>
        <v>0.99839930153654366</v>
      </c>
      <c r="I33" s="21">
        <f t="shared" si="10"/>
        <v>77448466.669070035</v>
      </c>
      <c r="J33" s="3">
        <f t="shared" si="1"/>
        <v>1.3426290479811602</v>
      </c>
      <c r="K33" s="3">
        <f t="shared" si="11"/>
        <v>200045375.3365832</v>
      </c>
      <c r="L33" s="41">
        <f t="shared" si="12"/>
        <v>0.66727954622722097</v>
      </c>
      <c r="M33" s="3">
        <f t="shared" si="13"/>
        <v>148995268.37839594</v>
      </c>
      <c r="N33" s="41">
        <f t="shared" si="2"/>
        <v>0.66727954622722097</v>
      </c>
      <c r="O33" s="3">
        <f t="shared" si="14"/>
        <v>3927801419116496</v>
      </c>
      <c r="P33" s="3">
        <f t="shared" si="15"/>
        <v>1.2807962944268344E+16</v>
      </c>
      <c r="Q33">
        <f t="shared" si="16"/>
        <v>1.3538071119756829</v>
      </c>
      <c r="R33"/>
    </row>
    <row r="34" spans="1:18">
      <c r="A34">
        <f t="shared" si="4"/>
        <v>0</v>
      </c>
      <c r="B34">
        <f t="shared" si="30"/>
        <v>1</v>
      </c>
      <c r="C34">
        <f t="shared" si="29"/>
        <v>2.5855867275850368</v>
      </c>
      <c r="D34" s="4">
        <f t="shared" si="6"/>
        <v>0</v>
      </c>
      <c r="E34" s="21">
        <f t="shared" si="7"/>
        <v>322072857249.94122</v>
      </c>
      <c r="F34" s="21">
        <f t="shared" si="0"/>
        <v>0</v>
      </c>
      <c r="G34" s="21">
        <f t="shared" si="8"/>
        <v>1380261.977896204</v>
      </c>
      <c r="H34" s="43">
        <f t="shared" si="9"/>
        <v>0.99835363997824866</v>
      </c>
      <c r="I34" s="21">
        <f t="shared" si="10"/>
        <v>78828728.646966234</v>
      </c>
      <c r="J34" s="3">
        <f t="shared" si="1"/>
        <v>1.3426290479811602</v>
      </c>
      <c r="K34" s="3">
        <f t="shared" si="11"/>
        <v>200045375.3365832</v>
      </c>
      <c r="L34" s="41">
        <f t="shared" si="12"/>
        <v>0.66727954622722097</v>
      </c>
      <c r="M34" s="3">
        <f t="shared" si="13"/>
        <v>148995268.37839594</v>
      </c>
      <c r="N34" s="41">
        <f t="shared" si="2"/>
        <v>0.66727954622722097</v>
      </c>
      <c r="O34" s="3">
        <f t="shared" si="14"/>
        <v>3927801419116496</v>
      </c>
      <c r="P34" s="3">
        <f t="shared" si="15"/>
        <v>1.4386200928448784E+16</v>
      </c>
      <c r="Q34">
        <f t="shared" si="16"/>
        <v>1.5206275358534553</v>
      </c>
      <c r="R34"/>
    </row>
    <row r="35" spans="1:18">
      <c r="A35">
        <f t="shared" si="4"/>
        <v>0</v>
      </c>
      <c r="B35">
        <f t="shared" si="30"/>
        <v>1</v>
      </c>
      <c r="C35">
        <f t="shared" si="29"/>
        <v>2.8355867275850368</v>
      </c>
      <c r="D35" s="4">
        <f t="shared" si="6"/>
        <v>0</v>
      </c>
      <c r="E35" s="21">
        <f t="shared" si="7"/>
        <v>322070096725.98541</v>
      </c>
      <c r="F35" s="21">
        <f t="shared" si="0"/>
        <v>0</v>
      </c>
      <c r="G35" s="21">
        <f t="shared" si="8"/>
        <v>1380261.977896204</v>
      </c>
      <c r="H35" s="43">
        <f t="shared" si="9"/>
        <v>0.99830797841995367</v>
      </c>
      <c r="I35" s="21">
        <f t="shared" si="10"/>
        <v>80208990.624862432</v>
      </c>
      <c r="J35" s="3">
        <f t="shared" si="1"/>
        <v>1.3426290479811602</v>
      </c>
      <c r="K35" s="3">
        <f t="shared" si="11"/>
        <v>200045375.3365832</v>
      </c>
      <c r="L35" s="41">
        <f t="shared" si="12"/>
        <v>0.66727954622722097</v>
      </c>
      <c r="M35" s="3">
        <f t="shared" si="13"/>
        <v>148995268.37839594</v>
      </c>
      <c r="N35" s="41">
        <f t="shared" si="2"/>
        <v>0.66727954622722097</v>
      </c>
      <c r="O35" s="3">
        <f t="shared" si="14"/>
        <v>3927801419116496</v>
      </c>
      <c r="P35" s="3">
        <f t="shared" si="15"/>
        <v>1.5964438912629224E+16</v>
      </c>
      <c r="Q35">
        <f t="shared" si="16"/>
        <v>1.6874479597312275</v>
      </c>
      <c r="R35"/>
    </row>
    <row r="36" spans="1:18">
      <c r="A36">
        <f t="shared" si="4"/>
        <v>0</v>
      </c>
      <c r="B36">
        <f t="shared" si="30"/>
        <v>1</v>
      </c>
      <c r="C36">
        <f t="shared" si="29"/>
        <v>3.0855867275850368</v>
      </c>
      <c r="D36" s="4">
        <f t="shared" si="6"/>
        <v>0</v>
      </c>
      <c r="E36" s="21">
        <f t="shared" si="7"/>
        <v>322067336202.0296</v>
      </c>
      <c r="F36" s="21">
        <f t="shared" si="0"/>
        <v>0</v>
      </c>
      <c r="G36" s="21">
        <f t="shared" si="8"/>
        <v>1380261.977896204</v>
      </c>
      <c r="H36" s="43">
        <f t="shared" si="9"/>
        <v>0.99826231686165856</v>
      </c>
      <c r="I36" s="21">
        <f t="shared" si="10"/>
        <v>81589252.602758631</v>
      </c>
      <c r="J36" s="3">
        <f t="shared" si="1"/>
        <v>1.3426290479811602</v>
      </c>
      <c r="K36" s="3">
        <f t="shared" si="11"/>
        <v>200045375.3365832</v>
      </c>
      <c r="L36" s="41">
        <f t="shared" si="12"/>
        <v>0.66727954622722097</v>
      </c>
      <c r="M36" s="3">
        <f t="shared" si="13"/>
        <v>148995268.37839594</v>
      </c>
      <c r="N36" s="41">
        <f t="shared" si="2"/>
        <v>0.66727954622722097</v>
      </c>
      <c r="O36" s="3">
        <f t="shared" si="14"/>
        <v>3927801419116496</v>
      </c>
      <c r="P36" s="3">
        <f t="shared" si="15"/>
        <v>1.7542676896809664E+16</v>
      </c>
      <c r="Q36">
        <f t="shared" si="16"/>
        <v>1.8542683836089997</v>
      </c>
      <c r="R36"/>
    </row>
    <row r="37" spans="1:18">
      <c r="A37">
        <f t="shared" si="4"/>
        <v>0</v>
      </c>
      <c r="B37">
        <f t="shared" si="30"/>
        <v>1</v>
      </c>
      <c r="C37">
        <f t="shared" si="29"/>
        <v>3.3355867275850368</v>
      </c>
      <c r="D37" s="4">
        <f t="shared" si="6"/>
        <v>0</v>
      </c>
      <c r="E37" s="21">
        <f t="shared" si="7"/>
        <v>322064575678.07379</v>
      </c>
      <c r="F37" s="21">
        <f t="shared" si="0"/>
        <v>0</v>
      </c>
      <c r="G37" s="21">
        <f t="shared" si="8"/>
        <v>1380261.977896204</v>
      </c>
      <c r="H37" s="43">
        <f t="shared" si="9"/>
        <v>0.99821665530336356</v>
      </c>
      <c r="I37" s="21">
        <f t="shared" si="10"/>
        <v>82969514.58065483</v>
      </c>
      <c r="J37" s="3">
        <f t="shared" si="1"/>
        <v>1.3426290479811602</v>
      </c>
      <c r="K37" s="3">
        <f t="shared" si="11"/>
        <v>200045375.3365832</v>
      </c>
      <c r="L37" s="41">
        <f t="shared" si="12"/>
        <v>0.66727954622722097</v>
      </c>
      <c r="M37" s="3">
        <f t="shared" si="13"/>
        <v>148995268.37839594</v>
      </c>
      <c r="N37" s="41">
        <f t="shared" si="2"/>
        <v>0.66727954622722097</v>
      </c>
      <c r="O37" s="3">
        <f t="shared" si="14"/>
        <v>3927801419116496</v>
      </c>
      <c r="P37" s="3">
        <f t="shared" si="15"/>
        <v>1.9120914880990104E+16</v>
      </c>
      <c r="Q37">
        <f t="shared" si="16"/>
        <v>2.0210888074867719</v>
      </c>
      <c r="R37"/>
    </row>
    <row r="38" spans="1:18">
      <c r="A38">
        <f t="shared" si="4"/>
        <v>0</v>
      </c>
      <c r="B38">
        <f t="shared" si="30"/>
        <v>1</v>
      </c>
      <c r="C38">
        <f t="shared" si="29"/>
        <v>3.5855867275850368</v>
      </c>
      <c r="D38" s="4">
        <f t="shared" si="6"/>
        <v>0</v>
      </c>
      <c r="E38" s="21">
        <f t="shared" si="7"/>
        <v>322061815154.11798</v>
      </c>
      <c r="F38" s="21">
        <f t="shared" si="0"/>
        <v>0</v>
      </c>
      <c r="G38" s="21">
        <f t="shared" si="8"/>
        <v>1380261.977896204</v>
      </c>
      <c r="H38" s="43">
        <f t="shared" si="9"/>
        <v>0.99817099374506857</v>
      </c>
      <c r="I38" s="21">
        <f t="shared" si="10"/>
        <v>84349776.558551028</v>
      </c>
      <c r="J38" s="3">
        <f t="shared" si="1"/>
        <v>1.3426290479811602</v>
      </c>
      <c r="K38" s="3">
        <f t="shared" si="11"/>
        <v>200045375.3365832</v>
      </c>
      <c r="L38" s="41">
        <f t="shared" si="12"/>
        <v>0.66727954622722097</v>
      </c>
      <c r="M38" s="3">
        <f t="shared" si="13"/>
        <v>148995268.37839594</v>
      </c>
      <c r="N38" s="41">
        <f t="shared" si="2"/>
        <v>0.66727954622722097</v>
      </c>
      <c r="O38" s="3">
        <f t="shared" si="14"/>
        <v>3927801419116496</v>
      </c>
      <c r="P38" s="3">
        <f t="shared" si="15"/>
        <v>2.0699152865170544E+16</v>
      </c>
      <c r="Q38">
        <f t="shared" si="16"/>
        <v>2.1879092313645443</v>
      </c>
      <c r="R38"/>
    </row>
    <row r="39" spans="1:18">
      <c r="A39">
        <f t="shared" si="4"/>
        <v>0</v>
      </c>
      <c r="B39">
        <f t="shared" si="30"/>
        <v>1</v>
      </c>
      <c r="C39">
        <f t="shared" si="29"/>
        <v>3.8355867275850368</v>
      </c>
      <c r="D39" s="4">
        <f t="shared" si="6"/>
        <v>0</v>
      </c>
      <c r="E39" s="21">
        <f t="shared" si="7"/>
        <v>322059054630.16217</v>
      </c>
      <c r="F39" s="21">
        <f t="shared" si="0"/>
        <v>0</v>
      </c>
      <c r="G39" s="21">
        <f t="shared" si="8"/>
        <v>1380261.977896204</v>
      </c>
      <c r="H39" s="43">
        <f t="shared" si="9"/>
        <v>0.99812533218677357</v>
      </c>
      <c r="I39" s="21">
        <f t="shared" si="10"/>
        <v>85730038.536447227</v>
      </c>
      <c r="J39" s="3">
        <f t="shared" si="1"/>
        <v>1.3426290479811602</v>
      </c>
      <c r="K39" s="3">
        <f t="shared" si="11"/>
        <v>200045375.3365832</v>
      </c>
      <c r="L39" s="41">
        <f t="shared" si="12"/>
        <v>0.66727954622722097</v>
      </c>
      <c r="M39" s="3">
        <f t="shared" si="13"/>
        <v>148995268.37839594</v>
      </c>
      <c r="N39" s="41">
        <f t="shared" si="2"/>
        <v>0.66727954622722097</v>
      </c>
      <c r="O39" s="3">
        <f t="shared" si="14"/>
        <v>3927801419116496</v>
      </c>
      <c r="P39" s="3">
        <f t="shared" si="15"/>
        <v>2.2277390849350984E+16</v>
      </c>
      <c r="Q39">
        <f t="shared" si="16"/>
        <v>2.3547296552423167</v>
      </c>
      <c r="R39"/>
    </row>
    <row r="40" spans="1:18">
      <c r="A40">
        <f t="shared" si="4"/>
        <v>0</v>
      </c>
      <c r="B40">
        <f t="shared" si="30"/>
        <v>1</v>
      </c>
      <c r="C40">
        <f t="shared" si="29"/>
        <v>4.0855867275850368</v>
      </c>
      <c r="D40" s="4">
        <f t="shared" si="6"/>
        <v>0</v>
      </c>
      <c r="E40" s="21">
        <f t="shared" si="7"/>
        <v>322056294106.20636</v>
      </c>
      <c r="F40" s="21">
        <f t="shared" si="0"/>
        <v>0</v>
      </c>
      <c r="G40" s="21">
        <f t="shared" si="8"/>
        <v>1380261.977896204</v>
      </c>
      <c r="H40" s="43">
        <f t="shared" si="9"/>
        <v>0.99807967062847858</v>
      </c>
      <c r="I40" s="21">
        <f t="shared" si="10"/>
        <v>87110300.514343426</v>
      </c>
      <c r="J40" s="3">
        <f t="shared" si="1"/>
        <v>1.3426290479811602</v>
      </c>
      <c r="K40" s="3">
        <f t="shared" si="11"/>
        <v>200045375.3365832</v>
      </c>
      <c r="L40" s="41">
        <f t="shared" si="12"/>
        <v>0.66727954622722097</v>
      </c>
      <c r="M40" s="3">
        <f t="shared" si="13"/>
        <v>148995268.37839594</v>
      </c>
      <c r="N40" s="41">
        <f t="shared" si="2"/>
        <v>0.66727954622722097</v>
      </c>
      <c r="O40" s="3">
        <f t="shared" si="14"/>
        <v>3927801419116496</v>
      </c>
      <c r="P40" s="3">
        <f t="shared" si="15"/>
        <v>2.3855628833531424E+16</v>
      </c>
      <c r="Q40">
        <f t="shared" si="16"/>
        <v>2.5215500791200887</v>
      </c>
      <c r="R40"/>
    </row>
    <row r="41" spans="1:18">
      <c r="A41">
        <f t="shared" si="4"/>
        <v>0</v>
      </c>
      <c r="B41">
        <f t="shared" si="30"/>
        <v>1</v>
      </c>
      <c r="C41">
        <f t="shared" si="29"/>
        <v>4.3355867275850368</v>
      </c>
      <c r="D41" s="4">
        <f t="shared" si="6"/>
        <v>0</v>
      </c>
      <c r="E41" s="21">
        <f t="shared" si="7"/>
        <v>322053533582.25055</v>
      </c>
      <c r="F41" s="21">
        <f t="shared" si="0"/>
        <v>0</v>
      </c>
      <c r="G41" s="21">
        <f t="shared" si="8"/>
        <v>1380261.977896204</v>
      </c>
      <c r="H41" s="43">
        <f t="shared" si="9"/>
        <v>0.99803400907018358</v>
      </c>
      <c r="I41" s="21">
        <f t="shared" si="10"/>
        <v>88490562.492239624</v>
      </c>
      <c r="J41" s="3">
        <f t="shared" si="1"/>
        <v>1.3426290479811602</v>
      </c>
      <c r="K41" s="3">
        <f t="shared" si="11"/>
        <v>200045375.3365832</v>
      </c>
      <c r="L41" s="41">
        <f t="shared" si="12"/>
        <v>0.66727954622722097</v>
      </c>
      <c r="M41" s="3">
        <f t="shared" si="13"/>
        <v>148995268.37839594</v>
      </c>
      <c r="N41" s="41">
        <f t="shared" si="2"/>
        <v>0.66727954622722097</v>
      </c>
      <c r="O41" s="3">
        <f t="shared" si="14"/>
        <v>3927801419116496</v>
      </c>
      <c r="P41" s="3">
        <f t="shared" si="15"/>
        <v>2.5433866817711864E+16</v>
      </c>
      <c r="Q41">
        <f t="shared" si="16"/>
        <v>2.6883705029978611</v>
      </c>
      <c r="R41"/>
    </row>
    <row r="42" spans="1:18">
      <c r="A42">
        <f t="shared" si="4"/>
        <v>0</v>
      </c>
      <c r="B42">
        <f t="shared" si="30"/>
        <v>1</v>
      </c>
      <c r="C42">
        <f t="shared" ref="C42:C105" si="31">C41+$D$11</f>
        <v>4.5855867275850368</v>
      </c>
      <c r="D42" s="4">
        <f t="shared" ref="D42:D105" si="32">$C$16/$C$5*ASINH($C$5*A42*$C$14/$C$16)/$C$14</f>
        <v>0</v>
      </c>
      <c r="E42" s="21">
        <f t="shared" ref="E42:E105" si="33">E41-G41-$C$12</f>
        <v>322050773058.29474</v>
      </c>
      <c r="F42" s="21">
        <f t="shared" si="0"/>
        <v>0</v>
      </c>
      <c r="G42" s="21">
        <f t="shared" si="8"/>
        <v>1380261.977896204</v>
      </c>
      <c r="H42" s="43">
        <f t="shared" ref="H42:H105" si="34">1-(($E$18-E42)/$C$4)</f>
        <v>0.99798834751188847</v>
      </c>
      <c r="I42" s="21">
        <f t="shared" ref="I42:I105" si="35">I41+G42</f>
        <v>89870824.470135823</v>
      </c>
      <c r="J42" s="3">
        <f t="shared" si="1"/>
        <v>1.3426290479811602</v>
      </c>
      <c r="K42" s="3">
        <f t="shared" si="11"/>
        <v>200045375.3365832</v>
      </c>
      <c r="L42" s="41">
        <f t="shared" si="12"/>
        <v>0.66727954622722097</v>
      </c>
      <c r="M42" s="3">
        <f t="shared" si="13"/>
        <v>148995268.37839594</v>
      </c>
      <c r="N42" s="41">
        <f t="shared" si="2"/>
        <v>0.66727954622722097</v>
      </c>
      <c r="O42" s="3">
        <f t="shared" si="14"/>
        <v>3927801419116496</v>
      </c>
      <c r="P42" s="3">
        <f t="shared" si="15"/>
        <v>2.7012104801892304E+16</v>
      </c>
      <c r="Q42">
        <f t="shared" si="16"/>
        <v>2.8551909268756335</v>
      </c>
      <c r="R42"/>
    </row>
    <row r="43" spans="1:18">
      <c r="A43">
        <f t="shared" si="4"/>
        <v>0</v>
      </c>
      <c r="B43">
        <f t="shared" si="30"/>
        <v>1</v>
      </c>
      <c r="C43">
        <f t="shared" si="31"/>
        <v>4.8355867275850368</v>
      </c>
      <c r="D43" s="4">
        <f t="shared" si="32"/>
        <v>0</v>
      </c>
      <c r="E43" s="21">
        <f t="shared" si="33"/>
        <v>322048012534.33893</v>
      </c>
      <c r="F43" s="21">
        <f t="shared" si="0"/>
        <v>0</v>
      </c>
      <c r="G43" s="21">
        <f t="shared" si="8"/>
        <v>1380261.977896204</v>
      </c>
      <c r="H43" s="43">
        <f t="shared" si="34"/>
        <v>0.99794268595359348</v>
      </c>
      <c r="I43" s="21">
        <f t="shared" si="35"/>
        <v>91251086.448032022</v>
      </c>
      <c r="J43" s="3">
        <f t="shared" si="1"/>
        <v>1.3426290479811602</v>
      </c>
      <c r="K43" s="3">
        <f t="shared" si="11"/>
        <v>200045375.3365832</v>
      </c>
      <c r="L43" s="41">
        <f t="shared" si="12"/>
        <v>0.66727954622722097</v>
      </c>
      <c r="M43" s="3">
        <f t="shared" si="13"/>
        <v>148995268.37839594</v>
      </c>
      <c r="N43" s="41">
        <f t="shared" si="2"/>
        <v>0.66727954622722097</v>
      </c>
      <c r="O43" s="3">
        <f t="shared" ref="O43:O52" si="36">$D$16/$C$5*(J43-1)</f>
        <v>3927801419116496</v>
      </c>
      <c r="P43" s="3">
        <f t="shared" si="15"/>
        <v>2.8590342786072744E+16</v>
      </c>
      <c r="Q43">
        <f t="shared" si="16"/>
        <v>3.0220113507534054</v>
      </c>
      <c r="R43"/>
    </row>
    <row r="44" spans="1:18">
      <c r="A44">
        <f t="shared" si="4"/>
        <v>0</v>
      </c>
      <c r="B44">
        <f t="shared" si="30"/>
        <v>1</v>
      </c>
      <c r="C44">
        <f t="shared" si="31"/>
        <v>5.0855867275850368</v>
      </c>
      <c r="D44" s="4">
        <f t="shared" si="32"/>
        <v>0</v>
      </c>
      <c r="E44" s="21">
        <f t="shared" si="33"/>
        <v>322045252010.38312</v>
      </c>
      <c r="F44" s="21">
        <f t="shared" si="0"/>
        <v>0</v>
      </c>
      <c r="G44" s="21">
        <f t="shared" si="8"/>
        <v>1380261.977896204</v>
      </c>
      <c r="H44" s="43">
        <f t="shared" si="34"/>
        <v>0.99789702439529848</v>
      </c>
      <c r="I44" s="21">
        <f t="shared" si="35"/>
        <v>92631348.42592822</v>
      </c>
      <c r="J44" s="3">
        <f t="shared" si="1"/>
        <v>1.3426290479811602</v>
      </c>
      <c r="K44" s="3">
        <f t="shared" si="11"/>
        <v>200045375.3365832</v>
      </c>
      <c r="L44" s="41">
        <f t="shared" si="12"/>
        <v>0.66727954622722097</v>
      </c>
      <c r="M44" s="3">
        <f t="shared" si="13"/>
        <v>148995268.37839594</v>
      </c>
      <c r="N44" s="41">
        <f t="shared" si="2"/>
        <v>0.66727954622722097</v>
      </c>
      <c r="O44" s="3">
        <f t="shared" si="36"/>
        <v>3927801419116496</v>
      </c>
      <c r="P44" s="3">
        <f t="shared" si="15"/>
        <v>3.0168580770253184E+16</v>
      </c>
      <c r="Q44">
        <f t="shared" si="16"/>
        <v>3.1888317746311778</v>
      </c>
      <c r="R44"/>
    </row>
    <row r="45" spans="1:18">
      <c r="A45">
        <f t="shared" si="4"/>
        <v>0</v>
      </c>
      <c r="B45">
        <f t="shared" si="30"/>
        <v>1</v>
      </c>
      <c r="C45">
        <f t="shared" si="31"/>
        <v>5.3355867275850368</v>
      </c>
      <c r="D45" s="4">
        <f t="shared" si="32"/>
        <v>0</v>
      </c>
      <c r="E45" s="21">
        <f t="shared" si="33"/>
        <v>322042491486.42731</v>
      </c>
      <c r="F45" s="21">
        <f t="shared" si="0"/>
        <v>0</v>
      </c>
      <c r="G45" s="21">
        <f t="shared" si="8"/>
        <v>1380261.977896204</v>
      </c>
      <c r="H45" s="43">
        <f t="shared" si="34"/>
        <v>0.99785136283700349</v>
      </c>
      <c r="I45" s="21">
        <f t="shared" si="35"/>
        <v>94011610.403824419</v>
      </c>
      <c r="J45" s="3">
        <f t="shared" si="1"/>
        <v>1.3426290479811602</v>
      </c>
      <c r="K45" s="3">
        <f t="shared" si="11"/>
        <v>200045375.3365832</v>
      </c>
      <c r="L45" s="41">
        <f t="shared" si="12"/>
        <v>0.66727954622722097</v>
      </c>
      <c r="M45" s="3">
        <f t="shared" si="13"/>
        <v>148995268.37839594</v>
      </c>
      <c r="N45" s="41">
        <f t="shared" si="2"/>
        <v>0.66727954622722097</v>
      </c>
      <c r="O45" s="3">
        <f t="shared" si="36"/>
        <v>3927801419116496</v>
      </c>
      <c r="P45" s="3">
        <f t="shared" si="15"/>
        <v>3.1746818754433624E+16</v>
      </c>
      <c r="Q45">
        <f t="shared" si="16"/>
        <v>3.3556521985089502</v>
      </c>
      <c r="R45"/>
    </row>
    <row r="46" spans="1:18">
      <c r="A46">
        <f t="shared" si="4"/>
        <v>0</v>
      </c>
      <c r="B46">
        <f t="shared" si="30"/>
        <v>1</v>
      </c>
      <c r="C46">
        <f t="shared" si="31"/>
        <v>5.5855867275850368</v>
      </c>
      <c r="D46" s="4">
        <f t="shared" si="32"/>
        <v>0</v>
      </c>
      <c r="E46" s="21">
        <f t="shared" si="33"/>
        <v>322039730962.4715</v>
      </c>
      <c r="F46" s="21">
        <f t="shared" si="0"/>
        <v>0</v>
      </c>
      <c r="G46" s="21">
        <f t="shared" si="8"/>
        <v>1380261.977896204</v>
      </c>
      <c r="H46" s="43">
        <f t="shared" si="34"/>
        <v>0.99780570127870849</v>
      </c>
      <c r="I46" s="21">
        <f t="shared" si="35"/>
        <v>95391872.381720617</v>
      </c>
      <c r="J46" s="3">
        <f t="shared" si="1"/>
        <v>1.3426290479811602</v>
      </c>
      <c r="K46" s="3">
        <f t="shared" si="11"/>
        <v>200045375.3365832</v>
      </c>
      <c r="L46" s="41">
        <f t="shared" si="12"/>
        <v>0.66727954622722097</v>
      </c>
      <c r="M46" s="3">
        <f t="shared" si="13"/>
        <v>148995268.37839594</v>
      </c>
      <c r="N46" s="41">
        <f t="shared" si="2"/>
        <v>0.66727954622722097</v>
      </c>
      <c r="O46" s="3">
        <f t="shared" si="36"/>
        <v>3927801419116496</v>
      </c>
      <c r="P46" s="3">
        <f t="shared" si="15"/>
        <v>3.3325056738614064E+16</v>
      </c>
      <c r="Q46">
        <f t="shared" si="16"/>
        <v>3.5224726223867222</v>
      </c>
      <c r="R46"/>
    </row>
    <row r="47" spans="1:18">
      <c r="A47">
        <f t="shared" si="4"/>
        <v>0</v>
      </c>
      <c r="B47">
        <f t="shared" si="30"/>
        <v>1</v>
      </c>
      <c r="C47">
        <f t="shared" si="31"/>
        <v>5.8355867275850368</v>
      </c>
      <c r="D47" s="4">
        <f t="shared" si="32"/>
        <v>0</v>
      </c>
      <c r="E47" s="21">
        <f t="shared" si="33"/>
        <v>322036970438.51569</v>
      </c>
      <c r="F47" s="21">
        <f t="shared" si="0"/>
        <v>0</v>
      </c>
      <c r="G47" s="21">
        <f t="shared" si="8"/>
        <v>1380261.977896204</v>
      </c>
      <c r="H47" s="43">
        <f t="shared" si="34"/>
        <v>0.99776003972041338</v>
      </c>
      <c r="I47" s="21">
        <f t="shared" si="35"/>
        <v>96772134.359616816</v>
      </c>
      <c r="J47" s="3">
        <f t="shared" si="1"/>
        <v>1.3426290479811602</v>
      </c>
      <c r="K47" s="3">
        <f t="shared" si="11"/>
        <v>200045375.3365832</v>
      </c>
      <c r="L47" s="41">
        <f t="shared" si="12"/>
        <v>0.66727954622722097</v>
      </c>
      <c r="M47" s="3">
        <f t="shared" si="13"/>
        <v>148995268.37839594</v>
      </c>
      <c r="N47" s="41">
        <f t="shared" si="2"/>
        <v>0.66727954622722097</v>
      </c>
      <c r="O47" s="3">
        <f t="shared" si="36"/>
        <v>3927801419116496</v>
      </c>
      <c r="P47" s="3">
        <f t="shared" si="15"/>
        <v>3.4903294722794504E+16</v>
      </c>
      <c r="Q47">
        <f t="shared" si="16"/>
        <v>3.6892930462644946</v>
      </c>
      <c r="R47"/>
    </row>
    <row r="48" spans="1:18">
      <c r="A48">
        <f t="shared" si="4"/>
        <v>0</v>
      </c>
      <c r="B48">
        <f t="shared" si="30"/>
        <v>1</v>
      </c>
      <c r="C48">
        <f t="shared" si="31"/>
        <v>6.0855867275850368</v>
      </c>
      <c r="D48" s="4">
        <f t="shared" si="32"/>
        <v>0</v>
      </c>
      <c r="E48" s="21">
        <f t="shared" si="33"/>
        <v>322034209914.55988</v>
      </c>
      <c r="F48" s="21">
        <f t="shared" si="0"/>
        <v>0</v>
      </c>
      <c r="G48" s="21">
        <f t="shared" si="8"/>
        <v>1380261.977896204</v>
      </c>
      <c r="H48" s="43">
        <f t="shared" si="34"/>
        <v>0.99771437816211839</v>
      </c>
      <c r="I48" s="21">
        <f t="shared" si="35"/>
        <v>98152396.337513015</v>
      </c>
      <c r="J48" s="3">
        <f t="shared" si="1"/>
        <v>1.3426290479811602</v>
      </c>
      <c r="K48" s="3">
        <f t="shared" si="11"/>
        <v>200045375.3365832</v>
      </c>
      <c r="L48" s="41">
        <f t="shared" si="12"/>
        <v>0.66727954622722097</v>
      </c>
      <c r="M48" s="3">
        <f t="shared" si="13"/>
        <v>148995268.37839594</v>
      </c>
      <c r="N48" s="41">
        <f t="shared" si="2"/>
        <v>0.66727954622722097</v>
      </c>
      <c r="O48" s="3">
        <f t="shared" si="36"/>
        <v>3927801419116496</v>
      </c>
      <c r="P48" s="3">
        <f t="shared" si="15"/>
        <v>3.6481532706974944E+16</v>
      </c>
      <c r="Q48">
        <f t="shared" si="16"/>
        <v>3.856113470142267</v>
      </c>
      <c r="R48"/>
    </row>
    <row r="49" spans="1:18">
      <c r="A49">
        <f t="shared" si="4"/>
        <v>0</v>
      </c>
      <c r="B49">
        <f t="shared" si="30"/>
        <v>1</v>
      </c>
      <c r="C49">
        <f t="shared" si="31"/>
        <v>6.3355867275850368</v>
      </c>
      <c r="D49" s="4">
        <f t="shared" si="32"/>
        <v>0</v>
      </c>
      <c r="E49" s="21">
        <f t="shared" si="33"/>
        <v>322031449390.60406</v>
      </c>
      <c r="F49" s="21">
        <f t="shared" si="0"/>
        <v>0</v>
      </c>
      <c r="G49" s="21">
        <f t="shared" si="8"/>
        <v>1380261.977896204</v>
      </c>
      <c r="H49" s="43">
        <f t="shared" si="34"/>
        <v>0.99766871660382339</v>
      </c>
      <c r="I49" s="21">
        <f t="shared" si="35"/>
        <v>99532658.315409213</v>
      </c>
      <c r="J49" s="3">
        <f t="shared" si="1"/>
        <v>1.3426290479811602</v>
      </c>
      <c r="K49" s="3">
        <f t="shared" si="11"/>
        <v>200045375.3365832</v>
      </c>
      <c r="L49" s="41">
        <f t="shared" si="12"/>
        <v>0.66727954622722097</v>
      </c>
      <c r="M49" s="3">
        <f t="shared" si="13"/>
        <v>148995268.37839594</v>
      </c>
      <c r="N49" s="41">
        <f t="shared" si="2"/>
        <v>0.66727954622722097</v>
      </c>
      <c r="O49" s="3">
        <f t="shared" si="36"/>
        <v>3927801419116496</v>
      </c>
      <c r="P49" s="3">
        <f t="shared" si="15"/>
        <v>3.8059770691155384E+16</v>
      </c>
      <c r="Q49">
        <f t="shared" si="16"/>
        <v>4.0229338940200394</v>
      </c>
      <c r="R49"/>
    </row>
    <row r="50" spans="1:18">
      <c r="A50">
        <f t="shared" si="4"/>
        <v>0</v>
      </c>
      <c r="B50">
        <f t="shared" si="30"/>
        <v>1</v>
      </c>
      <c r="C50">
        <f t="shared" si="31"/>
        <v>6.5855867275850368</v>
      </c>
      <c r="D50" s="4">
        <f t="shared" si="32"/>
        <v>0</v>
      </c>
      <c r="E50" s="21">
        <f t="shared" si="33"/>
        <v>322028688866.64825</v>
      </c>
      <c r="F50" s="21">
        <f t="shared" si="0"/>
        <v>0</v>
      </c>
      <c r="G50" s="21">
        <f t="shared" si="8"/>
        <v>1380261.977896204</v>
      </c>
      <c r="H50" s="43">
        <f t="shared" si="34"/>
        <v>0.9976230550455284</v>
      </c>
      <c r="I50" s="21">
        <f t="shared" si="35"/>
        <v>100912920.29330541</v>
      </c>
      <c r="J50" s="3">
        <f t="shared" si="1"/>
        <v>1.3426290479811602</v>
      </c>
      <c r="K50" s="3">
        <f t="shared" si="11"/>
        <v>200045375.3365832</v>
      </c>
      <c r="L50" s="41">
        <f t="shared" si="12"/>
        <v>0.66727954622722097</v>
      </c>
      <c r="M50" s="3">
        <f t="shared" si="13"/>
        <v>148995268.37839594</v>
      </c>
      <c r="N50" s="41">
        <f t="shared" si="2"/>
        <v>0.66727954622722097</v>
      </c>
      <c r="O50" s="3">
        <f t="shared" si="36"/>
        <v>3927801419116496</v>
      </c>
      <c r="P50" s="3">
        <f t="shared" si="15"/>
        <v>3.9638008675335824E+16</v>
      </c>
      <c r="Q50">
        <f t="shared" si="16"/>
        <v>4.1897543178978109</v>
      </c>
      <c r="R50"/>
    </row>
    <row r="51" spans="1:18">
      <c r="A51">
        <f t="shared" si="4"/>
        <v>0</v>
      </c>
      <c r="B51">
        <f t="shared" si="30"/>
        <v>1</v>
      </c>
      <c r="C51">
        <f t="shared" si="31"/>
        <v>6.8355867275850368</v>
      </c>
      <c r="D51" s="4">
        <f t="shared" si="32"/>
        <v>0</v>
      </c>
      <c r="E51" s="21">
        <f t="shared" si="33"/>
        <v>322025928342.69244</v>
      </c>
      <c r="F51" s="21">
        <f t="shared" si="0"/>
        <v>0</v>
      </c>
      <c r="G51" s="21">
        <f t="shared" si="8"/>
        <v>1380261.977896204</v>
      </c>
      <c r="H51" s="43">
        <f t="shared" si="34"/>
        <v>0.9975773934872334</v>
      </c>
      <c r="I51" s="21">
        <f t="shared" si="35"/>
        <v>102293182.27120161</v>
      </c>
      <c r="J51" s="3">
        <f t="shared" si="1"/>
        <v>1.3426290479811602</v>
      </c>
      <c r="K51" s="3">
        <f t="shared" si="11"/>
        <v>200045375.3365832</v>
      </c>
      <c r="L51" s="41">
        <f t="shared" si="12"/>
        <v>0.66727954622722097</v>
      </c>
      <c r="M51" s="3">
        <f t="shared" si="13"/>
        <v>148995268.37839594</v>
      </c>
      <c r="N51" s="41">
        <f t="shared" si="2"/>
        <v>0.66727954622722097</v>
      </c>
      <c r="O51" s="3">
        <f t="shared" si="36"/>
        <v>3927801419116496</v>
      </c>
      <c r="P51" s="3">
        <f t="shared" si="15"/>
        <v>4.1216246659516264E+16</v>
      </c>
      <c r="Q51">
        <f t="shared" si="16"/>
        <v>4.3565747417755833</v>
      </c>
      <c r="R51"/>
    </row>
    <row r="52" spans="1:18">
      <c r="A52">
        <f t="shared" si="4"/>
        <v>0</v>
      </c>
      <c r="B52">
        <f t="shared" si="30"/>
        <v>1</v>
      </c>
      <c r="C52">
        <f t="shared" si="31"/>
        <v>7.0855867275850368</v>
      </c>
      <c r="D52" s="4">
        <f t="shared" si="32"/>
        <v>0</v>
      </c>
      <c r="E52" s="21">
        <f t="shared" si="33"/>
        <v>322023167818.73663</v>
      </c>
      <c r="F52" s="21">
        <f t="shared" si="0"/>
        <v>0</v>
      </c>
      <c r="G52" s="21">
        <f t="shared" si="8"/>
        <v>1380261.977896204</v>
      </c>
      <c r="H52" s="43">
        <f t="shared" si="34"/>
        <v>0.9975317319289384</v>
      </c>
      <c r="I52" s="21">
        <f t="shared" si="35"/>
        <v>103673444.24909781</v>
      </c>
      <c r="J52" s="3">
        <f t="shared" si="1"/>
        <v>1.3426290479811602</v>
      </c>
      <c r="K52" s="3">
        <f t="shared" si="11"/>
        <v>200045375.3365832</v>
      </c>
      <c r="L52" s="41">
        <f t="shared" si="12"/>
        <v>0.66727954622722097</v>
      </c>
      <c r="M52" s="3">
        <f t="shared" si="13"/>
        <v>148995268.37839594</v>
      </c>
      <c r="N52" s="41">
        <f t="shared" si="2"/>
        <v>0.66727954622722097</v>
      </c>
      <c r="O52" s="3">
        <f t="shared" si="36"/>
        <v>3927801419116496</v>
      </c>
      <c r="P52" s="3">
        <f t="shared" si="15"/>
        <v>4.2794484643696704E+16</v>
      </c>
      <c r="Q52">
        <f t="shared" si="16"/>
        <v>4.5233951656533558</v>
      </c>
      <c r="R52"/>
    </row>
    <row r="53" spans="1:18">
      <c r="A53">
        <f t="shared" si="4"/>
        <v>0</v>
      </c>
      <c r="B53">
        <f t="shared" si="30"/>
        <v>1</v>
      </c>
      <c r="C53">
        <f t="shared" si="31"/>
        <v>7.3355867275850368</v>
      </c>
      <c r="D53" s="4">
        <f t="shared" si="32"/>
        <v>0</v>
      </c>
      <c r="E53" s="21">
        <f t="shared" si="33"/>
        <v>322020407294.78082</v>
      </c>
      <c r="F53" s="21">
        <f t="shared" si="0"/>
        <v>0</v>
      </c>
      <c r="G53" s="21">
        <f t="shared" si="8"/>
        <v>1380261.977896204</v>
      </c>
      <c r="H53" s="43">
        <f t="shared" si="34"/>
        <v>0.9974860703706433</v>
      </c>
      <c r="I53" s="21">
        <f t="shared" si="35"/>
        <v>105053706.22699401</v>
      </c>
      <c r="J53" s="3">
        <f t="shared" si="1"/>
        <v>1.3426290479811602</v>
      </c>
      <c r="K53" s="3">
        <f t="shared" si="11"/>
        <v>200045375.3365832</v>
      </c>
      <c r="L53" s="41">
        <f t="shared" si="12"/>
        <v>0.66727954622722097</v>
      </c>
      <c r="M53" s="3">
        <f t="shared" si="13"/>
        <v>148995268.37839594</v>
      </c>
      <c r="N53" s="41">
        <f t="shared" si="2"/>
        <v>0.66727954622722097</v>
      </c>
      <c r="O53" s="3">
        <f t="shared" si="3"/>
        <v>3927801419116496</v>
      </c>
      <c r="P53" s="3">
        <f t="shared" si="15"/>
        <v>4.4372722627877144E+16</v>
      </c>
      <c r="Q53">
        <f t="shared" si="16"/>
        <v>4.6902155895311282</v>
      </c>
      <c r="R53"/>
    </row>
    <row r="54" spans="1:18">
      <c r="A54">
        <f t="shared" si="4"/>
        <v>0</v>
      </c>
      <c r="B54">
        <f t="shared" si="30"/>
        <v>1</v>
      </c>
      <c r="C54">
        <f t="shared" si="31"/>
        <v>7.5855867275850368</v>
      </c>
      <c r="D54" s="4">
        <f t="shared" si="32"/>
        <v>0</v>
      </c>
      <c r="E54" s="21">
        <f t="shared" si="33"/>
        <v>322017646770.82501</v>
      </c>
      <c r="F54" s="21">
        <f t="shared" si="0"/>
        <v>0</v>
      </c>
      <c r="G54" s="21">
        <f t="shared" si="8"/>
        <v>1380261.977896204</v>
      </c>
      <c r="H54" s="43">
        <f t="shared" si="34"/>
        <v>0.9974404088123483</v>
      </c>
      <c r="I54" s="21">
        <f t="shared" si="35"/>
        <v>106433968.20489021</v>
      </c>
      <c r="J54" s="3">
        <f t="shared" si="1"/>
        <v>1.3426290479811602</v>
      </c>
      <c r="K54" s="3">
        <f t="shared" si="11"/>
        <v>200045375.3365832</v>
      </c>
      <c r="L54" s="41">
        <f t="shared" si="12"/>
        <v>0.66727954622722097</v>
      </c>
      <c r="M54" s="3">
        <f t="shared" si="13"/>
        <v>148995268.37839594</v>
      </c>
      <c r="N54" s="41">
        <f t="shared" si="2"/>
        <v>0.66727954622722097</v>
      </c>
      <c r="O54" s="3">
        <f t="shared" si="3"/>
        <v>3927801419116496</v>
      </c>
      <c r="P54" s="3">
        <f t="shared" si="15"/>
        <v>4.5950960612057584E+16</v>
      </c>
      <c r="Q54">
        <f t="shared" si="16"/>
        <v>4.8570360134089006</v>
      </c>
      <c r="R54"/>
    </row>
    <row r="55" spans="1:18">
      <c r="A55">
        <f t="shared" si="4"/>
        <v>0</v>
      </c>
      <c r="B55">
        <f t="shared" si="30"/>
        <v>1</v>
      </c>
      <c r="C55">
        <f t="shared" si="31"/>
        <v>7.8355867275850368</v>
      </c>
      <c r="D55" s="4">
        <f t="shared" si="32"/>
        <v>0</v>
      </c>
      <c r="E55" s="21">
        <f t="shared" si="33"/>
        <v>322014886246.8692</v>
      </c>
      <c r="F55" s="21">
        <f t="shared" si="0"/>
        <v>0</v>
      </c>
      <c r="G55" s="21">
        <f t="shared" si="8"/>
        <v>1380261.977896204</v>
      </c>
      <c r="H55" s="43">
        <f t="shared" si="34"/>
        <v>0.9973947472540533</v>
      </c>
      <c r="I55" s="21">
        <f t="shared" si="35"/>
        <v>107814230.18278641</v>
      </c>
      <c r="J55" s="3">
        <f t="shared" si="1"/>
        <v>1.3426290479811602</v>
      </c>
      <c r="K55" s="3">
        <f t="shared" si="11"/>
        <v>200045375.3365832</v>
      </c>
      <c r="L55" s="41">
        <f t="shared" si="12"/>
        <v>0.66727954622722097</v>
      </c>
      <c r="M55" s="3">
        <f t="shared" si="13"/>
        <v>148995268.37839594</v>
      </c>
      <c r="N55" s="41">
        <f t="shared" si="2"/>
        <v>0.66727954622722097</v>
      </c>
      <c r="O55" s="3">
        <f t="shared" si="3"/>
        <v>3927801419116496</v>
      </c>
      <c r="P55" s="3">
        <f t="shared" si="15"/>
        <v>4.7529198596238024E+16</v>
      </c>
      <c r="Q55">
        <f t="shared" si="16"/>
        <v>5.023856437286673</v>
      </c>
      <c r="R55"/>
    </row>
    <row r="56" spans="1:18">
      <c r="A56">
        <f t="shared" si="4"/>
        <v>0</v>
      </c>
      <c r="B56">
        <f t="shared" si="30"/>
        <v>1</v>
      </c>
      <c r="C56">
        <f t="shared" si="31"/>
        <v>8.0855867275850368</v>
      </c>
      <c r="D56" s="4">
        <f t="shared" si="32"/>
        <v>0</v>
      </c>
      <c r="E56" s="21">
        <f t="shared" si="33"/>
        <v>322012125722.91339</v>
      </c>
      <c r="F56" s="21">
        <f t="shared" si="0"/>
        <v>0</v>
      </c>
      <c r="G56" s="21">
        <f t="shared" si="8"/>
        <v>1380261.977896204</v>
      </c>
      <c r="H56" s="43">
        <f t="shared" si="34"/>
        <v>0.99734908569575831</v>
      </c>
      <c r="I56" s="21">
        <f t="shared" si="35"/>
        <v>109194492.1606826</v>
      </c>
      <c r="J56" s="3">
        <f t="shared" si="1"/>
        <v>1.3426290479811602</v>
      </c>
      <c r="K56" s="3">
        <f t="shared" si="11"/>
        <v>200045375.3365832</v>
      </c>
      <c r="L56" s="41">
        <f t="shared" si="12"/>
        <v>0.66727954622722097</v>
      </c>
      <c r="M56" s="3">
        <f t="shared" si="13"/>
        <v>148995268.37839594</v>
      </c>
      <c r="N56" s="41">
        <f t="shared" si="2"/>
        <v>0.66727954622722097</v>
      </c>
      <c r="O56" s="3">
        <f t="shared" si="3"/>
        <v>3927801419116496</v>
      </c>
      <c r="P56" s="3">
        <f t="shared" si="15"/>
        <v>4.9107436580418464E+16</v>
      </c>
      <c r="Q56">
        <f t="shared" si="16"/>
        <v>5.1906768611644445</v>
      </c>
      <c r="R56"/>
    </row>
    <row r="57" spans="1:18">
      <c r="A57">
        <f t="shared" si="4"/>
        <v>0</v>
      </c>
      <c r="B57">
        <f t="shared" si="30"/>
        <v>1</v>
      </c>
      <c r="C57">
        <f t="shared" si="31"/>
        <v>8.3355867275850368</v>
      </c>
      <c r="D57" s="4">
        <f t="shared" si="32"/>
        <v>0</v>
      </c>
      <c r="E57" s="21">
        <f t="shared" si="33"/>
        <v>322009365198.95758</v>
      </c>
      <c r="F57" s="21">
        <f t="shared" si="0"/>
        <v>0</v>
      </c>
      <c r="G57" s="21">
        <f t="shared" si="8"/>
        <v>1380261.977896204</v>
      </c>
      <c r="H57" s="43">
        <f t="shared" si="34"/>
        <v>0.99730342413746331</v>
      </c>
      <c r="I57" s="21">
        <f t="shared" si="35"/>
        <v>110574754.1385788</v>
      </c>
      <c r="J57" s="3">
        <f t="shared" si="1"/>
        <v>1.3426290479811602</v>
      </c>
      <c r="K57" s="3">
        <f t="shared" si="11"/>
        <v>200045375.3365832</v>
      </c>
      <c r="L57" s="41">
        <f t="shared" si="12"/>
        <v>0.66727954622722097</v>
      </c>
      <c r="M57" s="3">
        <f t="shared" si="13"/>
        <v>148995268.37839594</v>
      </c>
      <c r="N57" s="41">
        <f t="shared" si="2"/>
        <v>0.66727954622722097</v>
      </c>
      <c r="O57" s="3">
        <f t="shared" si="3"/>
        <v>3927801419116496</v>
      </c>
      <c r="P57" s="3">
        <f t="shared" si="15"/>
        <v>5.0685674564598904E+16</v>
      </c>
      <c r="Q57">
        <f t="shared" si="16"/>
        <v>5.3574972850422169</v>
      </c>
      <c r="R57"/>
    </row>
    <row r="58" spans="1:18">
      <c r="A58">
        <f t="shared" si="4"/>
        <v>0</v>
      </c>
      <c r="B58">
        <f t="shared" si="30"/>
        <v>1</v>
      </c>
      <c r="C58">
        <f t="shared" si="31"/>
        <v>8.5855867275850368</v>
      </c>
      <c r="D58" s="4">
        <f t="shared" si="32"/>
        <v>0</v>
      </c>
      <c r="E58" s="21">
        <f t="shared" si="33"/>
        <v>322006604675.00177</v>
      </c>
      <c r="F58" s="21">
        <f t="shared" si="0"/>
        <v>0</v>
      </c>
      <c r="G58" s="21">
        <f t="shared" si="8"/>
        <v>1380261.977896204</v>
      </c>
      <c r="H58" s="43">
        <f t="shared" si="34"/>
        <v>0.99725776257916832</v>
      </c>
      <c r="I58" s="21">
        <f t="shared" si="35"/>
        <v>111955016.116475</v>
      </c>
      <c r="J58" s="3">
        <f t="shared" si="1"/>
        <v>1.3426290479811602</v>
      </c>
      <c r="K58" s="3">
        <f t="shared" si="11"/>
        <v>200045375.3365832</v>
      </c>
      <c r="L58" s="41">
        <f t="shared" si="12"/>
        <v>0.66727954622722097</v>
      </c>
      <c r="M58" s="3">
        <f t="shared" si="13"/>
        <v>148995268.37839594</v>
      </c>
      <c r="N58" s="41">
        <f t="shared" si="2"/>
        <v>0.66727954622722097</v>
      </c>
      <c r="O58" s="3">
        <f t="shared" si="3"/>
        <v>3927801419116496</v>
      </c>
      <c r="P58" s="3">
        <f t="shared" si="15"/>
        <v>5.2263912548779344E+16</v>
      </c>
      <c r="Q58">
        <f t="shared" si="16"/>
        <v>5.5243177089199893</v>
      </c>
      <c r="R58"/>
    </row>
    <row r="59" spans="1:18">
      <c r="A59">
        <f t="shared" si="4"/>
        <v>0</v>
      </c>
      <c r="B59">
        <f t="shared" si="30"/>
        <v>1</v>
      </c>
      <c r="C59">
        <f t="shared" si="31"/>
        <v>8.8355867275850368</v>
      </c>
      <c r="D59" s="4">
        <f t="shared" si="32"/>
        <v>0</v>
      </c>
      <c r="E59" s="21">
        <f t="shared" si="33"/>
        <v>322003844151.04596</v>
      </c>
      <c r="F59" s="21">
        <f t="shared" si="0"/>
        <v>0</v>
      </c>
      <c r="G59" s="21">
        <f t="shared" si="8"/>
        <v>1380261.977896204</v>
      </c>
      <c r="H59" s="43">
        <f t="shared" si="34"/>
        <v>0.99721210102087321</v>
      </c>
      <c r="I59" s="21">
        <f t="shared" si="35"/>
        <v>113335278.0943712</v>
      </c>
      <c r="J59" s="3">
        <f t="shared" si="1"/>
        <v>1.3426290479811602</v>
      </c>
      <c r="K59" s="3">
        <f t="shared" si="11"/>
        <v>200045375.3365832</v>
      </c>
      <c r="L59" s="41">
        <f t="shared" si="12"/>
        <v>0.66727954622722097</v>
      </c>
      <c r="M59" s="3">
        <f t="shared" si="13"/>
        <v>148995268.37839594</v>
      </c>
      <c r="N59" s="41">
        <f t="shared" si="2"/>
        <v>0.66727954622722097</v>
      </c>
      <c r="O59" s="3">
        <f t="shared" si="3"/>
        <v>3927801419116496</v>
      </c>
      <c r="P59" s="3">
        <f t="shared" si="15"/>
        <v>5.3842150532959784E+16</v>
      </c>
      <c r="Q59">
        <f t="shared" si="16"/>
        <v>5.6911381327977617</v>
      </c>
      <c r="R59"/>
    </row>
    <row r="60" spans="1:18">
      <c r="A60">
        <f t="shared" si="4"/>
        <v>0</v>
      </c>
      <c r="B60">
        <f t="shared" si="30"/>
        <v>1</v>
      </c>
      <c r="C60">
        <f t="shared" si="31"/>
        <v>9.0855867275850368</v>
      </c>
      <c r="D60" s="4">
        <f t="shared" si="32"/>
        <v>0</v>
      </c>
      <c r="E60" s="21">
        <f t="shared" si="33"/>
        <v>322001083627.09015</v>
      </c>
      <c r="F60" s="21">
        <f t="shared" si="0"/>
        <v>0</v>
      </c>
      <c r="G60" s="21">
        <f t="shared" si="8"/>
        <v>1380261.977896204</v>
      </c>
      <c r="H60" s="43">
        <f t="shared" si="34"/>
        <v>0.99716643946257821</v>
      </c>
      <c r="I60" s="21">
        <f t="shared" si="35"/>
        <v>114715540.0722674</v>
      </c>
      <c r="J60" s="3">
        <f t="shared" si="1"/>
        <v>1.3426290479811602</v>
      </c>
      <c r="K60" s="3">
        <f t="shared" si="11"/>
        <v>200045375.3365832</v>
      </c>
      <c r="L60" s="41">
        <f t="shared" si="12"/>
        <v>0.66727954622722097</v>
      </c>
      <c r="M60" s="3">
        <f t="shared" si="13"/>
        <v>148995268.37839594</v>
      </c>
      <c r="N60" s="41">
        <f t="shared" si="2"/>
        <v>0.66727954622722097</v>
      </c>
      <c r="O60" s="3">
        <f t="shared" si="3"/>
        <v>3927801419116496</v>
      </c>
      <c r="P60" s="3">
        <f t="shared" si="15"/>
        <v>5.5420388517140224E+16</v>
      </c>
      <c r="Q60">
        <f t="shared" si="16"/>
        <v>5.8579585566755341</v>
      </c>
      <c r="R60"/>
    </row>
    <row r="61" spans="1:18">
      <c r="A61">
        <f t="shared" si="4"/>
        <v>0</v>
      </c>
      <c r="B61">
        <f t="shared" si="30"/>
        <v>1</v>
      </c>
      <c r="C61">
        <f t="shared" si="31"/>
        <v>9.3355867275850368</v>
      </c>
      <c r="D61" s="4">
        <f t="shared" si="32"/>
        <v>0</v>
      </c>
      <c r="E61" s="21">
        <f t="shared" si="33"/>
        <v>321998323103.13434</v>
      </c>
      <c r="F61" s="21">
        <f t="shared" si="0"/>
        <v>0</v>
      </c>
      <c r="G61" s="21">
        <f t="shared" si="8"/>
        <v>1380261.977896204</v>
      </c>
      <c r="H61" s="43">
        <f t="shared" si="34"/>
        <v>0.99712077790428322</v>
      </c>
      <c r="I61" s="21">
        <f t="shared" si="35"/>
        <v>116095802.0501636</v>
      </c>
      <c r="J61" s="3">
        <f t="shared" si="1"/>
        <v>1.3426290479811602</v>
      </c>
      <c r="K61" s="3">
        <f t="shared" si="11"/>
        <v>200045375.3365832</v>
      </c>
      <c r="L61" s="41">
        <f t="shared" si="12"/>
        <v>0.66727954622722097</v>
      </c>
      <c r="M61" s="3">
        <f t="shared" si="13"/>
        <v>148995268.37839594</v>
      </c>
      <c r="N61" s="41">
        <f t="shared" si="2"/>
        <v>0.66727954622722097</v>
      </c>
      <c r="O61" s="3">
        <f t="shared" si="3"/>
        <v>3927801419116496</v>
      </c>
      <c r="P61" s="3">
        <f t="shared" si="15"/>
        <v>5.6998626501320664E+16</v>
      </c>
      <c r="Q61">
        <f t="shared" si="16"/>
        <v>6.0247789805533065</v>
      </c>
      <c r="R61"/>
    </row>
    <row r="62" spans="1:18">
      <c r="A62">
        <f t="shared" si="4"/>
        <v>0</v>
      </c>
      <c r="B62">
        <f t="shared" si="30"/>
        <v>1</v>
      </c>
      <c r="C62">
        <f t="shared" si="31"/>
        <v>9.5855867275850368</v>
      </c>
      <c r="D62" s="4">
        <f t="shared" si="32"/>
        <v>0</v>
      </c>
      <c r="E62" s="21">
        <f t="shared" si="33"/>
        <v>321995562579.17853</v>
      </c>
      <c r="F62" s="21">
        <f t="shared" si="0"/>
        <v>0</v>
      </c>
      <c r="G62" s="21">
        <f t="shared" si="8"/>
        <v>1380261.977896204</v>
      </c>
      <c r="H62" s="43">
        <f t="shared" si="34"/>
        <v>0.99707511634598822</v>
      </c>
      <c r="I62" s="21">
        <f t="shared" si="35"/>
        <v>117476064.0280598</v>
      </c>
      <c r="J62" s="3">
        <f t="shared" si="1"/>
        <v>1.3426290479811602</v>
      </c>
      <c r="K62" s="3">
        <f t="shared" si="11"/>
        <v>200045375.3365832</v>
      </c>
      <c r="L62" s="41">
        <f t="shared" si="12"/>
        <v>0.66727954622722097</v>
      </c>
      <c r="M62" s="3">
        <f t="shared" si="13"/>
        <v>148995268.37839594</v>
      </c>
      <c r="N62" s="41">
        <f t="shared" si="2"/>
        <v>0.66727954622722097</v>
      </c>
      <c r="O62" s="3">
        <f t="shared" si="3"/>
        <v>3927801419116496</v>
      </c>
      <c r="P62" s="3">
        <f t="shared" si="15"/>
        <v>5.8576864485501104E+16</v>
      </c>
      <c r="Q62">
        <f t="shared" si="16"/>
        <v>6.191599404431078</v>
      </c>
      <c r="R62"/>
    </row>
    <row r="63" spans="1:18">
      <c r="A63">
        <f t="shared" si="4"/>
        <v>0</v>
      </c>
      <c r="B63">
        <f t="shared" si="30"/>
        <v>1</v>
      </c>
      <c r="C63">
        <f t="shared" si="31"/>
        <v>9.8355867275850368</v>
      </c>
      <c r="D63" s="4">
        <f t="shared" si="32"/>
        <v>0</v>
      </c>
      <c r="E63" s="21">
        <f t="shared" si="33"/>
        <v>321992802055.22272</v>
      </c>
      <c r="F63" s="21">
        <f t="shared" si="0"/>
        <v>0</v>
      </c>
      <c r="G63" s="21">
        <f t="shared" si="8"/>
        <v>1380261.977896204</v>
      </c>
      <c r="H63" s="43">
        <f t="shared" si="34"/>
        <v>0.99702945478769323</v>
      </c>
      <c r="I63" s="21">
        <f t="shared" si="35"/>
        <v>118856326.00595599</v>
      </c>
      <c r="J63" s="3">
        <f t="shared" si="1"/>
        <v>1.3426290479811602</v>
      </c>
      <c r="K63" s="3">
        <f t="shared" si="11"/>
        <v>200045375.3365832</v>
      </c>
      <c r="L63" s="41">
        <f t="shared" si="12"/>
        <v>0.66727954622722097</v>
      </c>
      <c r="M63" s="3">
        <f t="shared" si="13"/>
        <v>148995268.37839594</v>
      </c>
      <c r="N63" s="41">
        <f t="shared" si="2"/>
        <v>0.66727954622722097</v>
      </c>
      <c r="O63" s="3">
        <f t="shared" si="3"/>
        <v>3927801419116496</v>
      </c>
      <c r="P63" s="3">
        <f t="shared" si="15"/>
        <v>6.0155102469681544E+16</v>
      </c>
      <c r="Q63">
        <f t="shared" si="16"/>
        <v>6.3584198283088504</v>
      </c>
      <c r="R63"/>
    </row>
    <row r="64" spans="1:18">
      <c r="A64">
        <f t="shared" si="4"/>
        <v>0</v>
      </c>
      <c r="B64">
        <f t="shared" si="30"/>
        <v>1</v>
      </c>
      <c r="C64">
        <f t="shared" si="31"/>
        <v>10.085586727585037</v>
      </c>
      <c r="D64" s="4">
        <f t="shared" si="32"/>
        <v>0</v>
      </c>
      <c r="E64" s="21">
        <f t="shared" si="33"/>
        <v>321990041531.26691</v>
      </c>
      <c r="F64" s="21">
        <f t="shared" si="0"/>
        <v>0</v>
      </c>
      <c r="G64" s="21">
        <f t="shared" si="8"/>
        <v>1380261.977896204</v>
      </c>
      <c r="H64" s="43">
        <f t="shared" si="34"/>
        <v>0.99698379322939812</v>
      </c>
      <c r="I64" s="21">
        <f t="shared" si="35"/>
        <v>120236587.98385219</v>
      </c>
      <c r="J64" s="3">
        <f t="shared" si="1"/>
        <v>1.3426290479811602</v>
      </c>
      <c r="K64" s="3">
        <f t="shared" si="11"/>
        <v>200045375.3365832</v>
      </c>
      <c r="L64" s="41">
        <f t="shared" si="12"/>
        <v>0.66727954622722097</v>
      </c>
      <c r="M64" s="3">
        <f t="shared" si="13"/>
        <v>148995268.37839594</v>
      </c>
      <c r="N64" s="41">
        <f t="shared" si="2"/>
        <v>0.66727954622722097</v>
      </c>
      <c r="O64" s="3">
        <f t="shared" si="3"/>
        <v>3927801419116496</v>
      </c>
      <c r="P64" s="3">
        <f t="shared" si="15"/>
        <v>6.1733340453861984E+16</v>
      </c>
      <c r="Q64">
        <f t="shared" si="16"/>
        <v>6.5252402521866228</v>
      </c>
      <c r="R64"/>
    </row>
    <row r="65" spans="1:18">
      <c r="A65">
        <f t="shared" si="4"/>
        <v>0</v>
      </c>
      <c r="B65">
        <f t="shared" si="30"/>
        <v>1</v>
      </c>
      <c r="C65">
        <f t="shared" si="31"/>
        <v>10.335586727585037</v>
      </c>
      <c r="D65" s="4">
        <f t="shared" si="32"/>
        <v>0</v>
      </c>
      <c r="E65" s="21">
        <f t="shared" si="33"/>
        <v>321987281007.3111</v>
      </c>
      <c r="F65" s="21">
        <f t="shared" si="0"/>
        <v>0</v>
      </c>
      <c r="G65" s="21">
        <f t="shared" si="8"/>
        <v>1380261.977896204</v>
      </c>
      <c r="H65" s="43">
        <f t="shared" si="34"/>
        <v>0.99693813167110312</v>
      </c>
      <c r="I65" s="21">
        <f t="shared" si="35"/>
        <v>121616849.96174839</v>
      </c>
      <c r="J65" s="3">
        <f t="shared" si="1"/>
        <v>1.3426290479811602</v>
      </c>
      <c r="K65" s="3">
        <f t="shared" si="11"/>
        <v>200045375.3365832</v>
      </c>
      <c r="L65" s="41">
        <f t="shared" si="12"/>
        <v>0.66727954622722097</v>
      </c>
      <c r="M65" s="3">
        <f t="shared" si="13"/>
        <v>148995268.37839594</v>
      </c>
      <c r="N65" s="41">
        <f t="shared" si="2"/>
        <v>0.66727954622722097</v>
      </c>
      <c r="O65" s="3">
        <f t="shared" si="3"/>
        <v>3927801419116496</v>
      </c>
      <c r="P65" s="3">
        <f t="shared" si="15"/>
        <v>6.3311578438042424E+16</v>
      </c>
      <c r="Q65">
        <f t="shared" si="16"/>
        <v>6.6920606760643953</v>
      </c>
      <c r="R65"/>
    </row>
    <row r="66" spans="1:18">
      <c r="A66">
        <f t="shared" si="4"/>
        <v>0</v>
      </c>
      <c r="B66">
        <f t="shared" si="30"/>
        <v>1</v>
      </c>
      <c r="C66">
        <f t="shared" si="31"/>
        <v>10.585586727585037</v>
      </c>
      <c r="D66" s="4">
        <f t="shared" si="32"/>
        <v>0</v>
      </c>
      <c r="E66" s="21">
        <f t="shared" si="33"/>
        <v>321984520483.35529</v>
      </c>
      <c r="F66" s="21">
        <f t="shared" si="0"/>
        <v>0</v>
      </c>
      <c r="G66" s="21">
        <f t="shared" si="8"/>
        <v>1380261.977896204</v>
      </c>
      <c r="H66" s="43">
        <f t="shared" si="34"/>
        <v>0.99689247011280813</v>
      </c>
      <c r="I66" s="21">
        <f t="shared" si="35"/>
        <v>122997111.93964459</v>
      </c>
      <c r="J66" s="3">
        <f t="shared" si="1"/>
        <v>1.3426290479811602</v>
      </c>
      <c r="K66" s="3">
        <f t="shared" si="11"/>
        <v>200045375.3365832</v>
      </c>
      <c r="L66" s="41">
        <f t="shared" si="12"/>
        <v>0.66727954622722097</v>
      </c>
      <c r="M66" s="3">
        <f t="shared" si="13"/>
        <v>148995268.37839594</v>
      </c>
      <c r="N66" s="41">
        <f t="shared" si="2"/>
        <v>0.66727954622722097</v>
      </c>
      <c r="O66" s="3">
        <f t="shared" si="3"/>
        <v>3927801419116496</v>
      </c>
      <c r="P66" s="3">
        <f t="shared" si="15"/>
        <v>6.4889816422222864E+16</v>
      </c>
      <c r="Q66">
        <f t="shared" si="16"/>
        <v>6.8588810999421677</v>
      </c>
      <c r="R66"/>
    </row>
    <row r="67" spans="1:18">
      <c r="A67">
        <f t="shared" si="4"/>
        <v>0</v>
      </c>
      <c r="B67">
        <f t="shared" si="30"/>
        <v>1</v>
      </c>
      <c r="C67">
        <f t="shared" si="31"/>
        <v>10.835586727585037</v>
      </c>
      <c r="D67" s="4">
        <f t="shared" si="32"/>
        <v>0</v>
      </c>
      <c r="E67" s="21">
        <f t="shared" si="33"/>
        <v>321981759959.39948</v>
      </c>
      <c r="F67" s="21">
        <f t="shared" si="0"/>
        <v>0</v>
      </c>
      <c r="G67" s="21">
        <f t="shared" si="8"/>
        <v>1380261.977896204</v>
      </c>
      <c r="H67" s="43">
        <f t="shared" si="34"/>
        <v>0.99684680855451313</v>
      </c>
      <c r="I67" s="21">
        <f t="shared" si="35"/>
        <v>124377373.91754079</v>
      </c>
      <c r="J67" s="3">
        <f t="shared" si="1"/>
        <v>1.3426290479811602</v>
      </c>
      <c r="K67" s="3">
        <f t="shared" si="11"/>
        <v>200045375.3365832</v>
      </c>
      <c r="L67" s="41">
        <f t="shared" si="12"/>
        <v>0.66727954622722097</v>
      </c>
      <c r="M67" s="3">
        <f t="shared" si="13"/>
        <v>148995268.37839594</v>
      </c>
      <c r="N67" s="41">
        <f t="shared" si="2"/>
        <v>0.66727954622722097</v>
      </c>
      <c r="O67" s="3">
        <f t="shared" si="3"/>
        <v>3927801419116496</v>
      </c>
      <c r="P67" s="3">
        <f t="shared" si="15"/>
        <v>6.6468054406403304E+16</v>
      </c>
      <c r="Q67">
        <f t="shared" si="16"/>
        <v>7.0257015238199401</v>
      </c>
      <c r="R67"/>
    </row>
    <row r="68" spans="1:18">
      <c r="A68">
        <f t="shared" si="4"/>
        <v>0</v>
      </c>
      <c r="B68">
        <f t="shared" si="30"/>
        <v>1</v>
      </c>
      <c r="C68">
        <f t="shared" si="31"/>
        <v>11.085586727585037</v>
      </c>
      <c r="D68" s="4">
        <f t="shared" si="32"/>
        <v>0</v>
      </c>
      <c r="E68" s="21">
        <f t="shared" si="33"/>
        <v>321978999435.44366</v>
      </c>
      <c r="F68" s="21">
        <f t="shared" si="0"/>
        <v>0</v>
      </c>
      <c r="G68" s="21">
        <f t="shared" si="8"/>
        <v>1380261.977896204</v>
      </c>
      <c r="H68" s="43">
        <f t="shared" si="34"/>
        <v>0.99680114699621813</v>
      </c>
      <c r="I68" s="21">
        <f t="shared" si="35"/>
        <v>125757635.89543699</v>
      </c>
      <c r="J68" s="3">
        <f t="shared" si="1"/>
        <v>1.3426290479811602</v>
      </c>
      <c r="K68" s="3">
        <f t="shared" si="11"/>
        <v>200045375.3365832</v>
      </c>
      <c r="L68" s="41">
        <f t="shared" si="12"/>
        <v>0.66727954622722097</v>
      </c>
      <c r="M68" s="3">
        <f t="shared" si="13"/>
        <v>148995268.37839594</v>
      </c>
      <c r="N68" s="41">
        <f t="shared" si="2"/>
        <v>0.66727954622722097</v>
      </c>
      <c r="O68" s="3">
        <f t="shared" si="3"/>
        <v>3927801419116496</v>
      </c>
      <c r="P68" s="3">
        <f t="shared" si="15"/>
        <v>6.8046292390583744E+16</v>
      </c>
      <c r="Q68">
        <f t="shared" si="16"/>
        <v>7.1925219476977116</v>
      </c>
      <c r="R68"/>
    </row>
    <row r="69" spans="1:18">
      <c r="A69">
        <f t="shared" si="4"/>
        <v>0</v>
      </c>
      <c r="B69">
        <f t="shared" si="30"/>
        <v>1</v>
      </c>
      <c r="C69">
        <f t="shared" si="31"/>
        <v>11.335586727585037</v>
      </c>
      <c r="D69" s="4">
        <f t="shared" si="32"/>
        <v>0</v>
      </c>
      <c r="E69" s="21">
        <f t="shared" si="33"/>
        <v>321976238911.48785</v>
      </c>
      <c r="F69" s="21">
        <f t="shared" si="0"/>
        <v>0</v>
      </c>
      <c r="G69" s="21">
        <f t="shared" si="8"/>
        <v>1380261.977896204</v>
      </c>
      <c r="H69" s="43">
        <f t="shared" si="34"/>
        <v>0.99675548543792314</v>
      </c>
      <c r="I69" s="21">
        <f t="shared" si="35"/>
        <v>127137897.87333319</v>
      </c>
      <c r="J69" s="3">
        <f t="shared" si="1"/>
        <v>1.3426290479811602</v>
      </c>
      <c r="K69" s="3">
        <f t="shared" si="11"/>
        <v>200045375.3365832</v>
      </c>
      <c r="L69" s="41">
        <f t="shared" si="12"/>
        <v>0.66727954622722097</v>
      </c>
      <c r="M69" s="3">
        <f t="shared" si="13"/>
        <v>148995268.37839594</v>
      </c>
      <c r="N69" s="41">
        <f t="shared" si="2"/>
        <v>0.66727954622722097</v>
      </c>
      <c r="O69" s="3">
        <f t="shared" si="3"/>
        <v>3927801419116496</v>
      </c>
      <c r="P69" s="3">
        <f t="shared" si="15"/>
        <v>6.9624530374764184E+16</v>
      </c>
      <c r="Q69">
        <f t="shared" si="16"/>
        <v>7.359342371575484</v>
      </c>
      <c r="R69"/>
    </row>
    <row r="70" spans="1:18">
      <c r="A70">
        <f t="shared" si="4"/>
        <v>0</v>
      </c>
      <c r="B70">
        <f t="shared" si="30"/>
        <v>1</v>
      </c>
      <c r="C70">
        <f t="shared" si="31"/>
        <v>11.585586727585037</v>
      </c>
      <c r="D70" s="4">
        <f t="shared" si="32"/>
        <v>0</v>
      </c>
      <c r="E70" s="21">
        <f t="shared" si="33"/>
        <v>321973478387.53204</v>
      </c>
      <c r="F70" s="21">
        <f t="shared" si="0"/>
        <v>0</v>
      </c>
      <c r="G70" s="21">
        <f t="shared" si="8"/>
        <v>1380261.977896204</v>
      </c>
      <c r="H70" s="43">
        <f t="shared" si="34"/>
        <v>0.99670982387962803</v>
      </c>
      <c r="I70" s="21">
        <f t="shared" si="35"/>
        <v>128518159.85122938</v>
      </c>
      <c r="J70" s="3">
        <f t="shared" si="1"/>
        <v>1.3426290479811602</v>
      </c>
      <c r="K70" s="3">
        <f t="shared" si="11"/>
        <v>200045375.3365832</v>
      </c>
      <c r="L70" s="41">
        <f t="shared" si="12"/>
        <v>0.66727954622722097</v>
      </c>
      <c r="M70" s="3">
        <f t="shared" si="13"/>
        <v>148995268.37839594</v>
      </c>
      <c r="N70" s="41">
        <f t="shared" si="2"/>
        <v>0.66727954622722097</v>
      </c>
      <c r="O70" s="3">
        <f t="shared" si="3"/>
        <v>3927801419116496</v>
      </c>
      <c r="P70" s="3">
        <f t="shared" si="15"/>
        <v>7.1202768358944624E+16</v>
      </c>
      <c r="Q70">
        <f t="shared" si="16"/>
        <v>7.5261627954532564</v>
      </c>
      <c r="R70"/>
    </row>
    <row r="71" spans="1:18">
      <c r="A71">
        <f t="shared" si="4"/>
        <v>0</v>
      </c>
      <c r="B71">
        <f t="shared" ref="B71:B83" si="37">IF(P70&lt;$E$9,0,IF(P70&gt;$D$8,3,IF(P70&gt;$D$8-$E$9,2,1)))</f>
        <v>1</v>
      </c>
      <c r="C71">
        <f t="shared" si="31"/>
        <v>11.835586727585037</v>
      </c>
      <c r="D71" s="4">
        <f t="shared" si="32"/>
        <v>0</v>
      </c>
      <c r="E71" s="21">
        <f t="shared" si="33"/>
        <v>321970717863.57623</v>
      </c>
      <c r="F71" s="21">
        <f t="shared" si="0"/>
        <v>0</v>
      </c>
      <c r="G71" s="21">
        <f t="shared" si="8"/>
        <v>1380261.977896204</v>
      </c>
      <c r="H71" s="43">
        <f t="shared" si="34"/>
        <v>0.99666416232133304</v>
      </c>
      <c r="I71" s="21">
        <f t="shared" si="35"/>
        <v>129898421.82912558</v>
      </c>
      <c r="J71" s="3">
        <f t="shared" si="1"/>
        <v>1.3426290479811602</v>
      </c>
      <c r="K71" s="3">
        <f t="shared" si="11"/>
        <v>200045375.3365832</v>
      </c>
      <c r="L71" s="41">
        <f t="shared" si="12"/>
        <v>0.66727954622722097</v>
      </c>
      <c r="M71" s="3">
        <f t="shared" si="13"/>
        <v>148995268.37839594</v>
      </c>
      <c r="N71" s="41">
        <f t="shared" si="2"/>
        <v>0.66727954622722097</v>
      </c>
      <c r="O71" s="3">
        <f t="shared" si="3"/>
        <v>3927801419116496</v>
      </c>
      <c r="P71" s="3">
        <f t="shared" si="15"/>
        <v>7.2781006343125056E+16</v>
      </c>
      <c r="Q71">
        <f t="shared" si="16"/>
        <v>7.6929832193310279</v>
      </c>
      <c r="R71"/>
    </row>
    <row r="72" spans="1:18">
      <c r="A72">
        <f t="shared" si="4"/>
        <v>0</v>
      </c>
      <c r="B72">
        <f t="shared" si="37"/>
        <v>1</v>
      </c>
      <c r="C72">
        <f t="shared" si="31"/>
        <v>12.085586727585037</v>
      </c>
      <c r="D72" s="4">
        <f t="shared" si="32"/>
        <v>0</v>
      </c>
      <c r="E72" s="21">
        <f t="shared" si="33"/>
        <v>321967957339.62042</v>
      </c>
      <c r="F72" s="21">
        <f t="shared" si="0"/>
        <v>0</v>
      </c>
      <c r="G72" s="21">
        <f t="shared" si="8"/>
        <v>1380261.977896204</v>
      </c>
      <c r="H72" s="43">
        <f t="shared" si="34"/>
        <v>0.99661850076303804</v>
      </c>
      <c r="I72" s="21">
        <f t="shared" si="35"/>
        <v>131278683.80702178</v>
      </c>
      <c r="J72" s="3">
        <f t="shared" si="1"/>
        <v>1.3426290479811602</v>
      </c>
      <c r="K72" s="3">
        <f t="shared" si="11"/>
        <v>200045375.3365832</v>
      </c>
      <c r="L72" s="41">
        <f t="shared" si="12"/>
        <v>0.66727954622722097</v>
      </c>
      <c r="M72" s="3">
        <f t="shared" si="13"/>
        <v>148995268.37839594</v>
      </c>
      <c r="N72" s="41">
        <f t="shared" si="2"/>
        <v>0.66727954622722097</v>
      </c>
      <c r="O72" s="3">
        <f t="shared" si="3"/>
        <v>3927801419116496</v>
      </c>
      <c r="P72" s="3">
        <f t="shared" si="15"/>
        <v>7.4359244327305488E+16</v>
      </c>
      <c r="Q72">
        <f t="shared" si="16"/>
        <v>7.8598036432087994</v>
      </c>
      <c r="R72"/>
    </row>
    <row r="73" spans="1:18">
      <c r="A73">
        <f t="shared" si="4"/>
        <v>0</v>
      </c>
      <c r="B73">
        <f t="shared" si="37"/>
        <v>1</v>
      </c>
      <c r="C73">
        <f t="shared" si="31"/>
        <v>12.335586727585037</v>
      </c>
      <c r="D73" s="4">
        <f t="shared" si="32"/>
        <v>0</v>
      </c>
      <c r="E73" s="21">
        <f t="shared" si="33"/>
        <v>321965196815.66461</v>
      </c>
      <c r="F73" s="21">
        <f t="shared" si="0"/>
        <v>0</v>
      </c>
      <c r="G73" s="21">
        <f t="shared" si="8"/>
        <v>1380261.977896204</v>
      </c>
      <c r="H73" s="43">
        <f t="shared" si="34"/>
        <v>0.99657283920474304</v>
      </c>
      <c r="I73" s="21">
        <f t="shared" si="35"/>
        <v>132658945.78491798</v>
      </c>
      <c r="J73" s="3">
        <f t="shared" si="1"/>
        <v>1.3426290479811602</v>
      </c>
      <c r="K73" s="3">
        <f t="shared" si="11"/>
        <v>200045375.3365832</v>
      </c>
      <c r="L73" s="41">
        <f t="shared" si="12"/>
        <v>0.66727954622722097</v>
      </c>
      <c r="M73" s="3">
        <f t="shared" si="13"/>
        <v>148995268.37839594</v>
      </c>
      <c r="N73" s="41">
        <f t="shared" si="2"/>
        <v>0.66727954622722097</v>
      </c>
      <c r="O73" s="3">
        <f t="shared" si="3"/>
        <v>3927801419116496</v>
      </c>
      <c r="P73" s="3">
        <f t="shared" si="15"/>
        <v>7.593748231148592E+16</v>
      </c>
      <c r="Q73">
        <f t="shared" si="16"/>
        <v>8.0266240670865709</v>
      </c>
      <c r="R73"/>
    </row>
    <row r="74" spans="1:18">
      <c r="A74">
        <f t="shared" si="4"/>
        <v>0</v>
      </c>
      <c r="B74">
        <f t="shared" si="37"/>
        <v>1</v>
      </c>
      <c r="C74">
        <f t="shared" si="31"/>
        <v>12.585586727585037</v>
      </c>
      <c r="D74" s="4">
        <f t="shared" si="32"/>
        <v>0</v>
      </c>
      <c r="E74" s="21">
        <f t="shared" si="33"/>
        <v>321962436291.7088</v>
      </c>
      <c r="F74" s="21">
        <f t="shared" si="0"/>
        <v>0</v>
      </c>
      <c r="G74" s="21">
        <f t="shared" si="8"/>
        <v>1380261.977896204</v>
      </c>
      <c r="H74" s="43">
        <f t="shared" si="34"/>
        <v>0.99652717764644805</v>
      </c>
      <c r="I74" s="21">
        <f t="shared" si="35"/>
        <v>134039207.76281418</v>
      </c>
      <c r="J74" s="3">
        <f t="shared" si="1"/>
        <v>1.3426290479811602</v>
      </c>
      <c r="K74" s="3">
        <f t="shared" si="11"/>
        <v>200045375.3365832</v>
      </c>
      <c r="L74" s="41">
        <f t="shared" si="12"/>
        <v>0.66727954622722097</v>
      </c>
      <c r="M74" s="3">
        <f t="shared" si="13"/>
        <v>148995268.37839594</v>
      </c>
      <c r="N74" s="41">
        <f t="shared" si="2"/>
        <v>0.66727954622722097</v>
      </c>
      <c r="O74" s="3">
        <f t="shared" si="3"/>
        <v>3927801419116496</v>
      </c>
      <c r="P74" s="3">
        <f t="shared" si="15"/>
        <v>7.7515720295666352E+16</v>
      </c>
      <c r="Q74">
        <f t="shared" si="16"/>
        <v>8.1934444909643425</v>
      </c>
      <c r="R74"/>
    </row>
    <row r="75" spans="1:18">
      <c r="A75">
        <f t="shared" si="4"/>
        <v>0</v>
      </c>
      <c r="B75">
        <f t="shared" si="37"/>
        <v>1</v>
      </c>
      <c r="C75">
        <f t="shared" si="31"/>
        <v>12.835586727585037</v>
      </c>
      <c r="D75" s="4">
        <f t="shared" si="32"/>
        <v>0</v>
      </c>
      <c r="E75" s="21">
        <f t="shared" si="33"/>
        <v>321959675767.75299</v>
      </c>
      <c r="F75" s="21">
        <f t="shared" si="0"/>
        <v>0</v>
      </c>
      <c r="G75" s="21">
        <f t="shared" si="8"/>
        <v>1380261.977896204</v>
      </c>
      <c r="H75" s="43">
        <f t="shared" si="34"/>
        <v>0.99648151608815305</v>
      </c>
      <c r="I75" s="21">
        <f t="shared" si="35"/>
        <v>135419469.74071038</v>
      </c>
      <c r="J75" s="3">
        <f t="shared" si="1"/>
        <v>1.3426290479811602</v>
      </c>
      <c r="K75" s="3">
        <f t="shared" si="11"/>
        <v>200045375.3365832</v>
      </c>
      <c r="L75" s="41">
        <f t="shared" si="12"/>
        <v>0.66727954622722097</v>
      </c>
      <c r="M75" s="3">
        <f t="shared" si="13"/>
        <v>148995268.37839594</v>
      </c>
      <c r="N75" s="41">
        <f t="shared" si="2"/>
        <v>0.66727954622722097</v>
      </c>
      <c r="O75" s="3">
        <f t="shared" si="3"/>
        <v>3927801419116496</v>
      </c>
      <c r="P75" s="3">
        <f t="shared" si="15"/>
        <v>7.9093958279846784E+16</v>
      </c>
      <c r="Q75">
        <f t="shared" si="16"/>
        <v>8.360264914842114</v>
      </c>
      <c r="R75"/>
    </row>
    <row r="76" spans="1:18">
      <c r="A76">
        <f t="shared" si="4"/>
        <v>0</v>
      </c>
      <c r="B76">
        <f t="shared" si="37"/>
        <v>1</v>
      </c>
      <c r="C76">
        <f t="shared" si="31"/>
        <v>13.085586727585037</v>
      </c>
      <c r="D76" s="4">
        <f t="shared" si="32"/>
        <v>0</v>
      </c>
      <c r="E76" s="21">
        <f t="shared" si="33"/>
        <v>321956915243.79718</v>
      </c>
      <c r="F76" s="21">
        <f t="shared" si="0"/>
        <v>0</v>
      </c>
      <c r="G76" s="21">
        <f t="shared" si="8"/>
        <v>1380261.977896204</v>
      </c>
      <c r="H76" s="43">
        <f t="shared" si="34"/>
        <v>0.99643585452985795</v>
      </c>
      <c r="I76" s="21">
        <f t="shared" si="35"/>
        <v>136799731.71860659</v>
      </c>
      <c r="J76" s="3">
        <f t="shared" si="1"/>
        <v>1.3426290479811602</v>
      </c>
      <c r="K76" s="3">
        <f t="shared" si="11"/>
        <v>200045375.3365832</v>
      </c>
      <c r="L76" s="41">
        <f t="shared" si="12"/>
        <v>0.66727954622722097</v>
      </c>
      <c r="M76" s="3">
        <f t="shared" si="13"/>
        <v>148995268.37839594</v>
      </c>
      <c r="N76" s="41">
        <f t="shared" si="2"/>
        <v>0.66727954622722097</v>
      </c>
      <c r="O76" s="3">
        <f t="shared" si="3"/>
        <v>3927801419116496</v>
      </c>
      <c r="P76" s="3">
        <f t="shared" si="15"/>
        <v>8.0672196264027216E+16</v>
      </c>
      <c r="Q76">
        <f t="shared" si="16"/>
        <v>8.5270853387198855</v>
      </c>
      <c r="R76"/>
    </row>
    <row r="77" spans="1:18">
      <c r="A77">
        <f t="shared" si="4"/>
        <v>0</v>
      </c>
      <c r="B77">
        <f t="shared" si="37"/>
        <v>1</v>
      </c>
      <c r="C77">
        <f t="shared" si="31"/>
        <v>13.335586727585037</v>
      </c>
      <c r="D77" s="4">
        <f t="shared" si="32"/>
        <v>0</v>
      </c>
      <c r="E77" s="21">
        <f t="shared" si="33"/>
        <v>321954154719.84137</v>
      </c>
      <c r="F77" s="21">
        <f t="shared" si="0"/>
        <v>0</v>
      </c>
      <c r="G77" s="21">
        <f t="shared" si="8"/>
        <v>1380261.977896204</v>
      </c>
      <c r="H77" s="43">
        <f t="shared" si="34"/>
        <v>0.99639019297156295</v>
      </c>
      <c r="I77" s="21">
        <f t="shared" si="35"/>
        <v>138179993.6965028</v>
      </c>
      <c r="J77" s="3">
        <f t="shared" si="1"/>
        <v>1.3426290479811602</v>
      </c>
      <c r="K77" s="3">
        <f t="shared" si="11"/>
        <v>200045375.3365832</v>
      </c>
      <c r="L77" s="41">
        <f t="shared" si="12"/>
        <v>0.66727954622722097</v>
      </c>
      <c r="M77" s="3">
        <f t="shared" si="13"/>
        <v>148995268.37839594</v>
      </c>
      <c r="N77" s="41">
        <f t="shared" si="2"/>
        <v>0.66727954622722097</v>
      </c>
      <c r="O77" s="3">
        <f t="shared" si="3"/>
        <v>3927801419116496</v>
      </c>
      <c r="P77" s="3">
        <f t="shared" si="15"/>
        <v>8.2250434248207648E+16</v>
      </c>
      <c r="Q77">
        <f t="shared" si="16"/>
        <v>8.693905762597657</v>
      </c>
      <c r="R77"/>
    </row>
    <row r="78" spans="1:18">
      <c r="A78">
        <f t="shared" si="4"/>
        <v>0</v>
      </c>
      <c r="B78">
        <f t="shared" si="37"/>
        <v>1</v>
      </c>
      <c r="C78">
        <f t="shared" si="31"/>
        <v>13.585586727585037</v>
      </c>
      <c r="D78" s="4">
        <f t="shared" si="32"/>
        <v>0</v>
      </c>
      <c r="E78" s="21">
        <f t="shared" si="33"/>
        <v>321951394195.88556</v>
      </c>
      <c r="F78" s="21">
        <f t="shared" si="0"/>
        <v>0</v>
      </c>
      <c r="G78" s="21">
        <f t="shared" si="8"/>
        <v>1380261.977896204</v>
      </c>
      <c r="H78" s="43">
        <f t="shared" si="34"/>
        <v>0.99634453141326795</v>
      </c>
      <c r="I78" s="21">
        <f t="shared" si="35"/>
        <v>139560255.67439902</v>
      </c>
      <c r="J78" s="3">
        <f t="shared" si="1"/>
        <v>1.3426290479811602</v>
      </c>
      <c r="K78" s="3">
        <f t="shared" si="11"/>
        <v>200045375.3365832</v>
      </c>
      <c r="L78" s="41">
        <f t="shared" si="12"/>
        <v>0.66727954622722097</v>
      </c>
      <c r="M78" s="3">
        <f t="shared" si="13"/>
        <v>148995268.37839594</v>
      </c>
      <c r="N78" s="41">
        <f t="shared" si="2"/>
        <v>0.66727954622722097</v>
      </c>
      <c r="O78" s="3">
        <f t="shared" si="3"/>
        <v>3927801419116496</v>
      </c>
      <c r="P78" s="3">
        <f t="shared" si="15"/>
        <v>8.382867223238808E+16</v>
      </c>
      <c r="Q78">
        <f t="shared" si="16"/>
        <v>8.8607261864754285</v>
      </c>
      <c r="R78"/>
    </row>
    <row r="79" spans="1:18">
      <c r="A79">
        <f t="shared" si="4"/>
        <v>0</v>
      </c>
      <c r="B79">
        <f t="shared" si="37"/>
        <v>1</v>
      </c>
      <c r="C79">
        <f t="shared" si="31"/>
        <v>13.835586727585037</v>
      </c>
      <c r="D79" s="4">
        <f t="shared" si="32"/>
        <v>0</v>
      </c>
      <c r="E79" s="21">
        <f t="shared" si="33"/>
        <v>321948633671.92975</v>
      </c>
      <c r="F79" s="21">
        <f t="shared" si="0"/>
        <v>0</v>
      </c>
      <c r="G79" s="21">
        <f t="shared" si="8"/>
        <v>1380261.977896204</v>
      </c>
      <c r="H79" s="43">
        <f t="shared" si="34"/>
        <v>0.99629886985497296</v>
      </c>
      <c r="I79" s="21">
        <f t="shared" si="35"/>
        <v>140940517.65229523</v>
      </c>
      <c r="J79" s="3">
        <f t="shared" si="1"/>
        <v>1.3426290479811602</v>
      </c>
      <c r="K79" s="3">
        <f t="shared" si="11"/>
        <v>200045375.3365832</v>
      </c>
      <c r="L79" s="41">
        <f t="shared" si="12"/>
        <v>0.66727954622722097</v>
      </c>
      <c r="M79" s="3">
        <f t="shared" si="13"/>
        <v>148995268.37839594</v>
      </c>
      <c r="N79" s="41">
        <f t="shared" si="2"/>
        <v>0.66727954622722097</v>
      </c>
      <c r="O79" s="3">
        <f t="shared" si="3"/>
        <v>3927801419116496</v>
      </c>
      <c r="P79" s="3">
        <f t="shared" si="15"/>
        <v>8.5406910216568512E+16</v>
      </c>
      <c r="Q79">
        <f t="shared" si="16"/>
        <v>9.0275466103532001</v>
      </c>
      <c r="R79"/>
    </row>
    <row r="80" spans="1:18">
      <c r="A80">
        <f t="shared" si="4"/>
        <v>0</v>
      </c>
      <c r="B80">
        <f t="shared" si="37"/>
        <v>1</v>
      </c>
      <c r="C80">
        <f t="shared" si="31"/>
        <v>14.085586727585037</v>
      </c>
      <c r="D80" s="4">
        <f t="shared" si="32"/>
        <v>0</v>
      </c>
      <c r="E80" s="21">
        <f t="shared" si="33"/>
        <v>321945873147.97394</v>
      </c>
      <c r="F80" s="21">
        <f t="shared" si="0"/>
        <v>0</v>
      </c>
      <c r="G80" s="21">
        <f t="shared" si="8"/>
        <v>1380261.977896204</v>
      </c>
      <c r="H80" s="43">
        <f t="shared" si="34"/>
        <v>0.99625320829667796</v>
      </c>
      <c r="I80" s="21">
        <f t="shared" si="35"/>
        <v>142320779.63019145</v>
      </c>
      <c r="J80" s="3">
        <f t="shared" si="1"/>
        <v>1.3426290479811602</v>
      </c>
      <c r="K80" s="3">
        <f t="shared" si="11"/>
        <v>200045375.3365832</v>
      </c>
      <c r="L80" s="41">
        <f t="shared" si="12"/>
        <v>0.66727954622722097</v>
      </c>
      <c r="M80" s="3">
        <f t="shared" si="13"/>
        <v>148995268.37839594</v>
      </c>
      <c r="N80" s="41">
        <f t="shared" si="2"/>
        <v>0.66727954622722097</v>
      </c>
      <c r="O80" s="3">
        <f t="shared" si="3"/>
        <v>3927801419116496</v>
      </c>
      <c r="P80" s="3">
        <f t="shared" si="15"/>
        <v>8.6985148200748944E+16</v>
      </c>
      <c r="Q80">
        <f t="shared" si="16"/>
        <v>9.1943670342309698</v>
      </c>
      <c r="R80"/>
    </row>
    <row r="81" spans="1:18">
      <c r="A81">
        <f t="shared" si="4"/>
        <v>0</v>
      </c>
      <c r="B81">
        <f t="shared" si="37"/>
        <v>1</v>
      </c>
      <c r="C81">
        <f t="shared" si="31"/>
        <v>14.335586727585037</v>
      </c>
      <c r="D81" s="4">
        <f t="shared" si="32"/>
        <v>0</v>
      </c>
      <c r="E81" s="21">
        <f t="shared" si="33"/>
        <v>321943112624.01813</v>
      </c>
      <c r="F81" s="21">
        <f t="shared" si="0"/>
        <v>0</v>
      </c>
      <c r="G81" s="21">
        <f t="shared" si="8"/>
        <v>1380261.977896204</v>
      </c>
      <c r="H81" s="43">
        <f t="shared" si="34"/>
        <v>0.99620754673838285</v>
      </c>
      <c r="I81" s="21">
        <f t="shared" si="35"/>
        <v>143701041.60808766</v>
      </c>
      <c r="J81" s="3">
        <f t="shared" si="1"/>
        <v>1.3426290479811602</v>
      </c>
      <c r="K81" s="3">
        <f t="shared" si="11"/>
        <v>200045375.3365832</v>
      </c>
      <c r="L81" s="41">
        <f t="shared" si="12"/>
        <v>0.66727954622722097</v>
      </c>
      <c r="M81" s="3">
        <f t="shared" si="13"/>
        <v>148995268.37839594</v>
      </c>
      <c r="N81" s="41">
        <f t="shared" si="2"/>
        <v>0.66727954622722097</v>
      </c>
      <c r="O81" s="3">
        <f t="shared" si="3"/>
        <v>3927801419116496</v>
      </c>
      <c r="P81" s="3">
        <f t="shared" si="15"/>
        <v>8.8563386184929376E+16</v>
      </c>
      <c r="Q81">
        <f t="shared" si="16"/>
        <v>9.3611874581087413</v>
      </c>
      <c r="R81"/>
    </row>
    <row r="82" spans="1:18">
      <c r="A82">
        <f t="shared" si="4"/>
        <v>0</v>
      </c>
      <c r="B82">
        <f t="shared" si="37"/>
        <v>1</v>
      </c>
      <c r="C82">
        <f t="shared" si="31"/>
        <v>14.585586727585037</v>
      </c>
      <c r="D82" s="4">
        <f t="shared" si="32"/>
        <v>0</v>
      </c>
      <c r="E82" s="21">
        <f t="shared" si="33"/>
        <v>321940352100.06232</v>
      </c>
      <c r="F82" s="21">
        <f t="shared" si="0"/>
        <v>0</v>
      </c>
      <c r="G82" s="21">
        <f t="shared" si="8"/>
        <v>1380261.977896204</v>
      </c>
      <c r="H82" s="43">
        <f t="shared" si="34"/>
        <v>0.99616188518008786</v>
      </c>
      <c r="I82" s="21">
        <f t="shared" si="35"/>
        <v>145081303.58598387</v>
      </c>
      <c r="J82" s="3">
        <f t="shared" si="1"/>
        <v>1.3426290479811602</v>
      </c>
      <c r="K82" s="3">
        <f t="shared" si="11"/>
        <v>200045375.3365832</v>
      </c>
      <c r="L82" s="41">
        <f t="shared" si="12"/>
        <v>0.66727954622722097</v>
      </c>
      <c r="M82" s="3">
        <f t="shared" si="13"/>
        <v>148995268.37839594</v>
      </c>
      <c r="N82" s="41">
        <f t="shared" si="2"/>
        <v>0.66727954622722097</v>
      </c>
      <c r="O82" s="3">
        <f t="shared" si="3"/>
        <v>3927801419116496</v>
      </c>
      <c r="P82" s="3">
        <f t="shared" si="15"/>
        <v>9.0141624169109808E+16</v>
      </c>
      <c r="Q82">
        <f t="shared" si="16"/>
        <v>9.5280078819865128</v>
      </c>
      <c r="R82"/>
    </row>
    <row r="83" spans="1:18">
      <c r="A83">
        <f t="shared" si="4"/>
        <v>0</v>
      </c>
      <c r="B83">
        <f t="shared" si="37"/>
        <v>1</v>
      </c>
      <c r="C83">
        <f t="shared" si="31"/>
        <v>14.835586727585037</v>
      </c>
      <c r="D83" s="4">
        <f t="shared" si="32"/>
        <v>0</v>
      </c>
      <c r="E83" s="21">
        <f t="shared" si="33"/>
        <v>321937591576.10651</v>
      </c>
      <c r="F83" s="21">
        <f t="shared" ref="F83:F146" si="38">IF(B83=1,0,IF(B83=3,0,IF(E83&gt;$C$3,E83*$C$5,0)))</f>
        <v>0</v>
      </c>
      <c r="G83" s="21">
        <f t="shared" si="8"/>
        <v>1380261.977896204</v>
      </c>
      <c r="H83" s="43">
        <f t="shared" si="34"/>
        <v>0.99611622362179286</v>
      </c>
      <c r="I83" s="21">
        <f t="shared" si="35"/>
        <v>146461565.56388009</v>
      </c>
      <c r="J83" s="3">
        <f t="shared" ref="J83:J146" si="39">IF(B83=1,$J$9,SQRT(1+($C$5*A83/$C$16)^2))</f>
        <v>1.3426290479811602</v>
      </c>
      <c r="K83" s="3">
        <f t="shared" si="11"/>
        <v>200045375.3365832</v>
      </c>
      <c r="L83" s="41">
        <f t="shared" ref="L83:L146" si="40">K83/$C$16</f>
        <v>0.66727954622722097</v>
      </c>
      <c r="M83" s="3">
        <f t="shared" ref="M83:M146" si="41">K83/J83</f>
        <v>148995268.37839594</v>
      </c>
      <c r="N83" s="41">
        <f t="shared" ref="N83:N146" si="42">K83/$C$16</f>
        <v>0.66727954622722097</v>
      </c>
      <c r="O83" s="3">
        <f t="shared" ref="O83:O146" si="43">$D$16/$C$5*(J83-1)</f>
        <v>3927801419116496</v>
      </c>
      <c r="P83" s="3">
        <f t="shared" si="15"/>
        <v>9.171986215329024E+16</v>
      </c>
      <c r="Q83">
        <f t="shared" si="16"/>
        <v>9.6948283058642843</v>
      </c>
      <c r="R83"/>
    </row>
    <row r="84" spans="1:18">
      <c r="A84">
        <f t="shared" ref="A84:A147" si="44">IF(B84=3,0,IF(B84=1,0,IF(B84=0,C84,$G$8-C84)))*$C$14</f>
        <v>0</v>
      </c>
      <c r="B84">
        <f t="shared" ref="B84:B147" si="45">IF(P83&lt;$E$9,0,IF(P83&gt;$D$8,3,IF(P83&gt;$D$8-$E$9,2,1)))</f>
        <v>1</v>
      </c>
      <c r="C84">
        <f t="shared" si="31"/>
        <v>15.085586727585037</v>
      </c>
      <c r="D84" s="4">
        <f t="shared" si="32"/>
        <v>0</v>
      </c>
      <c r="E84" s="21">
        <f t="shared" si="33"/>
        <v>321934831052.1507</v>
      </c>
      <c r="F84" s="21">
        <f t="shared" si="38"/>
        <v>0</v>
      </c>
      <c r="G84" s="21">
        <f t="shared" ref="G84:G147" si="46">F84*$C$14*$D$11*$C$6/1000+$C$12</f>
        <v>1380261.977896204</v>
      </c>
      <c r="H84" s="43">
        <f t="shared" si="34"/>
        <v>0.99607056206349787</v>
      </c>
      <c r="I84" s="21">
        <f t="shared" si="35"/>
        <v>147841827.5417763</v>
      </c>
      <c r="J84" s="3">
        <f t="shared" si="39"/>
        <v>1.3426290479811602</v>
      </c>
      <c r="K84" s="3">
        <f t="shared" ref="K84:K147" si="47">IF(B84=1,$K$9,$C$5*A84/J84)</f>
        <v>200045375.3365832</v>
      </c>
      <c r="L84" s="41">
        <f t="shared" si="40"/>
        <v>0.66727954622722097</v>
      </c>
      <c r="M84" s="3">
        <f t="shared" si="41"/>
        <v>148995268.37839594</v>
      </c>
      <c r="N84" s="41">
        <f t="shared" si="42"/>
        <v>0.66727954622722097</v>
      </c>
      <c r="O84" s="3">
        <f t="shared" si="43"/>
        <v>3927801419116496</v>
      </c>
      <c r="P84" s="3">
        <f t="shared" ref="P84:P147" si="48">IF(B84=0,O84,IF(B84=2,$D$8-O84,IF(B84=1,P83+$K$9*(C84-C83)*$C$14)))</f>
        <v>9.3298100137470672E+16</v>
      </c>
      <c r="Q84">
        <f t="shared" ref="Q84:Q147" si="49">P84/$C$15</f>
        <v>9.8616487297420559</v>
      </c>
      <c r="R84"/>
    </row>
    <row r="85" spans="1:18">
      <c r="A85">
        <f t="shared" si="44"/>
        <v>0</v>
      </c>
      <c r="B85">
        <f t="shared" si="45"/>
        <v>1</v>
      </c>
      <c r="C85">
        <f t="shared" si="31"/>
        <v>15.335586727585037</v>
      </c>
      <c r="D85" s="4">
        <f t="shared" si="32"/>
        <v>0</v>
      </c>
      <c r="E85" s="21">
        <f t="shared" si="33"/>
        <v>321932070528.19489</v>
      </c>
      <c r="F85" s="21">
        <f t="shared" si="38"/>
        <v>0</v>
      </c>
      <c r="G85" s="21">
        <f t="shared" si="46"/>
        <v>1380261.977896204</v>
      </c>
      <c r="H85" s="43">
        <f t="shared" si="34"/>
        <v>0.99602490050520287</v>
      </c>
      <c r="I85" s="21">
        <f t="shared" si="35"/>
        <v>149222089.51967251</v>
      </c>
      <c r="J85" s="3">
        <f t="shared" si="39"/>
        <v>1.3426290479811602</v>
      </c>
      <c r="K85" s="3">
        <f t="shared" si="47"/>
        <v>200045375.3365832</v>
      </c>
      <c r="L85" s="41">
        <f t="shared" si="40"/>
        <v>0.66727954622722097</v>
      </c>
      <c r="M85" s="3">
        <f t="shared" si="41"/>
        <v>148995268.37839594</v>
      </c>
      <c r="N85" s="41">
        <f t="shared" si="42"/>
        <v>0.66727954622722097</v>
      </c>
      <c r="O85" s="3">
        <f t="shared" si="43"/>
        <v>3927801419116496</v>
      </c>
      <c r="P85" s="3">
        <f t="shared" si="48"/>
        <v>9.4876338121651104E+16</v>
      </c>
      <c r="Q85">
        <f t="shared" si="49"/>
        <v>10.028469153619827</v>
      </c>
      <c r="R85"/>
    </row>
    <row r="86" spans="1:18">
      <c r="A86">
        <f t="shared" si="44"/>
        <v>0</v>
      </c>
      <c r="B86">
        <f t="shared" si="45"/>
        <v>1</v>
      </c>
      <c r="C86">
        <f t="shared" si="31"/>
        <v>15.585586727585037</v>
      </c>
      <c r="D86" s="4">
        <f t="shared" si="32"/>
        <v>0</v>
      </c>
      <c r="E86" s="21">
        <f t="shared" si="33"/>
        <v>321929310004.23907</v>
      </c>
      <c r="F86" s="21">
        <f t="shared" si="38"/>
        <v>0</v>
      </c>
      <c r="G86" s="21">
        <f t="shared" si="46"/>
        <v>1380261.977896204</v>
      </c>
      <c r="H86" s="43">
        <f t="shared" si="34"/>
        <v>0.99597923894690787</v>
      </c>
      <c r="I86" s="21">
        <f t="shared" si="35"/>
        <v>150602351.49756873</v>
      </c>
      <c r="J86" s="3">
        <f t="shared" si="39"/>
        <v>1.3426290479811602</v>
      </c>
      <c r="K86" s="3">
        <f t="shared" si="47"/>
        <v>200045375.3365832</v>
      </c>
      <c r="L86" s="41">
        <f t="shared" si="40"/>
        <v>0.66727954622722097</v>
      </c>
      <c r="M86" s="3">
        <f t="shared" si="41"/>
        <v>148995268.37839594</v>
      </c>
      <c r="N86" s="41">
        <f t="shared" si="42"/>
        <v>0.66727954622722097</v>
      </c>
      <c r="O86" s="3">
        <f t="shared" si="43"/>
        <v>3927801419116496</v>
      </c>
      <c r="P86" s="3">
        <f t="shared" si="48"/>
        <v>9.6454576105831536E+16</v>
      </c>
      <c r="Q86">
        <f t="shared" si="49"/>
        <v>10.195289577497599</v>
      </c>
      <c r="R86"/>
    </row>
    <row r="87" spans="1:18">
      <c r="A87">
        <f t="shared" si="44"/>
        <v>0</v>
      </c>
      <c r="B87">
        <f t="shared" si="45"/>
        <v>1</v>
      </c>
      <c r="C87">
        <f t="shared" si="31"/>
        <v>15.835586727585037</v>
      </c>
      <c r="D87" s="4">
        <f t="shared" si="32"/>
        <v>0</v>
      </c>
      <c r="E87" s="21">
        <f t="shared" si="33"/>
        <v>321926549480.28326</v>
      </c>
      <c r="F87" s="21">
        <f t="shared" si="38"/>
        <v>0</v>
      </c>
      <c r="G87" s="21">
        <f t="shared" si="46"/>
        <v>1380261.977896204</v>
      </c>
      <c r="H87" s="43">
        <f t="shared" si="34"/>
        <v>0.99593357738861277</v>
      </c>
      <c r="I87" s="21">
        <f t="shared" si="35"/>
        <v>151982613.47546494</v>
      </c>
      <c r="J87" s="3">
        <f t="shared" si="39"/>
        <v>1.3426290479811602</v>
      </c>
      <c r="K87" s="3">
        <f t="shared" si="47"/>
        <v>200045375.3365832</v>
      </c>
      <c r="L87" s="41">
        <f t="shared" si="40"/>
        <v>0.66727954622722097</v>
      </c>
      <c r="M87" s="3">
        <f t="shared" si="41"/>
        <v>148995268.37839594</v>
      </c>
      <c r="N87" s="41">
        <f t="shared" si="42"/>
        <v>0.66727954622722097</v>
      </c>
      <c r="O87" s="3">
        <f t="shared" si="43"/>
        <v>3927801419116496</v>
      </c>
      <c r="P87" s="3">
        <f t="shared" si="48"/>
        <v>9.8032814090011968E+16</v>
      </c>
      <c r="Q87">
        <f t="shared" si="49"/>
        <v>10.36211000137537</v>
      </c>
      <c r="R87"/>
    </row>
    <row r="88" spans="1:18">
      <c r="A88">
        <f t="shared" si="44"/>
        <v>0</v>
      </c>
      <c r="B88">
        <f t="shared" si="45"/>
        <v>1</v>
      </c>
      <c r="C88">
        <f t="shared" si="31"/>
        <v>16.085586727585039</v>
      </c>
      <c r="D88" s="4">
        <f t="shared" si="32"/>
        <v>0</v>
      </c>
      <c r="E88" s="21">
        <f t="shared" si="33"/>
        <v>321923788956.32745</v>
      </c>
      <c r="F88" s="21">
        <f t="shared" si="38"/>
        <v>0</v>
      </c>
      <c r="G88" s="21">
        <f t="shared" si="46"/>
        <v>1380261.977896204</v>
      </c>
      <c r="H88" s="43">
        <f t="shared" si="34"/>
        <v>0.99588791583031777</v>
      </c>
      <c r="I88" s="21">
        <f t="shared" si="35"/>
        <v>153362875.45336115</v>
      </c>
      <c r="J88" s="3">
        <f t="shared" si="39"/>
        <v>1.3426290479811602</v>
      </c>
      <c r="K88" s="3">
        <f t="shared" si="47"/>
        <v>200045375.3365832</v>
      </c>
      <c r="L88" s="41">
        <f t="shared" si="40"/>
        <v>0.66727954622722097</v>
      </c>
      <c r="M88" s="3">
        <f t="shared" si="41"/>
        <v>148995268.37839594</v>
      </c>
      <c r="N88" s="41">
        <f t="shared" si="42"/>
        <v>0.66727954622722097</v>
      </c>
      <c r="O88" s="3">
        <f t="shared" si="43"/>
        <v>3927801419116496</v>
      </c>
      <c r="P88" s="3">
        <f t="shared" si="48"/>
        <v>9.9611052074192416E+16</v>
      </c>
      <c r="Q88">
        <f t="shared" si="49"/>
        <v>10.528930425253144</v>
      </c>
      <c r="R88"/>
    </row>
    <row r="89" spans="1:18">
      <c r="A89">
        <f t="shared" si="44"/>
        <v>0</v>
      </c>
      <c r="B89">
        <f t="shared" si="45"/>
        <v>1</v>
      </c>
      <c r="C89">
        <f t="shared" si="31"/>
        <v>16.335586727585039</v>
      </c>
      <c r="D89" s="4">
        <f t="shared" si="32"/>
        <v>0</v>
      </c>
      <c r="E89" s="21">
        <f t="shared" si="33"/>
        <v>321921028432.37164</v>
      </c>
      <c r="F89" s="21">
        <f t="shared" si="38"/>
        <v>0</v>
      </c>
      <c r="G89" s="21">
        <f t="shared" si="46"/>
        <v>1380261.977896204</v>
      </c>
      <c r="H89" s="43">
        <f t="shared" si="34"/>
        <v>0.99584225427202278</v>
      </c>
      <c r="I89" s="21">
        <f t="shared" si="35"/>
        <v>154743137.43125737</v>
      </c>
      <c r="J89" s="3">
        <f t="shared" si="39"/>
        <v>1.3426290479811602</v>
      </c>
      <c r="K89" s="3">
        <f t="shared" si="47"/>
        <v>200045375.3365832</v>
      </c>
      <c r="L89" s="41">
        <f t="shared" si="40"/>
        <v>0.66727954622722097</v>
      </c>
      <c r="M89" s="3">
        <f t="shared" si="41"/>
        <v>148995268.37839594</v>
      </c>
      <c r="N89" s="41">
        <f t="shared" si="42"/>
        <v>0.66727954622722097</v>
      </c>
      <c r="O89" s="3">
        <f t="shared" si="43"/>
        <v>3927801419116496</v>
      </c>
      <c r="P89" s="3">
        <f t="shared" si="48"/>
        <v>1.0118929005837285E+17</v>
      </c>
      <c r="Q89">
        <f t="shared" si="49"/>
        <v>10.695750849130915</v>
      </c>
      <c r="R89"/>
    </row>
    <row r="90" spans="1:18">
      <c r="A90">
        <f t="shared" si="44"/>
        <v>0</v>
      </c>
      <c r="B90">
        <f t="shared" si="45"/>
        <v>1</v>
      </c>
      <c r="C90">
        <f t="shared" si="31"/>
        <v>16.585586727585039</v>
      </c>
      <c r="D90" s="4">
        <f t="shared" si="32"/>
        <v>0</v>
      </c>
      <c r="E90" s="21">
        <f t="shared" si="33"/>
        <v>321918267908.41583</v>
      </c>
      <c r="F90" s="21">
        <f t="shared" si="38"/>
        <v>0</v>
      </c>
      <c r="G90" s="21">
        <f t="shared" si="46"/>
        <v>1380261.977896204</v>
      </c>
      <c r="H90" s="43">
        <f t="shared" si="34"/>
        <v>0.99579659271372778</v>
      </c>
      <c r="I90" s="21">
        <f t="shared" si="35"/>
        <v>156123399.40915358</v>
      </c>
      <c r="J90" s="3">
        <f t="shared" si="39"/>
        <v>1.3426290479811602</v>
      </c>
      <c r="K90" s="3">
        <f t="shared" si="47"/>
        <v>200045375.3365832</v>
      </c>
      <c r="L90" s="41">
        <f t="shared" si="40"/>
        <v>0.66727954622722097</v>
      </c>
      <c r="M90" s="3">
        <f t="shared" si="41"/>
        <v>148995268.37839594</v>
      </c>
      <c r="N90" s="41">
        <f t="shared" si="42"/>
        <v>0.66727954622722097</v>
      </c>
      <c r="O90" s="3">
        <f t="shared" si="43"/>
        <v>3927801419116496</v>
      </c>
      <c r="P90" s="3">
        <f t="shared" si="48"/>
        <v>1.0276752804255328E+17</v>
      </c>
      <c r="Q90">
        <f t="shared" si="49"/>
        <v>10.862571273008687</v>
      </c>
      <c r="R90"/>
    </row>
    <row r="91" spans="1:18">
      <c r="A91">
        <f t="shared" si="44"/>
        <v>0</v>
      </c>
      <c r="B91">
        <f t="shared" si="45"/>
        <v>1</v>
      </c>
      <c r="C91">
        <f t="shared" si="31"/>
        <v>16.835586727585039</v>
      </c>
      <c r="D91" s="4">
        <f t="shared" si="32"/>
        <v>0</v>
      </c>
      <c r="E91" s="21">
        <f t="shared" si="33"/>
        <v>321915507384.46002</v>
      </c>
      <c r="F91" s="21">
        <f t="shared" si="38"/>
        <v>0</v>
      </c>
      <c r="G91" s="21">
        <f t="shared" si="46"/>
        <v>1380261.977896204</v>
      </c>
      <c r="H91" s="43">
        <f t="shared" si="34"/>
        <v>0.99575093115543278</v>
      </c>
      <c r="I91" s="21">
        <f t="shared" si="35"/>
        <v>157503661.38704979</v>
      </c>
      <c r="J91" s="3">
        <f t="shared" si="39"/>
        <v>1.3426290479811602</v>
      </c>
      <c r="K91" s="3">
        <f t="shared" si="47"/>
        <v>200045375.3365832</v>
      </c>
      <c r="L91" s="41">
        <f t="shared" si="40"/>
        <v>0.66727954622722097</v>
      </c>
      <c r="M91" s="3">
        <f t="shared" si="41"/>
        <v>148995268.37839594</v>
      </c>
      <c r="N91" s="41">
        <f t="shared" si="42"/>
        <v>0.66727954622722097</v>
      </c>
      <c r="O91" s="3">
        <f t="shared" si="43"/>
        <v>3927801419116496</v>
      </c>
      <c r="P91" s="3">
        <f t="shared" si="48"/>
        <v>1.0434576602673371E+17</v>
      </c>
      <c r="Q91">
        <f t="shared" si="49"/>
        <v>11.029391696886458</v>
      </c>
      <c r="R91"/>
    </row>
    <row r="92" spans="1:18">
      <c r="A92">
        <f t="shared" si="44"/>
        <v>0</v>
      </c>
      <c r="B92">
        <f t="shared" si="45"/>
        <v>1</v>
      </c>
      <c r="C92">
        <f t="shared" si="31"/>
        <v>17.085586727585039</v>
      </c>
      <c r="D92" s="4">
        <f t="shared" si="32"/>
        <v>0</v>
      </c>
      <c r="E92" s="21">
        <f t="shared" si="33"/>
        <v>321912746860.50421</v>
      </c>
      <c r="F92" s="21">
        <f t="shared" si="38"/>
        <v>0</v>
      </c>
      <c r="G92" s="21">
        <f t="shared" si="46"/>
        <v>1380261.977896204</v>
      </c>
      <c r="H92" s="43">
        <f t="shared" si="34"/>
        <v>0.99570526959713779</v>
      </c>
      <c r="I92" s="21">
        <f t="shared" si="35"/>
        <v>158883923.36494601</v>
      </c>
      <c r="J92" s="3">
        <f t="shared" si="39"/>
        <v>1.3426290479811602</v>
      </c>
      <c r="K92" s="3">
        <f t="shared" si="47"/>
        <v>200045375.3365832</v>
      </c>
      <c r="L92" s="41">
        <f t="shared" si="40"/>
        <v>0.66727954622722097</v>
      </c>
      <c r="M92" s="3">
        <f t="shared" si="41"/>
        <v>148995268.37839594</v>
      </c>
      <c r="N92" s="41">
        <f t="shared" si="42"/>
        <v>0.66727954622722097</v>
      </c>
      <c r="O92" s="3">
        <f t="shared" si="43"/>
        <v>3927801419116496</v>
      </c>
      <c r="P92" s="3">
        <f t="shared" si="48"/>
        <v>1.0592400401091414E+17</v>
      </c>
      <c r="Q92">
        <f t="shared" si="49"/>
        <v>11.19621212076423</v>
      </c>
      <c r="R92"/>
    </row>
    <row r="93" spans="1:18">
      <c r="A93">
        <f t="shared" si="44"/>
        <v>0</v>
      </c>
      <c r="B93">
        <f t="shared" si="45"/>
        <v>1</v>
      </c>
      <c r="C93">
        <f t="shared" si="31"/>
        <v>17.335586727585039</v>
      </c>
      <c r="D93" s="4">
        <f t="shared" si="32"/>
        <v>0</v>
      </c>
      <c r="E93" s="21">
        <f t="shared" si="33"/>
        <v>321909986336.5484</v>
      </c>
      <c r="F93" s="21">
        <f t="shared" si="38"/>
        <v>0</v>
      </c>
      <c r="G93" s="21">
        <f t="shared" si="46"/>
        <v>1380261.977896204</v>
      </c>
      <c r="H93" s="43">
        <f t="shared" si="34"/>
        <v>0.99565960803884268</v>
      </c>
      <c r="I93" s="21">
        <f t="shared" si="35"/>
        <v>160264185.34284222</v>
      </c>
      <c r="J93" s="3">
        <f t="shared" si="39"/>
        <v>1.3426290479811602</v>
      </c>
      <c r="K93" s="3">
        <f t="shared" si="47"/>
        <v>200045375.3365832</v>
      </c>
      <c r="L93" s="41">
        <f t="shared" si="40"/>
        <v>0.66727954622722097</v>
      </c>
      <c r="M93" s="3">
        <f t="shared" si="41"/>
        <v>148995268.37839594</v>
      </c>
      <c r="N93" s="41">
        <f t="shared" si="42"/>
        <v>0.66727954622722097</v>
      </c>
      <c r="O93" s="3">
        <f t="shared" si="43"/>
        <v>3927801419116496</v>
      </c>
      <c r="P93" s="3">
        <f t="shared" si="48"/>
        <v>1.0750224199509458E+17</v>
      </c>
      <c r="Q93">
        <f t="shared" si="49"/>
        <v>11.363032544642001</v>
      </c>
      <c r="R93"/>
    </row>
    <row r="94" spans="1:18">
      <c r="A94">
        <f t="shared" si="44"/>
        <v>0</v>
      </c>
      <c r="B94">
        <f t="shared" si="45"/>
        <v>1</v>
      </c>
      <c r="C94">
        <f t="shared" si="31"/>
        <v>17.585586727585039</v>
      </c>
      <c r="D94" s="4">
        <f t="shared" si="32"/>
        <v>0</v>
      </c>
      <c r="E94" s="21">
        <f t="shared" si="33"/>
        <v>321907225812.59259</v>
      </c>
      <c r="F94" s="21">
        <f t="shared" si="38"/>
        <v>0</v>
      </c>
      <c r="G94" s="21">
        <f t="shared" si="46"/>
        <v>1380261.977896204</v>
      </c>
      <c r="H94" s="43">
        <f t="shared" si="34"/>
        <v>0.99561394648054768</v>
      </c>
      <c r="I94" s="21">
        <f t="shared" si="35"/>
        <v>161644447.32073843</v>
      </c>
      <c r="J94" s="3">
        <f t="shared" si="39"/>
        <v>1.3426290479811602</v>
      </c>
      <c r="K94" s="3">
        <f t="shared" si="47"/>
        <v>200045375.3365832</v>
      </c>
      <c r="L94" s="41">
        <f t="shared" si="40"/>
        <v>0.66727954622722097</v>
      </c>
      <c r="M94" s="3">
        <f t="shared" si="41"/>
        <v>148995268.37839594</v>
      </c>
      <c r="N94" s="41">
        <f t="shared" si="42"/>
        <v>0.66727954622722097</v>
      </c>
      <c r="O94" s="3">
        <f t="shared" si="43"/>
        <v>3927801419116496</v>
      </c>
      <c r="P94" s="3">
        <f t="shared" si="48"/>
        <v>1.0908047997927501E+17</v>
      </c>
      <c r="Q94">
        <f t="shared" si="49"/>
        <v>11.529852968519773</v>
      </c>
      <c r="R94"/>
    </row>
    <row r="95" spans="1:18">
      <c r="A95">
        <f t="shared" si="44"/>
        <v>0</v>
      </c>
      <c r="B95">
        <f t="shared" si="45"/>
        <v>1</v>
      </c>
      <c r="C95">
        <f t="shared" si="31"/>
        <v>17.835586727585039</v>
      </c>
      <c r="D95" s="4">
        <f t="shared" si="32"/>
        <v>0</v>
      </c>
      <c r="E95" s="21">
        <f t="shared" si="33"/>
        <v>321904465288.63678</v>
      </c>
      <c r="F95" s="21">
        <f t="shared" si="38"/>
        <v>0</v>
      </c>
      <c r="G95" s="21">
        <f t="shared" si="46"/>
        <v>1380261.977896204</v>
      </c>
      <c r="H95" s="43">
        <f t="shared" si="34"/>
        <v>0.99556828492225269</v>
      </c>
      <c r="I95" s="21">
        <f t="shared" si="35"/>
        <v>163024709.29863465</v>
      </c>
      <c r="J95" s="3">
        <f t="shared" si="39"/>
        <v>1.3426290479811602</v>
      </c>
      <c r="K95" s="3">
        <f t="shared" si="47"/>
        <v>200045375.3365832</v>
      </c>
      <c r="L95" s="41">
        <f t="shared" si="40"/>
        <v>0.66727954622722097</v>
      </c>
      <c r="M95" s="3">
        <f t="shared" si="41"/>
        <v>148995268.37839594</v>
      </c>
      <c r="N95" s="41">
        <f t="shared" si="42"/>
        <v>0.66727954622722097</v>
      </c>
      <c r="O95" s="3">
        <f t="shared" si="43"/>
        <v>3927801419116496</v>
      </c>
      <c r="P95" s="3">
        <f t="shared" si="48"/>
        <v>1.1065871796345544E+17</v>
      </c>
      <c r="Q95">
        <f t="shared" si="49"/>
        <v>11.696673392397544</v>
      </c>
      <c r="R95"/>
    </row>
    <row r="96" spans="1:18">
      <c r="A96">
        <f t="shared" si="44"/>
        <v>0</v>
      </c>
      <c r="B96">
        <f t="shared" si="45"/>
        <v>1</v>
      </c>
      <c r="C96">
        <f t="shared" si="31"/>
        <v>18.085586727585039</v>
      </c>
      <c r="D96" s="4">
        <f t="shared" si="32"/>
        <v>0</v>
      </c>
      <c r="E96" s="21">
        <f t="shared" si="33"/>
        <v>321901704764.68097</v>
      </c>
      <c r="F96" s="21">
        <f t="shared" si="38"/>
        <v>0</v>
      </c>
      <c r="G96" s="21">
        <f t="shared" si="46"/>
        <v>1380261.977896204</v>
      </c>
      <c r="H96" s="43">
        <f t="shared" si="34"/>
        <v>0.99552262336395769</v>
      </c>
      <c r="I96" s="21">
        <f t="shared" si="35"/>
        <v>164404971.27653086</v>
      </c>
      <c r="J96" s="3">
        <f t="shared" si="39"/>
        <v>1.3426290479811602</v>
      </c>
      <c r="K96" s="3">
        <f t="shared" si="47"/>
        <v>200045375.3365832</v>
      </c>
      <c r="L96" s="41">
        <f t="shared" si="40"/>
        <v>0.66727954622722097</v>
      </c>
      <c r="M96" s="3">
        <f t="shared" si="41"/>
        <v>148995268.37839594</v>
      </c>
      <c r="N96" s="41">
        <f t="shared" si="42"/>
        <v>0.66727954622722097</v>
      </c>
      <c r="O96" s="3">
        <f t="shared" si="43"/>
        <v>3927801419116496</v>
      </c>
      <c r="P96" s="3">
        <f t="shared" si="48"/>
        <v>1.1223695594763587E+17</v>
      </c>
      <c r="Q96">
        <f t="shared" si="49"/>
        <v>11.863493816275314</v>
      </c>
      <c r="R96"/>
    </row>
    <row r="97" spans="1:18">
      <c r="A97">
        <f t="shared" si="44"/>
        <v>0</v>
      </c>
      <c r="B97">
        <f t="shared" si="45"/>
        <v>1</v>
      </c>
      <c r="C97">
        <f t="shared" si="31"/>
        <v>18.335586727585039</v>
      </c>
      <c r="D97" s="4">
        <f t="shared" si="32"/>
        <v>0</v>
      </c>
      <c r="E97" s="21">
        <f t="shared" si="33"/>
        <v>321898944240.72516</v>
      </c>
      <c r="F97" s="21">
        <f t="shared" si="38"/>
        <v>0</v>
      </c>
      <c r="G97" s="21">
        <f t="shared" si="46"/>
        <v>1380261.977896204</v>
      </c>
      <c r="H97" s="43">
        <f t="shared" si="34"/>
        <v>0.9954769618056627</v>
      </c>
      <c r="I97" s="21">
        <f t="shared" si="35"/>
        <v>165785233.25442708</v>
      </c>
      <c r="J97" s="3">
        <f t="shared" si="39"/>
        <v>1.3426290479811602</v>
      </c>
      <c r="K97" s="3">
        <f t="shared" si="47"/>
        <v>200045375.3365832</v>
      </c>
      <c r="L97" s="41">
        <f t="shared" si="40"/>
        <v>0.66727954622722097</v>
      </c>
      <c r="M97" s="3">
        <f t="shared" si="41"/>
        <v>148995268.37839594</v>
      </c>
      <c r="N97" s="41">
        <f t="shared" si="42"/>
        <v>0.66727954622722097</v>
      </c>
      <c r="O97" s="3">
        <f t="shared" si="43"/>
        <v>3927801419116496</v>
      </c>
      <c r="P97" s="3">
        <f t="shared" si="48"/>
        <v>1.138151939318163E+17</v>
      </c>
      <c r="Q97">
        <f t="shared" si="49"/>
        <v>12.030314240153086</v>
      </c>
      <c r="R97"/>
    </row>
    <row r="98" spans="1:18">
      <c r="A98">
        <f t="shared" si="44"/>
        <v>0</v>
      </c>
      <c r="B98">
        <f t="shared" si="45"/>
        <v>1</v>
      </c>
      <c r="C98">
        <f t="shared" si="31"/>
        <v>18.585586727585039</v>
      </c>
      <c r="D98" s="4">
        <f t="shared" si="32"/>
        <v>0</v>
      </c>
      <c r="E98" s="21">
        <f t="shared" si="33"/>
        <v>321896183716.76935</v>
      </c>
      <c r="F98" s="21">
        <f t="shared" si="38"/>
        <v>0</v>
      </c>
      <c r="G98" s="21">
        <f t="shared" si="46"/>
        <v>1380261.977896204</v>
      </c>
      <c r="H98" s="43">
        <f t="shared" si="34"/>
        <v>0.9954313002473677</v>
      </c>
      <c r="I98" s="21">
        <f t="shared" si="35"/>
        <v>167165495.23232329</v>
      </c>
      <c r="J98" s="3">
        <f t="shared" si="39"/>
        <v>1.3426290479811602</v>
      </c>
      <c r="K98" s="3">
        <f t="shared" si="47"/>
        <v>200045375.3365832</v>
      </c>
      <c r="L98" s="41">
        <f t="shared" si="40"/>
        <v>0.66727954622722097</v>
      </c>
      <c r="M98" s="3">
        <f t="shared" si="41"/>
        <v>148995268.37839594</v>
      </c>
      <c r="N98" s="41">
        <f t="shared" si="42"/>
        <v>0.66727954622722097</v>
      </c>
      <c r="O98" s="3">
        <f t="shared" si="43"/>
        <v>3927801419116496</v>
      </c>
      <c r="P98" s="3">
        <f t="shared" si="48"/>
        <v>1.1539343191599674E+17</v>
      </c>
      <c r="Q98">
        <f t="shared" si="49"/>
        <v>12.197134664030857</v>
      </c>
      <c r="R98"/>
    </row>
    <row r="99" spans="1:18">
      <c r="A99">
        <f t="shared" si="44"/>
        <v>0</v>
      </c>
      <c r="B99">
        <f t="shared" si="45"/>
        <v>1</v>
      </c>
      <c r="C99">
        <f t="shared" si="31"/>
        <v>18.835586727585039</v>
      </c>
      <c r="D99" s="4">
        <f t="shared" si="32"/>
        <v>0</v>
      </c>
      <c r="E99" s="21">
        <f t="shared" si="33"/>
        <v>321893423192.81354</v>
      </c>
      <c r="F99" s="21">
        <f t="shared" si="38"/>
        <v>0</v>
      </c>
      <c r="G99" s="21">
        <f t="shared" si="46"/>
        <v>1380261.977896204</v>
      </c>
      <c r="H99" s="43">
        <f t="shared" si="34"/>
        <v>0.99538563868907259</v>
      </c>
      <c r="I99" s="21">
        <f t="shared" si="35"/>
        <v>168545757.2102195</v>
      </c>
      <c r="J99" s="3">
        <f t="shared" si="39"/>
        <v>1.3426290479811602</v>
      </c>
      <c r="K99" s="3">
        <f t="shared" si="47"/>
        <v>200045375.3365832</v>
      </c>
      <c r="L99" s="41">
        <f t="shared" si="40"/>
        <v>0.66727954622722097</v>
      </c>
      <c r="M99" s="3">
        <f t="shared" si="41"/>
        <v>148995268.37839594</v>
      </c>
      <c r="N99" s="41">
        <f t="shared" si="42"/>
        <v>0.66727954622722097</v>
      </c>
      <c r="O99" s="3">
        <f t="shared" si="43"/>
        <v>3927801419116496</v>
      </c>
      <c r="P99" s="3">
        <f t="shared" si="48"/>
        <v>1.1697166990017717E+17</v>
      </c>
      <c r="Q99">
        <f t="shared" si="49"/>
        <v>12.363955087908629</v>
      </c>
      <c r="R99"/>
    </row>
    <row r="100" spans="1:18">
      <c r="A100">
        <f t="shared" si="44"/>
        <v>0</v>
      </c>
      <c r="B100">
        <f t="shared" si="45"/>
        <v>1</v>
      </c>
      <c r="C100">
        <f t="shared" si="31"/>
        <v>19.085586727585039</v>
      </c>
      <c r="D100" s="4">
        <f t="shared" si="32"/>
        <v>0</v>
      </c>
      <c r="E100" s="21">
        <f t="shared" si="33"/>
        <v>321890662668.85773</v>
      </c>
      <c r="F100" s="21">
        <f t="shared" si="38"/>
        <v>0</v>
      </c>
      <c r="G100" s="21">
        <f t="shared" si="46"/>
        <v>1380261.977896204</v>
      </c>
      <c r="H100" s="43">
        <f t="shared" si="34"/>
        <v>0.9953399771307776</v>
      </c>
      <c r="I100" s="21">
        <f t="shared" si="35"/>
        <v>169926019.18811572</v>
      </c>
      <c r="J100" s="3">
        <f t="shared" si="39"/>
        <v>1.3426290479811602</v>
      </c>
      <c r="K100" s="3">
        <f t="shared" si="47"/>
        <v>200045375.3365832</v>
      </c>
      <c r="L100" s="41">
        <f t="shared" si="40"/>
        <v>0.66727954622722097</v>
      </c>
      <c r="M100" s="3">
        <f t="shared" si="41"/>
        <v>148995268.37839594</v>
      </c>
      <c r="N100" s="41">
        <f t="shared" si="42"/>
        <v>0.66727954622722097</v>
      </c>
      <c r="O100" s="3">
        <f t="shared" si="43"/>
        <v>3927801419116496</v>
      </c>
      <c r="P100" s="3">
        <f t="shared" si="48"/>
        <v>1.185499078843576E+17</v>
      </c>
      <c r="Q100">
        <f t="shared" si="49"/>
        <v>12.5307755117864</v>
      </c>
      <c r="R100"/>
    </row>
    <row r="101" spans="1:18">
      <c r="A101">
        <f t="shared" si="44"/>
        <v>0</v>
      </c>
      <c r="B101">
        <f t="shared" si="45"/>
        <v>1</v>
      </c>
      <c r="C101">
        <f t="shared" si="31"/>
        <v>19.335586727585039</v>
      </c>
      <c r="D101" s="4">
        <f t="shared" si="32"/>
        <v>0</v>
      </c>
      <c r="E101" s="21">
        <f t="shared" si="33"/>
        <v>321887902144.90192</v>
      </c>
      <c r="F101" s="21">
        <f t="shared" si="38"/>
        <v>0</v>
      </c>
      <c r="G101" s="21">
        <f t="shared" si="46"/>
        <v>1380261.977896204</v>
      </c>
      <c r="H101" s="43">
        <f t="shared" si="34"/>
        <v>0.9952943155724826</v>
      </c>
      <c r="I101" s="21">
        <f t="shared" si="35"/>
        <v>171306281.16601193</v>
      </c>
      <c r="J101" s="3">
        <f t="shared" si="39"/>
        <v>1.3426290479811602</v>
      </c>
      <c r="K101" s="3">
        <f t="shared" si="47"/>
        <v>200045375.3365832</v>
      </c>
      <c r="L101" s="41">
        <f t="shared" si="40"/>
        <v>0.66727954622722097</v>
      </c>
      <c r="M101" s="3">
        <f t="shared" si="41"/>
        <v>148995268.37839594</v>
      </c>
      <c r="N101" s="41">
        <f t="shared" si="42"/>
        <v>0.66727954622722097</v>
      </c>
      <c r="O101" s="3">
        <f t="shared" si="43"/>
        <v>3927801419116496</v>
      </c>
      <c r="P101" s="3">
        <f t="shared" si="48"/>
        <v>1.2012814586853803E+17</v>
      </c>
      <c r="Q101">
        <f t="shared" si="49"/>
        <v>12.697595935664172</v>
      </c>
      <c r="R101"/>
    </row>
    <row r="102" spans="1:18">
      <c r="A102">
        <f t="shared" si="44"/>
        <v>0</v>
      </c>
      <c r="B102">
        <f t="shared" si="45"/>
        <v>1</v>
      </c>
      <c r="C102">
        <f t="shared" si="31"/>
        <v>19.585586727585039</v>
      </c>
      <c r="D102" s="4">
        <f t="shared" si="32"/>
        <v>0</v>
      </c>
      <c r="E102" s="21">
        <f t="shared" si="33"/>
        <v>321885141620.94611</v>
      </c>
      <c r="F102" s="21">
        <f t="shared" si="38"/>
        <v>0</v>
      </c>
      <c r="G102" s="21">
        <f t="shared" si="46"/>
        <v>1380261.977896204</v>
      </c>
      <c r="H102" s="43">
        <f t="shared" si="34"/>
        <v>0.99524865401418761</v>
      </c>
      <c r="I102" s="21">
        <f t="shared" si="35"/>
        <v>172686543.14390814</v>
      </c>
      <c r="J102" s="3">
        <f t="shared" si="39"/>
        <v>1.3426290479811602</v>
      </c>
      <c r="K102" s="3">
        <f t="shared" si="47"/>
        <v>200045375.3365832</v>
      </c>
      <c r="L102" s="41">
        <f t="shared" si="40"/>
        <v>0.66727954622722097</v>
      </c>
      <c r="M102" s="3">
        <f t="shared" si="41"/>
        <v>148995268.37839594</v>
      </c>
      <c r="N102" s="41">
        <f t="shared" si="42"/>
        <v>0.66727954622722097</v>
      </c>
      <c r="O102" s="3">
        <f t="shared" si="43"/>
        <v>3927801419116496</v>
      </c>
      <c r="P102" s="3">
        <f t="shared" si="48"/>
        <v>1.2170638385271846E+17</v>
      </c>
      <c r="Q102">
        <f t="shared" si="49"/>
        <v>12.864416359541943</v>
      </c>
      <c r="R102"/>
    </row>
    <row r="103" spans="1:18">
      <c r="A103">
        <f t="shared" si="44"/>
        <v>0</v>
      </c>
      <c r="B103">
        <f t="shared" si="45"/>
        <v>1</v>
      </c>
      <c r="C103">
        <f t="shared" si="31"/>
        <v>19.835586727585039</v>
      </c>
      <c r="D103" s="4">
        <f t="shared" si="32"/>
        <v>0</v>
      </c>
      <c r="E103" s="21">
        <f t="shared" si="33"/>
        <v>321882381096.9903</v>
      </c>
      <c r="F103" s="21">
        <f t="shared" si="38"/>
        <v>0</v>
      </c>
      <c r="G103" s="21">
        <f t="shared" si="46"/>
        <v>1380261.977896204</v>
      </c>
      <c r="H103" s="43">
        <f t="shared" si="34"/>
        <v>0.99520299245589261</v>
      </c>
      <c r="I103" s="21">
        <f t="shared" si="35"/>
        <v>174066805.12180436</v>
      </c>
      <c r="J103" s="3">
        <f t="shared" si="39"/>
        <v>1.3426290479811602</v>
      </c>
      <c r="K103" s="3">
        <f t="shared" si="47"/>
        <v>200045375.3365832</v>
      </c>
      <c r="L103" s="41">
        <f t="shared" si="40"/>
        <v>0.66727954622722097</v>
      </c>
      <c r="M103" s="3">
        <f t="shared" si="41"/>
        <v>148995268.37839594</v>
      </c>
      <c r="N103" s="41">
        <f t="shared" si="42"/>
        <v>0.66727954622722097</v>
      </c>
      <c r="O103" s="3">
        <f t="shared" si="43"/>
        <v>3927801419116496</v>
      </c>
      <c r="P103" s="3">
        <f t="shared" si="48"/>
        <v>1.232846218368989E+17</v>
      </c>
      <c r="Q103">
        <f t="shared" si="49"/>
        <v>13.031236783419715</v>
      </c>
      <c r="R103"/>
    </row>
    <row r="104" spans="1:18">
      <c r="A104">
        <f t="shared" si="44"/>
        <v>0</v>
      </c>
      <c r="B104">
        <f t="shared" si="45"/>
        <v>1</v>
      </c>
      <c r="C104">
        <f t="shared" si="31"/>
        <v>20.085586727585039</v>
      </c>
      <c r="D104" s="4">
        <f t="shared" si="32"/>
        <v>0</v>
      </c>
      <c r="E104" s="21">
        <f t="shared" si="33"/>
        <v>321879620573.03448</v>
      </c>
      <c r="F104" s="21">
        <f t="shared" si="38"/>
        <v>0</v>
      </c>
      <c r="G104" s="21">
        <f t="shared" si="46"/>
        <v>1380261.977896204</v>
      </c>
      <c r="H104" s="43">
        <f t="shared" si="34"/>
        <v>0.9951573308975975</v>
      </c>
      <c r="I104" s="21">
        <f t="shared" si="35"/>
        <v>175447067.09970057</v>
      </c>
      <c r="J104" s="3">
        <f t="shared" si="39"/>
        <v>1.3426290479811602</v>
      </c>
      <c r="K104" s="3">
        <f t="shared" si="47"/>
        <v>200045375.3365832</v>
      </c>
      <c r="L104" s="41">
        <f t="shared" si="40"/>
        <v>0.66727954622722097</v>
      </c>
      <c r="M104" s="3">
        <f t="shared" si="41"/>
        <v>148995268.37839594</v>
      </c>
      <c r="N104" s="41">
        <f t="shared" si="42"/>
        <v>0.66727954622722097</v>
      </c>
      <c r="O104" s="3">
        <f t="shared" si="43"/>
        <v>3927801419116496</v>
      </c>
      <c r="P104" s="3">
        <f t="shared" si="48"/>
        <v>1.2486285982107933E+17</v>
      </c>
      <c r="Q104">
        <f t="shared" si="49"/>
        <v>13.198057207297486</v>
      </c>
      <c r="R104"/>
    </row>
    <row r="105" spans="1:18">
      <c r="A105">
        <f t="shared" si="44"/>
        <v>0</v>
      </c>
      <c r="B105">
        <f t="shared" si="45"/>
        <v>1</v>
      </c>
      <c r="C105">
        <f t="shared" si="31"/>
        <v>20.335586727585039</v>
      </c>
      <c r="D105" s="4">
        <f t="shared" si="32"/>
        <v>0</v>
      </c>
      <c r="E105" s="21">
        <f t="shared" si="33"/>
        <v>321876860049.07867</v>
      </c>
      <c r="F105" s="21">
        <f t="shared" si="38"/>
        <v>0</v>
      </c>
      <c r="G105" s="21">
        <f t="shared" si="46"/>
        <v>1380261.977896204</v>
      </c>
      <c r="H105" s="43">
        <f t="shared" si="34"/>
        <v>0.99511166933930251</v>
      </c>
      <c r="I105" s="21">
        <f t="shared" si="35"/>
        <v>176827329.07759678</v>
      </c>
      <c r="J105" s="3">
        <f t="shared" si="39"/>
        <v>1.3426290479811602</v>
      </c>
      <c r="K105" s="3">
        <f t="shared" si="47"/>
        <v>200045375.3365832</v>
      </c>
      <c r="L105" s="41">
        <f t="shared" si="40"/>
        <v>0.66727954622722097</v>
      </c>
      <c r="M105" s="3">
        <f t="shared" si="41"/>
        <v>148995268.37839594</v>
      </c>
      <c r="N105" s="41">
        <f t="shared" si="42"/>
        <v>0.66727954622722097</v>
      </c>
      <c r="O105" s="3">
        <f t="shared" si="43"/>
        <v>3927801419116496</v>
      </c>
      <c r="P105" s="3">
        <f t="shared" si="48"/>
        <v>1.2644109780525976E+17</v>
      </c>
      <c r="Q105">
        <f t="shared" si="49"/>
        <v>13.364877631175258</v>
      </c>
      <c r="R105"/>
    </row>
    <row r="106" spans="1:18">
      <c r="A106">
        <f t="shared" si="44"/>
        <v>0</v>
      </c>
      <c r="B106">
        <f t="shared" si="45"/>
        <v>1</v>
      </c>
      <c r="C106">
        <f t="shared" ref="C106:C129" si="50">C105+$D$11</f>
        <v>20.585586727585039</v>
      </c>
      <c r="D106" s="4">
        <f t="shared" ref="D106:D129" si="51">$C$16/$C$5*ASINH($C$5*A106*$C$14/$C$16)/$C$14</f>
        <v>0</v>
      </c>
      <c r="E106" s="21">
        <f t="shared" ref="E106:E129" si="52">E105-G105-$C$12</f>
        <v>321874099525.12286</v>
      </c>
      <c r="F106" s="21">
        <f t="shared" si="38"/>
        <v>0</v>
      </c>
      <c r="G106" s="21">
        <f t="shared" si="46"/>
        <v>1380261.977896204</v>
      </c>
      <c r="H106" s="43">
        <f t="shared" ref="H106:H129" si="53">1-(($E$18-E106)/$C$4)</f>
        <v>0.99506600778100751</v>
      </c>
      <c r="I106" s="21">
        <f t="shared" ref="I106:I129" si="54">I105+G106</f>
        <v>178207591.055493</v>
      </c>
      <c r="J106" s="3">
        <f t="shared" si="39"/>
        <v>1.3426290479811602</v>
      </c>
      <c r="K106" s="3">
        <f t="shared" si="47"/>
        <v>200045375.3365832</v>
      </c>
      <c r="L106" s="41">
        <f t="shared" si="40"/>
        <v>0.66727954622722097</v>
      </c>
      <c r="M106" s="3">
        <f t="shared" si="41"/>
        <v>148995268.37839594</v>
      </c>
      <c r="N106" s="41">
        <f t="shared" si="42"/>
        <v>0.66727954622722097</v>
      </c>
      <c r="O106" s="3">
        <f t="shared" si="43"/>
        <v>3927801419116496</v>
      </c>
      <c r="P106" s="3">
        <f t="shared" si="48"/>
        <v>1.2801933578944019E+17</v>
      </c>
      <c r="Q106">
        <f t="shared" si="49"/>
        <v>13.531698055053029</v>
      </c>
      <c r="R106"/>
    </row>
    <row r="107" spans="1:18">
      <c r="A107">
        <f t="shared" si="44"/>
        <v>0</v>
      </c>
      <c r="B107">
        <f t="shared" si="45"/>
        <v>1</v>
      </c>
      <c r="C107">
        <f t="shared" si="50"/>
        <v>20.835586727585039</v>
      </c>
      <c r="D107" s="4">
        <f t="shared" si="51"/>
        <v>0</v>
      </c>
      <c r="E107" s="21">
        <f t="shared" si="52"/>
        <v>321871339001.16705</v>
      </c>
      <c r="F107" s="21">
        <f t="shared" si="38"/>
        <v>0</v>
      </c>
      <c r="G107" s="21">
        <f t="shared" si="46"/>
        <v>1380261.977896204</v>
      </c>
      <c r="H107" s="43">
        <f t="shared" si="53"/>
        <v>0.99502034622271252</v>
      </c>
      <c r="I107" s="21">
        <f t="shared" si="54"/>
        <v>179587853.03338921</v>
      </c>
      <c r="J107" s="3">
        <f t="shared" si="39"/>
        <v>1.3426290479811602</v>
      </c>
      <c r="K107" s="3">
        <f t="shared" si="47"/>
        <v>200045375.3365832</v>
      </c>
      <c r="L107" s="41">
        <f t="shared" si="40"/>
        <v>0.66727954622722097</v>
      </c>
      <c r="M107" s="3">
        <f t="shared" si="41"/>
        <v>148995268.37839594</v>
      </c>
      <c r="N107" s="41">
        <f t="shared" si="42"/>
        <v>0.66727954622722097</v>
      </c>
      <c r="O107" s="3">
        <f t="shared" si="43"/>
        <v>3927801419116496</v>
      </c>
      <c r="P107" s="3">
        <f t="shared" si="48"/>
        <v>1.2959757377362062E+17</v>
      </c>
      <c r="Q107">
        <f t="shared" si="49"/>
        <v>13.698518478930801</v>
      </c>
      <c r="R107"/>
    </row>
    <row r="108" spans="1:18">
      <c r="A108">
        <f t="shared" si="44"/>
        <v>0</v>
      </c>
      <c r="B108">
        <f t="shared" si="45"/>
        <v>1</v>
      </c>
      <c r="C108">
        <f t="shared" si="50"/>
        <v>21.085586727585039</v>
      </c>
      <c r="D108" s="4">
        <f t="shared" si="51"/>
        <v>0</v>
      </c>
      <c r="E108" s="21">
        <f t="shared" si="52"/>
        <v>321868578477.21124</v>
      </c>
      <c r="F108" s="21">
        <f t="shared" si="38"/>
        <v>0</v>
      </c>
      <c r="G108" s="21">
        <f t="shared" si="46"/>
        <v>1380261.977896204</v>
      </c>
      <c r="H108" s="43">
        <f t="shared" si="53"/>
        <v>0.99497468466441752</v>
      </c>
      <c r="I108" s="21">
        <f t="shared" si="54"/>
        <v>180968115.01128542</v>
      </c>
      <c r="J108" s="3">
        <f t="shared" si="39"/>
        <v>1.3426290479811602</v>
      </c>
      <c r="K108" s="3">
        <f t="shared" si="47"/>
        <v>200045375.3365832</v>
      </c>
      <c r="L108" s="41">
        <f t="shared" si="40"/>
        <v>0.66727954622722097</v>
      </c>
      <c r="M108" s="3">
        <f t="shared" si="41"/>
        <v>148995268.37839594</v>
      </c>
      <c r="N108" s="41">
        <f t="shared" si="42"/>
        <v>0.66727954622722097</v>
      </c>
      <c r="O108" s="3">
        <f t="shared" si="43"/>
        <v>3927801419116496</v>
      </c>
      <c r="P108" s="3">
        <f t="shared" si="48"/>
        <v>1.3117581175780106E+17</v>
      </c>
      <c r="Q108">
        <f t="shared" si="49"/>
        <v>13.865338902808572</v>
      </c>
      <c r="R108"/>
    </row>
    <row r="109" spans="1:18">
      <c r="A109">
        <f t="shared" si="44"/>
        <v>0</v>
      </c>
      <c r="B109">
        <f t="shared" si="45"/>
        <v>1</v>
      </c>
      <c r="C109">
        <f t="shared" si="50"/>
        <v>21.335586727585039</v>
      </c>
      <c r="D109" s="4">
        <f t="shared" si="51"/>
        <v>0</v>
      </c>
      <c r="E109" s="21">
        <f t="shared" si="52"/>
        <v>321865817953.25543</v>
      </c>
      <c r="F109" s="21">
        <f t="shared" si="38"/>
        <v>0</v>
      </c>
      <c r="G109" s="21">
        <f t="shared" si="46"/>
        <v>1380261.977896204</v>
      </c>
      <c r="H109" s="43">
        <f t="shared" si="53"/>
        <v>0.99492902310612252</v>
      </c>
      <c r="I109" s="21">
        <f t="shared" si="54"/>
        <v>182348376.98918164</v>
      </c>
      <c r="J109" s="3">
        <f t="shared" si="39"/>
        <v>1.3426290479811602</v>
      </c>
      <c r="K109" s="3">
        <f t="shared" si="47"/>
        <v>200045375.3365832</v>
      </c>
      <c r="L109" s="41">
        <f t="shared" si="40"/>
        <v>0.66727954622722097</v>
      </c>
      <c r="M109" s="3">
        <f t="shared" si="41"/>
        <v>148995268.37839594</v>
      </c>
      <c r="N109" s="41">
        <f t="shared" si="42"/>
        <v>0.66727954622722097</v>
      </c>
      <c r="O109" s="3">
        <f t="shared" si="43"/>
        <v>3927801419116496</v>
      </c>
      <c r="P109" s="3">
        <f t="shared" si="48"/>
        <v>1.3275404974198149E+17</v>
      </c>
      <c r="Q109">
        <f t="shared" si="49"/>
        <v>14.032159326686344</v>
      </c>
      <c r="R109"/>
    </row>
    <row r="110" spans="1:18">
      <c r="A110">
        <f t="shared" si="44"/>
        <v>0</v>
      </c>
      <c r="B110">
        <f t="shared" si="45"/>
        <v>1</v>
      </c>
      <c r="C110">
        <f t="shared" si="50"/>
        <v>21.585586727585039</v>
      </c>
      <c r="D110" s="4">
        <f t="shared" si="51"/>
        <v>0</v>
      </c>
      <c r="E110" s="21">
        <f t="shared" si="52"/>
        <v>321863057429.29962</v>
      </c>
      <c r="F110" s="21">
        <f t="shared" si="38"/>
        <v>0</v>
      </c>
      <c r="G110" s="21">
        <f t="shared" si="46"/>
        <v>1380261.977896204</v>
      </c>
      <c r="H110" s="43">
        <f t="shared" si="53"/>
        <v>0.99488336154782742</v>
      </c>
      <c r="I110" s="21">
        <f t="shared" si="54"/>
        <v>183728638.96707785</v>
      </c>
      <c r="J110" s="3">
        <f t="shared" si="39"/>
        <v>1.3426290479811602</v>
      </c>
      <c r="K110" s="3">
        <f t="shared" si="47"/>
        <v>200045375.3365832</v>
      </c>
      <c r="L110" s="41">
        <f t="shared" si="40"/>
        <v>0.66727954622722097</v>
      </c>
      <c r="M110" s="3">
        <f t="shared" si="41"/>
        <v>148995268.37839594</v>
      </c>
      <c r="N110" s="41">
        <f t="shared" si="42"/>
        <v>0.66727954622722097</v>
      </c>
      <c r="O110" s="3">
        <f t="shared" si="43"/>
        <v>3927801419116496</v>
      </c>
      <c r="P110" s="3">
        <f t="shared" si="48"/>
        <v>1.3433228772616192E+17</v>
      </c>
      <c r="Q110">
        <f t="shared" si="49"/>
        <v>14.198979750564115</v>
      </c>
      <c r="R110"/>
    </row>
    <row r="111" spans="1:18">
      <c r="A111">
        <f t="shared" si="44"/>
        <v>0</v>
      </c>
      <c r="B111">
        <f t="shared" si="45"/>
        <v>1</v>
      </c>
      <c r="C111">
        <f t="shared" si="50"/>
        <v>21.835586727585039</v>
      </c>
      <c r="D111" s="4">
        <f t="shared" si="51"/>
        <v>0</v>
      </c>
      <c r="E111" s="21">
        <f t="shared" si="52"/>
        <v>321860296905.34381</v>
      </c>
      <c r="F111" s="21">
        <f t="shared" si="38"/>
        <v>0</v>
      </c>
      <c r="G111" s="21">
        <f t="shared" si="46"/>
        <v>1380261.977896204</v>
      </c>
      <c r="H111" s="43">
        <f t="shared" si="53"/>
        <v>0.99483769998953242</v>
      </c>
      <c r="I111" s="21">
        <f t="shared" si="54"/>
        <v>185108900.94497406</v>
      </c>
      <c r="J111" s="3">
        <f t="shared" si="39"/>
        <v>1.3426290479811602</v>
      </c>
      <c r="K111" s="3">
        <f t="shared" si="47"/>
        <v>200045375.3365832</v>
      </c>
      <c r="L111" s="41">
        <f t="shared" si="40"/>
        <v>0.66727954622722097</v>
      </c>
      <c r="M111" s="3">
        <f t="shared" si="41"/>
        <v>148995268.37839594</v>
      </c>
      <c r="N111" s="41">
        <f t="shared" si="42"/>
        <v>0.66727954622722097</v>
      </c>
      <c r="O111" s="3">
        <f t="shared" si="43"/>
        <v>3927801419116496</v>
      </c>
      <c r="P111" s="3">
        <f t="shared" si="48"/>
        <v>1.3591052571034235E+17</v>
      </c>
      <c r="Q111">
        <f t="shared" si="49"/>
        <v>14.365800174441887</v>
      </c>
      <c r="R111"/>
    </row>
    <row r="112" spans="1:18">
      <c r="A112">
        <f t="shared" si="44"/>
        <v>0</v>
      </c>
      <c r="B112">
        <f t="shared" si="45"/>
        <v>1</v>
      </c>
      <c r="C112">
        <f t="shared" si="50"/>
        <v>22.085586727585039</v>
      </c>
      <c r="D112" s="4">
        <f t="shared" si="51"/>
        <v>0</v>
      </c>
      <c r="E112" s="21">
        <f t="shared" si="52"/>
        <v>321857536381.388</v>
      </c>
      <c r="F112" s="21">
        <f t="shared" si="38"/>
        <v>0</v>
      </c>
      <c r="G112" s="21">
        <f t="shared" si="46"/>
        <v>1380261.977896204</v>
      </c>
      <c r="H112" s="43">
        <f t="shared" si="53"/>
        <v>0.99479203843123742</v>
      </c>
      <c r="I112" s="21">
        <f t="shared" si="54"/>
        <v>186489162.92287028</v>
      </c>
      <c r="J112" s="3">
        <f t="shared" si="39"/>
        <v>1.3426290479811602</v>
      </c>
      <c r="K112" s="3">
        <f t="shared" si="47"/>
        <v>200045375.3365832</v>
      </c>
      <c r="L112" s="41">
        <f t="shared" si="40"/>
        <v>0.66727954622722097</v>
      </c>
      <c r="M112" s="3">
        <f t="shared" si="41"/>
        <v>148995268.37839594</v>
      </c>
      <c r="N112" s="41">
        <f t="shared" si="42"/>
        <v>0.66727954622722097</v>
      </c>
      <c r="O112" s="3">
        <f t="shared" si="43"/>
        <v>3927801419116496</v>
      </c>
      <c r="P112" s="3">
        <f t="shared" si="48"/>
        <v>1.3748876369452278E+17</v>
      </c>
      <c r="Q112">
        <f t="shared" si="49"/>
        <v>14.532620598319658</v>
      </c>
      <c r="R112"/>
    </row>
    <row r="113" spans="1:18">
      <c r="A113">
        <f t="shared" si="44"/>
        <v>0</v>
      </c>
      <c r="B113">
        <f t="shared" si="45"/>
        <v>1</v>
      </c>
      <c r="C113">
        <f t="shared" si="50"/>
        <v>22.335586727585039</v>
      </c>
      <c r="D113" s="4">
        <f t="shared" si="51"/>
        <v>0</v>
      </c>
      <c r="E113" s="21">
        <f t="shared" si="52"/>
        <v>321854775857.43219</v>
      </c>
      <c r="F113" s="21">
        <f t="shared" si="38"/>
        <v>0</v>
      </c>
      <c r="G113" s="21">
        <f t="shared" si="46"/>
        <v>1380261.977896204</v>
      </c>
      <c r="H113" s="43">
        <f t="shared" si="53"/>
        <v>0.99474637687294243</v>
      </c>
      <c r="I113" s="21">
        <f t="shared" si="54"/>
        <v>187869424.90076649</v>
      </c>
      <c r="J113" s="3">
        <f t="shared" si="39"/>
        <v>1.3426290479811602</v>
      </c>
      <c r="K113" s="3">
        <f t="shared" si="47"/>
        <v>200045375.3365832</v>
      </c>
      <c r="L113" s="41">
        <f t="shared" si="40"/>
        <v>0.66727954622722097</v>
      </c>
      <c r="M113" s="3">
        <f t="shared" si="41"/>
        <v>148995268.37839594</v>
      </c>
      <c r="N113" s="41">
        <f t="shared" si="42"/>
        <v>0.66727954622722097</v>
      </c>
      <c r="O113" s="3">
        <f t="shared" si="43"/>
        <v>3927801419116496</v>
      </c>
      <c r="P113" s="3">
        <f t="shared" si="48"/>
        <v>1.3906700167870322E+17</v>
      </c>
      <c r="Q113">
        <f t="shared" si="49"/>
        <v>14.699441022197428</v>
      </c>
      <c r="R113"/>
    </row>
    <row r="114" spans="1:18">
      <c r="A114">
        <f t="shared" si="44"/>
        <v>0</v>
      </c>
      <c r="B114">
        <f t="shared" si="45"/>
        <v>1</v>
      </c>
      <c r="C114">
        <f t="shared" si="50"/>
        <v>22.585586727585039</v>
      </c>
      <c r="D114" s="4">
        <f t="shared" si="51"/>
        <v>0</v>
      </c>
      <c r="E114" s="21">
        <f t="shared" si="52"/>
        <v>321852015333.47638</v>
      </c>
      <c r="F114" s="21">
        <f t="shared" si="38"/>
        <v>0</v>
      </c>
      <c r="G114" s="21">
        <f t="shared" si="46"/>
        <v>1380261.977896204</v>
      </c>
      <c r="H114" s="43">
        <f t="shared" si="53"/>
        <v>0.99470071531464743</v>
      </c>
      <c r="I114" s="21">
        <f t="shared" si="54"/>
        <v>189249686.87866271</v>
      </c>
      <c r="J114" s="3">
        <f t="shared" si="39"/>
        <v>1.3426290479811602</v>
      </c>
      <c r="K114" s="3">
        <f t="shared" si="47"/>
        <v>200045375.3365832</v>
      </c>
      <c r="L114" s="41">
        <f t="shared" si="40"/>
        <v>0.66727954622722097</v>
      </c>
      <c r="M114" s="3">
        <f t="shared" si="41"/>
        <v>148995268.37839594</v>
      </c>
      <c r="N114" s="41">
        <f t="shared" si="42"/>
        <v>0.66727954622722097</v>
      </c>
      <c r="O114" s="3">
        <f t="shared" si="43"/>
        <v>3927801419116496</v>
      </c>
      <c r="P114" s="3">
        <f t="shared" si="48"/>
        <v>1.4064523966288365E+17</v>
      </c>
      <c r="Q114">
        <f t="shared" si="49"/>
        <v>14.8662614460752</v>
      </c>
      <c r="R114"/>
    </row>
    <row r="115" spans="1:18">
      <c r="A115">
        <f t="shared" si="44"/>
        <v>0</v>
      </c>
      <c r="B115">
        <f t="shared" si="45"/>
        <v>1</v>
      </c>
      <c r="C115">
        <f t="shared" si="50"/>
        <v>22.835586727585039</v>
      </c>
      <c r="D115" s="4">
        <f t="shared" si="51"/>
        <v>0</v>
      </c>
      <c r="E115" s="21">
        <f t="shared" si="52"/>
        <v>321849254809.52057</v>
      </c>
      <c r="F115" s="21">
        <f t="shared" si="38"/>
        <v>0</v>
      </c>
      <c r="G115" s="21">
        <f t="shared" si="46"/>
        <v>1380261.977896204</v>
      </c>
      <c r="H115" s="43">
        <f t="shared" si="53"/>
        <v>0.99465505375635244</v>
      </c>
      <c r="I115" s="21">
        <f t="shared" si="54"/>
        <v>190629948.85655892</v>
      </c>
      <c r="J115" s="3">
        <f t="shared" si="39"/>
        <v>1.3426290479811602</v>
      </c>
      <c r="K115" s="3">
        <f t="shared" si="47"/>
        <v>200045375.3365832</v>
      </c>
      <c r="L115" s="41">
        <f t="shared" si="40"/>
        <v>0.66727954622722097</v>
      </c>
      <c r="M115" s="3">
        <f t="shared" si="41"/>
        <v>148995268.37839594</v>
      </c>
      <c r="N115" s="41">
        <f t="shared" si="42"/>
        <v>0.66727954622722097</v>
      </c>
      <c r="O115" s="3">
        <f t="shared" si="43"/>
        <v>3927801419116496</v>
      </c>
      <c r="P115" s="3">
        <f t="shared" si="48"/>
        <v>1.4222347764706408E+17</v>
      </c>
      <c r="Q115">
        <f t="shared" si="49"/>
        <v>15.033081869952971</v>
      </c>
      <c r="R115"/>
    </row>
    <row r="116" spans="1:18">
      <c r="A116">
        <f t="shared" si="44"/>
        <v>0</v>
      </c>
      <c r="B116">
        <f t="shared" si="45"/>
        <v>1</v>
      </c>
      <c r="C116">
        <f t="shared" si="50"/>
        <v>23.085586727585039</v>
      </c>
      <c r="D116" s="4">
        <f t="shared" si="51"/>
        <v>0</v>
      </c>
      <c r="E116" s="21">
        <f t="shared" si="52"/>
        <v>321846494285.56476</v>
      </c>
      <c r="F116" s="21">
        <f t="shared" si="38"/>
        <v>0</v>
      </c>
      <c r="G116" s="21">
        <f t="shared" si="46"/>
        <v>1380261.977896204</v>
      </c>
      <c r="H116" s="43">
        <f t="shared" si="53"/>
        <v>0.99460939219805733</v>
      </c>
      <c r="I116" s="21">
        <f t="shared" si="54"/>
        <v>192010210.83445513</v>
      </c>
      <c r="J116" s="3">
        <f t="shared" si="39"/>
        <v>1.3426290479811602</v>
      </c>
      <c r="K116" s="3">
        <f t="shared" si="47"/>
        <v>200045375.3365832</v>
      </c>
      <c r="L116" s="41">
        <f t="shared" si="40"/>
        <v>0.66727954622722097</v>
      </c>
      <c r="M116" s="3">
        <f t="shared" si="41"/>
        <v>148995268.37839594</v>
      </c>
      <c r="N116" s="41">
        <f t="shared" si="42"/>
        <v>0.66727954622722097</v>
      </c>
      <c r="O116" s="3">
        <f t="shared" si="43"/>
        <v>3927801419116496</v>
      </c>
      <c r="P116" s="3">
        <f t="shared" si="48"/>
        <v>1.4380171563124451E+17</v>
      </c>
      <c r="Q116">
        <f t="shared" si="49"/>
        <v>15.199902293830743</v>
      </c>
      <c r="R116"/>
    </row>
    <row r="117" spans="1:18">
      <c r="A117">
        <f t="shared" si="44"/>
        <v>0</v>
      </c>
      <c r="B117">
        <f t="shared" si="45"/>
        <v>1</v>
      </c>
      <c r="C117">
        <f t="shared" si="50"/>
        <v>23.335586727585039</v>
      </c>
      <c r="D117" s="4">
        <f t="shared" si="51"/>
        <v>0</v>
      </c>
      <c r="E117" s="21">
        <f t="shared" si="52"/>
        <v>321843733761.60895</v>
      </c>
      <c r="F117" s="21">
        <f t="shared" si="38"/>
        <v>0</v>
      </c>
      <c r="G117" s="21">
        <f t="shared" si="46"/>
        <v>1380261.977896204</v>
      </c>
      <c r="H117" s="43">
        <f t="shared" si="53"/>
        <v>0.99456373063976233</v>
      </c>
      <c r="I117" s="21">
        <f t="shared" si="54"/>
        <v>193390472.81235135</v>
      </c>
      <c r="J117" s="3">
        <f t="shared" si="39"/>
        <v>1.3426290479811602</v>
      </c>
      <c r="K117" s="3">
        <f t="shared" si="47"/>
        <v>200045375.3365832</v>
      </c>
      <c r="L117" s="41">
        <f t="shared" si="40"/>
        <v>0.66727954622722097</v>
      </c>
      <c r="M117" s="3">
        <f t="shared" si="41"/>
        <v>148995268.37839594</v>
      </c>
      <c r="N117" s="41">
        <f t="shared" si="42"/>
        <v>0.66727954622722097</v>
      </c>
      <c r="O117" s="3">
        <f t="shared" si="43"/>
        <v>3927801419116496</v>
      </c>
      <c r="P117" s="3">
        <f t="shared" si="48"/>
        <v>1.4537995361542496E+17</v>
      </c>
      <c r="Q117">
        <f t="shared" si="49"/>
        <v>15.366722717708516</v>
      </c>
      <c r="R117"/>
    </row>
    <row r="118" spans="1:18">
      <c r="A118">
        <f t="shared" si="44"/>
        <v>0</v>
      </c>
      <c r="B118">
        <f t="shared" si="45"/>
        <v>1</v>
      </c>
      <c r="C118">
        <f t="shared" si="50"/>
        <v>23.585586727585039</v>
      </c>
      <c r="D118" s="4">
        <f t="shared" si="51"/>
        <v>0</v>
      </c>
      <c r="E118" s="21">
        <f t="shared" si="52"/>
        <v>321840973237.65314</v>
      </c>
      <c r="F118" s="21">
        <f t="shared" si="38"/>
        <v>0</v>
      </c>
      <c r="G118" s="21">
        <f t="shared" si="46"/>
        <v>1380261.977896204</v>
      </c>
      <c r="H118" s="43">
        <f t="shared" si="53"/>
        <v>0.99451806908146734</v>
      </c>
      <c r="I118" s="21">
        <f t="shared" si="54"/>
        <v>194770734.79024756</v>
      </c>
      <c r="J118" s="3">
        <f t="shared" si="39"/>
        <v>1.3426290479811602</v>
      </c>
      <c r="K118" s="3">
        <f t="shared" si="47"/>
        <v>200045375.3365832</v>
      </c>
      <c r="L118" s="41">
        <f t="shared" si="40"/>
        <v>0.66727954622722097</v>
      </c>
      <c r="M118" s="3">
        <f t="shared" si="41"/>
        <v>148995268.37839594</v>
      </c>
      <c r="N118" s="41">
        <f t="shared" si="42"/>
        <v>0.66727954622722097</v>
      </c>
      <c r="O118" s="3">
        <f t="shared" si="43"/>
        <v>3927801419116496</v>
      </c>
      <c r="P118" s="3">
        <f t="shared" si="48"/>
        <v>1.4695819159960541E+17</v>
      </c>
      <c r="Q118">
        <f t="shared" si="49"/>
        <v>15.533543141586289</v>
      </c>
      <c r="R118"/>
    </row>
    <row r="119" spans="1:18">
      <c r="A119">
        <f t="shared" si="44"/>
        <v>0</v>
      </c>
      <c r="B119">
        <f t="shared" si="45"/>
        <v>1</v>
      </c>
      <c r="C119">
        <f t="shared" si="50"/>
        <v>23.835586727585039</v>
      </c>
      <c r="D119" s="4">
        <f t="shared" si="51"/>
        <v>0</v>
      </c>
      <c r="E119" s="21">
        <f t="shared" si="52"/>
        <v>321838212713.69733</v>
      </c>
      <c r="F119" s="21">
        <f t="shared" si="38"/>
        <v>0</v>
      </c>
      <c r="G119" s="21">
        <f t="shared" si="46"/>
        <v>1380261.977896204</v>
      </c>
      <c r="H119" s="43">
        <f t="shared" si="53"/>
        <v>0.99447240752317234</v>
      </c>
      <c r="I119" s="21">
        <f t="shared" si="54"/>
        <v>196150996.76814377</v>
      </c>
      <c r="J119" s="3">
        <f t="shared" si="39"/>
        <v>1.3426290479811602</v>
      </c>
      <c r="K119" s="3">
        <f t="shared" si="47"/>
        <v>200045375.3365832</v>
      </c>
      <c r="L119" s="41">
        <f t="shared" si="40"/>
        <v>0.66727954622722097</v>
      </c>
      <c r="M119" s="3">
        <f t="shared" si="41"/>
        <v>148995268.37839594</v>
      </c>
      <c r="N119" s="41">
        <f t="shared" si="42"/>
        <v>0.66727954622722097</v>
      </c>
      <c r="O119" s="3">
        <f t="shared" si="43"/>
        <v>3927801419116496</v>
      </c>
      <c r="P119" s="3">
        <f t="shared" si="48"/>
        <v>1.4853642958378586E+17</v>
      </c>
      <c r="Q119">
        <f t="shared" si="49"/>
        <v>15.700363565464063</v>
      </c>
      <c r="R119"/>
    </row>
    <row r="120" spans="1:18">
      <c r="A120">
        <f t="shared" si="44"/>
        <v>0</v>
      </c>
      <c r="B120">
        <f t="shared" si="45"/>
        <v>1</v>
      </c>
      <c r="C120">
        <f t="shared" si="50"/>
        <v>24.085586727585039</v>
      </c>
      <c r="D120" s="4">
        <f t="shared" si="51"/>
        <v>0</v>
      </c>
      <c r="E120" s="21">
        <f t="shared" si="52"/>
        <v>321835452189.74152</v>
      </c>
      <c r="F120" s="21">
        <f t="shared" si="38"/>
        <v>0</v>
      </c>
      <c r="G120" s="21">
        <f t="shared" si="46"/>
        <v>1380261.977896204</v>
      </c>
      <c r="H120" s="43">
        <f t="shared" si="53"/>
        <v>0.99442674596487735</v>
      </c>
      <c r="I120" s="21">
        <f t="shared" si="54"/>
        <v>197531258.74603999</v>
      </c>
      <c r="J120" s="3">
        <f t="shared" si="39"/>
        <v>1.3426290479811602</v>
      </c>
      <c r="K120" s="3">
        <f t="shared" si="47"/>
        <v>200045375.3365832</v>
      </c>
      <c r="L120" s="41">
        <f t="shared" si="40"/>
        <v>0.66727954622722097</v>
      </c>
      <c r="M120" s="3">
        <f t="shared" si="41"/>
        <v>148995268.37839594</v>
      </c>
      <c r="N120" s="41">
        <f t="shared" si="42"/>
        <v>0.66727954622722097</v>
      </c>
      <c r="O120" s="3">
        <f t="shared" si="43"/>
        <v>3927801419116496</v>
      </c>
      <c r="P120" s="3">
        <f t="shared" si="48"/>
        <v>1.501146675679663E+17</v>
      </c>
      <c r="Q120">
        <f t="shared" si="49"/>
        <v>15.867183989341836</v>
      </c>
      <c r="R120"/>
    </row>
    <row r="121" spans="1:18">
      <c r="A121">
        <f t="shared" si="44"/>
        <v>0</v>
      </c>
      <c r="B121">
        <f t="shared" si="45"/>
        <v>1</v>
      </c>
      <c r="C121">
        <f t="shared" si="50"/>
        <v>24.335586727585039</v>
      </c>
      <c r="D121" s="4">
        <f t="shared" si="51"/>
        <v>0</v>
      </c>
      <c r="E121" s="21">
        <f t="shared" si="52"/>
        <v>321832691665.78571</v>
      </c>
      <c r="F121" s="21">
        <f t="shared" si="38"/>
        <v>0</v>
      </c>
      <c r="G121" s="21">
        <f t="shared" si="46"/>
        <v>1380261.977896204</v>
      </c>
      <c r="H121" s="43">
        <f t="shared" si="53"/>
        <v>0.99438108440658224</v>
      </c>
      <c r="I121" s="21">
        <f t="shared" si="54"/>
        <v>198911520.7239362</v>
      </c>
      <c r="J121" s="3">
        <f t="shared" si="39"/>
        <v>1.3426290479811602</v>
      </c>
      <c r="K121" s="3">
        <f t="shared" si="47"/>
        <v>200045375.3365832</v>
      </c>
      <c r="L121" s="41">
        <f t="shared" si="40"/>
        <v>0.66727954622722097</v>
      </c>
      <c r="M121" s="3">
        <f t="shared" si="41"/>
        <v>148995268.37839594</v>
      </c>
      <c r="N121" s="41">
        <f t="shared" si="42"/>
        <v>0.66727954622722097</v>
      </c>
      <c r="O121" s="3">
        <f t="shared" si="43"/>
        <v>3927801419116496</v>
      </c>
      <c r="P121" s="3">
        <f t="shared" si="48"/>
        <v>1.5169290555214675E+17</v>
      </c>
      <c r="Q121">
        <f t="shared" si="49"/>
        <v>16.034004413219609</v>
      </c>
      <c r="R121"/>
    </row>
    <row r="122" spans="1:18">
      <c r="A122">
        <f t="shared" si="44"/>
        <v>0</v>
      </c>
      <c r="B122">
        <f t="shared" si="45"/>
        <v>1</v>
      </c>
      <c r="C122">
        <f t="shared" si="50"/>
        <v>24.585586727585039</v>
      </c>
      <c r="D122" s="4">
        <f t="shared" si="51"/>
        <v>0</v>
      </c>
      <c r="E122" s="21">
        <f t="shared" si="52"/>
        <v>321829931141.8299</v>
      </c>
      <c r="F122" s="21">
        <f t="shared" si="38"/>
        <v>0</v>
      </c>
      <c r="G122" s="21">
        <f t="shared" si="46"/>
        <v>1380261.977896204</v>
      </c>
      <c r="H122" s="43">
        <f t="shared" si="53"/>
        <v>0.99433542284828724</v>
      </c>
      <c r="I122" s="21">
        <f t="shared" si="54"/>
        <v>200291782.70183241</v>
      </c>
      <c r="J122" s="3">
        <f t="shared" si="39"/>
        <v>1.3426290479811602</v>
      </c>
      <c r="K122" s="3">
        <f t="shared" si="47"/>
        <v>200045375.3365832</v>
      </c>
      <c r="L122" s="41">
        <f t="shared" si="40"/>
        <v>0.66727954622722097</v>
      </c>
      <c r="M122" s="3">
        <f t="shared" si="41"/>
        <v>148995268.37839594</v>
      </c>
      <c r="N122" s="41">
        <f t="shared" si="42"/>
        <v>0.66727954622722097</v>
      </c>
      <c r="O122" s="3">
        <f t="shared" si="43"/>
        <v>3927801419116496</v>
      </c>
      <c r="P122" s="3">
        <f t="shared" si="48"/>
        <v>1.532711435363272E+17</v>
      </c>
      <c r="Q122">
        <f t="shared" si="49"/>
        <v>16.200824837097382</v>
      </c>
      <c r="R122"/>
    </row>
    <row r="123" spans="1:18">
      <c r="A123">
        <f t="shared" si="44"/>
        <v>0</v>
      </c>
      <c r="B123">
        <f t="shared" si="45"/>
        <v>1</v>
      </c>
      <c r="C123">
        <f t="shared" si="50"/>
        <v>24.835586727585039</v>
      </c>
      <c r="D123" s="4">
        <f t="shared" si="51"/>
        <v>0</v>
      </c>
      <c r="E123" s="21">
        <f t="shared" si="52"/>
        <v>321827170617.87408</v>
      </c>
      <c r="F123" s="21">
        <f t="shared" si="38"/>
        <v>0</v>
      </c>
      <c r="G123" s="21">
        <f t="shared" si="46"/>
        <v>1380261.977896204</v>
      </c>
      <c r="H123" s="43">
        <f t="shared" si="53"/>
        <v>0.99428976128999225</v>
      </c>
      <c r="I123" s="21">
        <f t="shared" si="54"/>
        <v>201672044.67972863</v>
      </c>
      <c r="J123" s="3">
        <f t="shared" si="39"/>
        <v>1.3426290479811602</v>
      </c>
      <c r="K123" s="3">
        <f t="shared" si="47"/>
        <v>200045375.3365832</v>
      </c>
      <c r="L123" s="41">
        <f t="shared" si="40"/>
        <v>0.66727954622722097</v>
      </c>
      <c r="M123" s="3">
        <f t="shared" si="41"/>
        <v>148995268.37839594</v>
      </c>
      <c r="N123" s="41">
        <f t="shared" si="42"/>
        <v>0.66727954622722097</v>
      </c>
      <c r="O123" s="3">
        <f t="shared" si="43"/>
        <v>3927801419116496</v>
      </c>
      <c r="P123" s="3">
        <f t="shared" si="48"/>
        <v>1.5484938152050765E+17</v>
      </c>
      <c r="Q123">
        <f t="shared" si="49"/>
        <v>16.367645260975156</v>
      </c>
      <c r="R123"/>
    </row>
    <row r="124" spans="1:18">
      <c r="A124">
        <f t="shared" si="44"/>
        <v>0</v>
      </c>
      <c r="B124">
        <f t="shared" si="45"/>
        <v>1</v>
      </c>
      <c r="C124">
        <f t="shared" si="50"/>
        <v>25.085586727585039</v>
      </c>
      <c r="D124" s="4">
        <f t="shared" si="51"/>
        <v>0</v>
      </c>
      <c r="E124" s="21">
        <f t="shared" si="52"/>
        <v>321824410093.91827</v>
      </c>
      <c r="F124" s="21">
        <f t="shared" si="38"/>
        <v>0</v>
      </c>
      <c r="G124" s="21">
        <f t="shared" si="46"/>
        <v>1380261.977896204</v>
      </c>
      <c r="H124" s="43">
        <f t="shared" si="53"/>
        <v>0.99424409973169725</v>
      </c>
      <c r="I124" s="21">
        <f t="shared" si="54"/>
        <v>203052306.65762484</v>
      </c>
      <c r="J124" s="3">
        <f t="shared" si="39"/>
        <v>1.3426290479811602</v>
      </c>
      <c r="K124" s="3">
        <f t="shared" si="47"/>
        <v>200045375.3365832</v>
      </c>
      <c r="L124" s="41">
        <f t="shared" si="40"/>
        <v>0.66727954622722097</v>
      </c>
      <c r="M124" s="3">
        <f t="shared" si="41"/>
        <v>148995268.37839594</v>
      </c>
      <c r="N124" s="41">
        <f t="shared" si="42"/>
        <v>0.66727954622722097</v>
      </c>
      <c r="O124" s="3">
        <f t="shared" si="43"/>
        <v>3927801419116496</v>
      </c>
      <c r="P124" s="3">
        <f t="shared" si="48"/>
        <v>1.564276195046881E+17</v>
      </c>
      <c r="Q124">
        <f t="shared" si="49"/>
        <v>16.534465684852929</v>
      </c>
      <c r="R124"/>
    </row>
    <row r="125" spans="1:18">
      <c r="A125">
        <f t="shared" si="44"/>
        <v>0</v>
      </c>
      <c r="B125">
        <f t="shared" si="45"/>
        <v>1</v>
      </c>
      <c r="C125">
        <f t="shared" si="50"/>
        <v>25.335586727585039</v>
      </c>
      <c r="D125" s="4">
        <f t="shared" si="51"/>
        <v>0</v>
      </c>
      <c r="E125" s="21">
        <f t="shared" si="52"/>
        <v>321821649569.96246</v>
      </c>
      <c r="F125" s="21">
        <f t="shared" si="38"/>
        <v>0</v>
      </c>
      <c r="G125" s="21">
        <f t="shared" si="46"/>
        <v>1380261.977896204</v>
      </c>
      <c r="H125" s="43">
        <f t="shared" si="53"/>
        <v>0.99419843817340225</v>
      </c>
      <c r="I125" s="21">
        <f t="shared" si="54"/>
        <v>204432568.63552105</v>
      </c>
      <c r="J125" s="3">
        <f t="shared" si="39"/>
        <v>1.3426290479811602</v>
      </c>
      <c r="K125" s="3">
        <f t="shared" si="47"/>
        <v>200045375.3365832</v>
      </c>
      <c r="L125" s="41">
        <f t="shared" si="40"/>
        <v>0.66727954622722097</v>
      </c>
      <c r="M125" s="3">
        <f t="shared" si="41"/>
        <v>148995268.37839594</v>
      </c>
      <c r="N125" s="41">
        <f t="shared" si="42"/>
        <v>0.66727954622722097</v>
      </c>
      <c r="O125" s="3">
        <f t="shared" si="43"/>
        <v>3927801419116496</v>
      </c>
      <c r="P125" s="3">
        <f t="shared" si="48"/>
        <v>1.5800585748886854E+17</v>
      </c>
      <c r="Q125">
        <f t="shared" si="49"/>
        <v>16.701286108730702</v>
      </c>
      <c r="R125"/>
    </row>
    <row r="126" spans="1:18">
      <c r="A126">
        <f t="shared" si="44"/>
        <v>0</v>
      </c>
      <c r="B126">
        <f t="shared" si="45"/>
        <v>1</v>
      </c>
      <c r="C126">
        <f t="shared" si="50"/>
        <v>25.585586727585039</v>
      </c>
      <c r="D126" s="4">
        <f t="shared" si="51"/>
        <v>0</v>
      </c>
      <c r="E126" s="21">
        <f t="shared" si="52"/>
        <v>321818889046.00665</v>
      </c>
      <c r="F126" s="21">
        <f t="shared" si="38"/>
        <v>0</v>
      </c>
      <c r="G126" s="21">
        <f t="shared" si="46"/>
        <v>1380261.977896204</v>
      </c>
      <c r="H126" s="43">
        <f t="shared" si="53"/>
        <v>0.99415277661510726</v>
      </c>
      <c r="I126" s="21">
        <f t="shared" si="54"/>
        <v>205812830.61341727</v>
      </c>
      <c r="J126" s="3">
        <f t="shared" si="39"/>
        <v>1.3426290479811602</v>
      </c>
      <c r="K126" s="3">
        <f t="shared" si="47"/>
        <v>200045375.3365832</v>
      </c>
      <c r="L126" s="41">
        <f t="shared" si="40"/>
        <v>0.66727954622722097</v>
      </c>
      <c r="M126" s="3">
        <f t="shared" si="41"/>
        <v>148995268.37839594</v>
      </c>
      <c r="N126" s="41">
        <f t="shared" si="42"/>
        <v>0.66727954622722097</v>
      </c>
      <c r="O126" s="3">
        <f t="shared" si="43"/>
        <v>3927801419116496</v>
      </c>
      <c r="P126" s="3">
        <f t="shared" si="48"/>
        <v>1.5958409547304899E+17</v>
      </c>
      <c r="Q126">
        <f t="shared" si="49"/>
        <v>16.868106532608476</v>
      </c>
      <c r="R126"/>
    </row>
    <row r="127" spans="1:18">
      <c r="A127">
        <f t="shared" si="44"/>
        <v>0</v>
      </c>
      <c r="B127">
        <f t="shared" si="45"/>
        <v>1</v>
      </c>
      <c r="C127">
        <f t="shared" si="50"/>
        <v>25.835586727585039</v>
      </c>
      <c r="D127" s="4">
        <f t="shared" si="51"/>
        <v>0</v>
      </c>
      <c r="E127" s="21">
        <f t="shared" si="52"/>
        <v>321816128522.05084</v>
      </c>
      <c r="F127" s="21">
        <f t="shared" si="38"/>
        <v>0</v>
      </c>
      <c r="G127" s="21">
        <f t="shared" si="46"/>
        <v>1380261.977896204</v>
      </c>
      <c r="H127" s="43">
        <f t="shared" si="53"/>
        <v>0.99410711505681215</v>
      </c>
      <c r="I127" s="21">
        <f t="shared" si="54"/>
        <v>207193092.59131348</v>
      </c>
      <c r="J127" s="3">
        <f t="shared" si="39"/>
        <v>1.3426290479811602</v>
      </c>
      <c r="K127" s="3">
        <f t="shared" si="47"/>
        <v>200045375.3365832</v>
      </c>
      <c r="L127" s="41">
        <f t="shared" si="40"/>
        <v>0.66727954622722097</v>
      </c>
      <c r="M127" s="3">
        <f t="shared" si="41"/>
        <v>148995268.37839594</v>
      </c>
      <c r="N127" s="41">
        <f t="shared" si="42"/>
        <v>0.66727954622722097</v>
      </c>
      <c r="O127" s="3">
        <f t="shared" si="43"/>
        <v>3927801419116496</v>
      </c>
      <c r="P127" s="3">
        <f t="shared" si="48"/>
        <v>1.6116233345722944E+17</v>
      </c>
      <c r="Q127">
        <f t="shared" si="49"/>
        <v>17.034926956486249</v>
      </c>
      <c r="R127"/>
    </row>
    <row r="128" spans="1:18">
      <c r="A128">
        <f t="shared" si="44"/>
        <v>0</v>
      </c>
      <c r="B128">
        <f t="shared" si="45"/>
        <v>1</v>
      </c>
      <c r="C128">
        <f t="shared" si="50"/>
        <v>26.085586727585039</v>
      </c>
      <c r="D128" s="4">
        <f t="shared" si="51"/>
        <v>0</v>
      </c>
      <c r="E128" s="21">
        <f t="shared" si="52"/>
        <v>321813367998.09503</v>
      </c>
      <c r="F128" s="21">
        <f t="shared" si="38"/>
        <v>0</v>
      </c>
      <c r="G128" s="21">
        <f t="shared" si="46"/>
        <v>1380261.977896204</v>
      </c>
      <c r="H128" s="43">
        <f t="shared" si="53"/>
        <v>0.99406145349851716</v>
      </c>
      <c r="I128" s="21">
        <f t="shared" si="54"/>
        <v>208573354.56920969</v>
      </c>
      <c r="J128" s="3">
        <f t="shared" si="39"/>
        <v>1.3426290479811602</v>
      </c>
      <c r="K128" s="3">
        <f t="shared" si="47"/>
        <v>200045375.3365832</v>
      </c>
      <c r="L128" s="41">
        <f t="shared" si="40"/>
        <v>0.66727954622722097</v>
      </c>
      <c r="M128" s="3">
        <f t="shared" si="41"/>
        <v>148995268.37839594</v>
      </c>
      <c r="N128" s="41">
        <f t="shared" si="42"/>
        <v>0.66727954622722097</v>
      </c>
      <c r="O128" s="3">
        <f t="shared" si="43"/>
        <v>3927801419116496</v>
      </c>
      <c r="P128" s="3">
        <f t="shared" si="48"/>
        <v>1.6274057144140989E+17</v>
      </c>
      <c r="Q128">
        <f t="shared" si="49"/>
        <v>17.201747380364022</v>
      </c>
      <c r="R128"/>
    </row>
    <row r="129" spans="1:18">
      <c r="A129">
        <f t="shared" si="44"/>
        <v>0</v>
      </c>
      <c r="B129">
        <f t="shared" si="45"/>
        <v>1</v>
      </c>
      <c r="C129">
        <f t="shared" si="50"/>
        <v>26.335586727585039</v>
      </c>
      <c r="D129" s="4">
        <f t="shared" si="51"/>
        <v>0</v>
      </c>
      <c r="E129" s="21">
        <f t="shared" si="52"/>
        <v>321810607474.13922</v>
      </c>
      <c r="F129" s="21">
        <f t="shared" si="38"/>
        <v>0</v>
      </c>
      <c r="G129" s="21">
        <f t="shared" si="46"/>
        <v>1380261.977896204</v>
      </c>
      <c r="H129" s="43">
        <f t="shared" si="53"/>
        <v>0.99401579194022216</v>
      </c>
      <c r="I129" s="21">
        <f t="shared" si="54"/>
        <v>209953616.54710591</v>
      </c>
      <c r="J129" s="3">
        <f t="shared" si="39"/>
        <v>1.3426290479811602</v>
      </c>
      <c r="K129" s="3">
        <f t="shared" si="47"/>
        <v>200045375.3365832</v>
      </c>
      <c r="L129" s="41">
        <f t="shared" si="40"/>
        <v>0.66727954622722097</v>
      </c>
      <c r="M129" s="3">
        <f t="shared" si="41"/>
        <v>148995268.37839594</v>
      </c>
      <c r="N129" s="41">
        <f t="shared" si="42"/>
        <v>0.66727954622722097</v>
      </c>
      <c r="O129" s="3">
        <f t="shared" si="43"/>
        <v>3927801419116496</v>
      </c>
      <c r="P129" s="3">
        <f t="shared" si="48"/>
        <v>1.6431880942559034E+17</v>
      </c>
      <c r="Q129">
        <f t="shared" si="49"/>
        <v>17.368567804241792</v>
      </c>
      <c r="R129"/>
    </row>
    <row r="130" spans="1:18">
      <c r="A130">
        <f t="shared" si="44"/>
        <v>0</v>
      </c>
      <c r="B130">
        <f t="shared" si="45"/>
        <v>1</v>
      </c>
      <c r="C130">
        <f t="shared" ref="C130:C179" si="55">C129+$D$11</f>
        <v>26.585586727585039</v>
      </c>
      <c r="D130" s="4">
        <f t="shared" ref="D130:D179" si="56">$C$16/$C$5*ASINH($C$5*A130*$C$14/$C$16)/$C$14</f>
        <v>0</v>
      </c>
      <c r="E130" s="21">
        <f t="shared" ref="E130:E179" si="57">E129-G129-$C$12</f>
        <v>321807846950.18341</v>
      </c>
      <c r="F130" s="21">
        <f t="shared" si="38"/>
        <v>0</v>
      </c>
      <c r="G130" s="21">
        <f t="shared" si="46"/>
        <v>1380261.977896204</v>
      </c>
      <c r="H130" s="43">
        <f t="shared" ref="H130:H179" si="58">1-(($E$18-E130)/$C$4)</f>
        <v>0.99397013038192716</v>
      </c>
      <c r="I130" s="21">
        <f t="shared" ref="I130:I179" si="59">I129+G130</f>
        <v>211333878.52500212</v>
      </c>
      <c r="J130" s="3">
        <f t="shared" si="39"/>
        <v>1.3426290479811602</v>
      </c>
      <c r="K130" s="3">
        <f t="shared" si="47"/>
        <v>200045375.3365832</v>
      </c>
      <c r="L130" s="41">
        <f t="shared" si="40"/>
        <v>0.66727954622722097</v>
      </c>
      <c r="M130" s="3">
        <f t="shared" si="41"/>
        <v>148995268.37839594</v>
      </c>
      <c r="N130" s="41">
        <f t="shared" si="42"/>
        <v>0.66727954622722097</v>
      </c>
      <c r="O130" s="3">
        <f t="shared" si="43"/>
        <v>3927801419116496</v>
      </c>
      <c r="P130" s="3">
        <f t="shared" si="48"/>
        <v>1.6589704740977078E+17</v>
      </c>
      <c r="Q130">
        <f t="shared" si="49"/>
        <v>17.535388228119565</v>
      </c>
      <c r="R130"/>
    </row>
    <row r="131" spans="1:18">
      <c r="A131">
        <f t="shared" si="44"/>
        <v>0</v>
      </c>
      <c r="B131">
        <f t="shared" si="45"/>
        <v>1</v>
      </c>
      <c r="C131">
        <f t="shared" si="55"/>
        <v>26.835586727585039</v>
      </c>
      <c r="D131" s="4">
        <f t="shared" si="56"/>
        <v>0</v>
      </c>
      <c r="E131" s="21">
        <f t="shared" si="57"/>
        <v>321805086426.2276</v>
      </c>
      <c r="F131" s="21">
        <f t="shared" si="38"/>
        <v>0</v>
      </c>
      <c r="G131" s="21">
        <f t="shared" si="46"/>
        <v>1380261.977896204</v>
      </c>
      <c r="H131" s="43">
        <f t="shared" si="58"/>
        <v>0.99392446882363217</v>
      </c>
      <c r="I131" s="21">
        <f t="shared" si="59"/>
        <v>212714140.50289834</v>
      </c>
      <c r="J131" s="3">
        <f t="shared" si="39"/>
        <v>1.3426290479811602</v>
      </c>
      <c r="K131" s="3">
        <f t="shared" si="47"/>
        <v>200045375.3365832</v>
      </c>
      <c r="L131" s="41">
        <f t="shared" si="40"/>
        <v>0.66727954622722097</v>
      </c>
      <c r="M131" s="3">
        <f t="shared" si="41"/>
        <v>148995268.37839594</v>
      </c>
      <c r="N131" s="41">
        <f t="shared" si="42"/>
        <v>0.66727954622722097</v>
      </c>
      <c r="O131" s="3">
        <f t="shared" si="43"/>
        <v>3927801419116496</v>
      </c>
      <c r="P131" s="3">
        <f t="shared" si="48"/>
        <v>1.6747528539395123E+17</v>
      </c>
      <c r="Q131">
        <f t="shared" si="49"/>
        <v>17.702208651997339</v>
      </c>
      <c r="R131"/>
    </row>
    <row r="132" spans="1:18">
      <c r="A132">
        <f t="shared" si="44"/>
        <v>0</v>
      </c>
      <c r="B132">
        <f t="shared" si="45"/>
        <v>1</v>
      </c>
      <c r="C132">
        <f t="shared" si="55"/>
        <v>27.085586727585039</v>
      </c>
      <c r="D132" s="4">
        <f t="shared" si="56"/>
        <v>0</v>
      </c>
      <c r="E132" s="21">
        <f t="shared" si="57"/>
        <v>321802325902.27179</v>
      </c>
      <c r="F132" s="21">
        <f t="shared" si="38"/>
        <v>0</v>
      </c>
      <c r="G132" s="21">
        <f t="shared" si="46"/>
        <v>1380261.977896204</v>
      </c>
      <c r="H132" s="43">
        <f t="shared" si="58"/>
        <v>0.99387880726533717</v>
      </c>
      <c r="I132" s="21">
        <f t="shared" si="59"/>
        <v>214094402.48079455</v>
      </c>
      <c r="J132" s="3">
        <f t="shared" si="39"/>
        <v>1.3426290479811602</v>
      </c>
      <c r="K132" s="3">
        <f t="shared" si="47"/>
        <v>200045375.3365832</v>
      </c>
      <c r="L132" s="41">
        <f t="shared" si="40"/>
        <v>0.66727954622722097</v>
      </c>
      <c r="M132" s="3">
        <f t="shared" si="41"/>
        <v>148995268.37839594</v>
      </c>
      <c r="N132" s="41">
        <f t="shared" si="42"/>
        <v>0.66727954622722097</v>
      </c>
      <c r="O132" s="3">
        <f t="shared" si="43"/>
        <v>3927801419116496</v>
      </c>
      <c r="P132" s="3">
        <f t="shared" si="48"/>
        <v>1.6905352337813168E+17</v>
      </c>
      <c r="Q132">
        <f t="shared" si="49"/>
        <v>17.869029075875112</v>
      </c>
      <c r="R132"/>
    </row>
    <row r="133" spans="1:18">
      <c r="A133">
        <f t="shared" si="44"/>
        <v>0</v>
      </c>
      <c r="B133">
        <f t="shared" si="45"/>
        <v>1</v>
      </c>
      <c r="C133">
        <f t="shared" si="55"/>
        <v>27.335586727585039</v>
      </c>
      <c r="D133" s="4">
        <f t="shared" si="56"/>
        <v>0</v>
      </c>
      <c r="E133" s="21">
        <f t="shared" si="57"/>
        <v>321799565378.31598</v>
      </c>
      <c r="F133" s="21">
        <f t="shared" si="38"/>
        <v>0</v>
      </c>
      <c r="G133" s="21">
        <f t="shared" si="46"/>
        <v>1380261.977896204</v>
      </c>
      <c r="H133" s="43">
        <f t="shared" si="58"/>
        <v>0.99383314570704206</v>
      </c>
      <c r="I133" s="21">
        <f t="shared" si="59"/>
        <v>215474664.45869076</v>
      </c>
      <c r="J133" s="3">
        <f t="shared" si="39"/>
        <v>1.3426290479811602</v>
      </c>
      <c r="K133" s="3">
        <f t="shared" si="47"/>
        <v>200045375.3365832</v>
      </c>
      <c r="L133" s="41">
        <f t="shared" si="40"/>
        <v>0.66727954622722097</v>
      </c>
      <c r="M133" s="3">
        <f t="shared" si="41"/>
        <v>148995268.37839594</v>
      </c>
      <c r="N133" s="41">
        <f t="shared" si="42"/>
        <v>0.66727954622722097</v>
      </c>
      <c r="O133" s="3">
        <f t="shared" si="43"/>
        <v>3927801419116496</v>
      </c>
      <c r="P133" s="3">
        <f t="shared" si="48"/>
        <v>1.7063176136231213E+17</v>
      </c>
      <c r="Q133">
        <f t="shared" si="49"/>
        <v>18.035849499752885</v>
      </c>
      <c r="R133"/>
    </row>
    <row r="134" spans="1:18">
      <c r="A134">
        <f t="shared" si="44"/>
        <v>0</v>
      </c>
      <c r="B134">
        <f t="shared" si="45"/>
        <v>1</v>
      </c>
      <c r="C134">
        <f t="shared" si="55"/>
        <v>27.585586727585039</v>
      </c>
      <c r="D134" s="4">
        <f t="shared" si="56"/>
        <v>0</v>
      </c>
      <c r="E134" s="21">
        <f t="shared" si="57"/>
        <v>321796804854.36017</v>
      </c>
      <c r="F134" s="21">
        <f t="shared" si="38"/>
        <v>0</v>
      </c>
      <c r="G134" s="21">
        <f t="shared" si="46"/>
        <v>1380261.977896204</v>
      </c>
      <c r="H134" s="43">
        <f t="shared" si="58"/>
        <v>0.99378748414874707</v>
      </c>
      <c r="I134" s="21">
        <f t="shared" si="59"/>
        <v>216854926.43658698</v>
      </c>
      <c r="J134" s="3">
        <f t="shared" si="39"/>
        <v>1.3426290479811602</v>
      </c>
      <c r="K134" s="3">
        <f t="shared" si="47"/>
        <v>200045375.3365832</v>
      </c>
      <c r="L134" s="41">
        <f t="shared" si="40"/>
        <v>0.66727954622722097</v>
      </c>
      <c r="M134" s="3">
        <f t="shared" si="41"/>
        <v>148995268.37839594</v>
      </c>
      <c r="N134" s="41">
        <f t="shared" si="42"/>
        <v>0.66727954622722097</v>
      </c>
      <c r="O134" s="3">
        <f t="shared" si="43"/>
        <v>3927801419116496</v>
      </c>
      <c r="P134" s="3">
        <f t="shared" si="48"/>
        <v>1.7220999934649258E+17</v>
      </c>
      <c r="Q134">
        <f t="shared" si="49"/>
        <v>18.202669923630658</v>
      </c>
      <c r="R134"/>
    </row>
    <row r="135" spans="1:18">
      <c r="A135">
        <f t="shared" si="44"/>
        <v>0</v>
      </c>
      <c r="B135">
        <f t="shared" si="45"/>
        <v>1</v>
      </c>
      <c r="C135">
        <f t="shared" si="55"/>
        <v>27.835586727585039</v>
      </c>
      <c r="D135" s="4">
        <f t="shared" si="56"/>
        <v>0</v>
      </c>
      <c r="E135" s="21">
        <f t="shared" si="57"/>
        <v>321794044330.40436</v>
      </c>
      <c r="F135" s="21">
        <f t="shared" si="38"/>
        <v>0</v>
      </c>
      <c r="G135" s="21">
        <f t="shared" si="46"/>
        <v>1380261.977896204</v>
      </c>
      <c r="H135" s="43">
        <f t="shared" si="58"/>
        <v>0.99374182259045207</v>
      </c>
      <c r="I135" s="21">
        <f t="shared" si="59"/>
        <v>218235188.41448319</v>
      </c>
      <c r="J135" s="3">
        <f t="shared" si="39"/>
        <v>1.3426290479811602</v>
      </c>
      <c r="K135" s="3">
        <f t="shared" si="47"/>
        <v>200045375.3365832</v>
      </c>
      <c r="L135" s="41">
        <f t="shared" si="40"/>
        <v>0.66727954622722097</v>
      </c>
      <c r="M135" s="3">
        <f t="shared" si="41"/>
        <v>148995268.37839594</v>
      </c>
      <c r="N135" s="41">
        <f t="shared" si="42"/>
        <v>0.66727954622722097</v>
      </c>
      <c r="O135" s="3">
        <f t="shared" si="43"/>
        <v>3927801419116496</v>
      </c>
      <c r="P135" s="3">
        <f t="shared" si="48"/>
        <v>1.7378823733067302E+17</v>
      </c>
      <c r="Q135">
        <f t="shared" si="49"/>
        <v>18.369490347508432</v>
      </c>
      <c r="R135"/>
    </row>
    <row r="136" spans="1:18">
      <c r="A136">
        <f t="shared" si="44"/>
        <v>0</v>
      </c>
      <c r="B136">
        <f t="shared" si="45"/>
        <v>1</v>
      </c>
      <c r="C136">
        <f t="shared" si="55"/>
        <v>28.085586727585039</v>
      </c>
      <c r="D136" s="4">
        <f t="shared" si="56"/>
        <v>0</v>
      </c>
      <c r="E136" s="21">
        <f t="shared" si="57"/>
        <v>321791283806.44855</v>
      </c>
      <c r="F136" s="21">
        <f t="shared" si="38"/>
        <v>0</v>
      </c>
      <c r="G136" s="21">
        <f t="shared" si="46"/>
        <v>1380261.977896204</v>
      </c>
      <c r="H136" s="43">
        <f t="shared" si="58"/>
        <v>0.99369616103215708</v>
      </c>
      <c r="I136" s="21">
        <f t="shared" si="59"/>
        <v>219615450.3923794</v>
      </c>
      <c r="J136" s="3">
        <f t="shared" si="39"/>
        <v>1.3426290479811602</v>
      </c>
      <c r="K136" s="3">
        <f t="shared" si="47"/>
        <v>200045375.3365832</v>
      </c>
      <c r="L136" s="41">
        <f t="shared" si="40"/>
        <v>0.66727954622722097</v>
      </c>
      <c r="M136" s="3">
        <f t="shared" si="41"/>
        <v>148995268.37839594</v>
      </c>
      <c r="N136" s="41">
        <f t="shared" si="42"/>
        <v>0.66727954622722097</v>
      </c>
      <c r="O136" s="3">
        <f t="shared" si="43"/>
        <v>3927801419116496</v>
      </c>
      <c r="P136" s="3">
        <f t="shared" si="48"/>
        <v>1.7536647531485347E+17</v>
      </c>
      <c r="Q136">
        <f t="shared" si="49"/>
        <v>18.536310771386205</v>
      </c>
      <c r="R136"/>
    </row>
    <row r="137" spans="1:18">
      <c r="A137">
        <f t="shared" si="44"/>
        <v>0</v>
      </c>
      <c r="B137">
        <f t="shared" si="45"/>
        <v>1</v>
      </c>
      <c r="C137">
        <f t="shared" si="55"/>
        <v>28.335586727585039</v>
      </c>
      <c r="D137" s="4">
        <f t="shared" si="56"/>
        <v>0</v>
      </c>
      <c r="E137" s="21">
        <f t="shared" si="57"/>
        <v>321788523282.49274</v>
      </c>
      <c r="F137" s="21">
        <f t="shared" si="38"/>
        <v>0</v>
      </c>
      <c r="G137" s="21">
        <f t="shared" si="46"/>
        <v>1380261.977896204</v>
      </c>
      <c r="H137" s="43">
        <f t="shared" si="58"/>
        <v>0.99365049947386208</v>
      </c>
      <c r="I137" s="21">
        <f t="shared" si="59"/>
        <v>220995712.37027562</v>
      </c>
      <c r="J137" s="3">
        <f t="shared" si="39"/>
        <v>1.3426290479811602</v>
      </c>
      <c r="K137" s="3">
        <f t="shared" si="47"/>
        <v>200045375.3365832</v>
      </c>
      <c r="L137" s="41">
        <f t="shared" si="40"/>
        <v>0.66727954622722097</v>
      </c>
      <c r="M137" s="3">
        <f t="shared" si="41"/>
        <v>148995268.37839594</v>
      </c>
      <c r="N137" s="41">
        <f t="shared" si="42"/>
        <v>0.66727954622722097</v>
      </c>
      <c r="O137" s="3">
        <f t="shared" si="43"/>
        <v>3927801419116496</v>
      </c>
      <c r="P137" s="3">
        <f t="shared" si="48"/>
        <v>1.7694471329903392E+17</v>
      </c>
      <c r="Q137">
        <f t="shared" si="49"/>
        <v>18.703131195263978</v>
      </c>
      <c r="R137"/>
    </row>
    <row r="138" spans="1:18">
      <c r="A138">
        <f t="shared" si="44"/>
        <v>0</v>
      </c>
      <c r="B138">
        <f t="shared" si="45"/>
        <v>1</v>
      </c>
      <c r="C138">
        <f t="shared" si="55"/>
        <v>28.585586727585039</v>
      </c>
      <c r="D138" s="4">
        <f t="shared" si="56"/>
        <v>0</v>
      </c>
      <c r="E138" s="21">
        <f t="shared" si="57"/>
        <v>321785762758.53693</v>
      </c>
      <c r="F138" s="21">
        <f t="shared" si="38"/>
        <v>0</v>
      </c>
      <c r="G138" s="21">
        <f t="shared" si="46"/>
        <v>1380261.977896204</v>
      </c>
      <c r="H138" s="43">
        <f t="shared" si="58"/>
        <v>0.99360483791556709</v>
      </c>
      <c r="I138" s="21">
        <f t="shared" si="59"/>
        <v>222375974.34817183</v>
      </c>
      <c r="J138" s="3">
        <f t="shared" si="39"/>
        <v>1.3426290479811602</v>
      </c>
      <c r="K138" s="3">
        <f t="shared" si="47"/>
        <v>200045375.3365832</v>
      </c>
      <c r="L138" s="41">
        <f t="shared" si="40"/>
        <v>0.66727954622722097</v>
      </c>
      <c r="M138" s="3">
        <f t="shared" si="41"/>
        <v>148995268.37839594</v>
      </c>
      <c r="N138" s="41">
        <f t="shared" si="42"/>
        <v>0.66727954622722097</v>
      </c>
      <c r="O138" s="3">
        <f t="shared" si="43"/>
        <v>3927801419116496</v>
      </c>
      <c r="P138" s="3">
        <f t="shared" si="48"/>
        <v>1.7852295128321437E+17</v>
      </c>
      <c r="Q138">
        <f t="shared" si="49"/>
        <v>18.869951619141752</v>
      </c>
      <c r="R138"/>
    </row>
    <row r="139" spans="1:18">
      <c r="A139">
        <f t="shared" si="44"/>
        <v>0</v>
      </c>
      <c r="B139">
        <f t="shared" si="45"/>
        <v>1</v>
      </c>
      <c r="C139">
        <f t="shared" si="55"/>
        <v>28.835586727585039</v>
      </c>
      <c r="D139" s="4">
        <f t="shared" si="56"/>
        <v>0</v>
      </c>
      <c r="E139" s="21">
        <f t="shared" si="57"/>
        <v>321783002234.58112</v>
      </c>
      <c r="F139" s="21">
        <f t="shared" si="38"/>
        <v>0</v>
      </c>
      <c r="G139" s="21">
        <f t="shared" si="46"/>
        <v>1380261.977896204</v>
      </c>
      <c r="H139" s="43">
        <f t="shared" si="58"/>
        <v>0.99355917635727198</v>
      </c>
      <c r="I139" s="21">
        <f t="shared" si="59"/>
        <v>223756236.32606804</v>
      </c>
      <c r="J139" s="3">
        <f t="shared" si="39"/>
        <v>1.3426290479811602</v>
      </c>
      <c r="K139" s="3">
        <f t="shared" si="47"/>
        <v>200045375.3365832</v>
      </c>
      <c r="L139" s="41">
        <f t="shared" si="40"/>
        <v>0.66727954622722097</v>
      </c>
      <c r="M139" s="3">
        <f t="shared" si="41"/>
        <v>148995268.37839594</v>
      </c>
      <c r="N139" s="41">
        <f t="shared" si="42"/>
        <v>0.66727954622722097</v>
      </c>
      <c r="O139" s="3">
        <f t="shared" si="43"/>
        <v>3927801419116496</v>
      </c>
      <c r="P139" s="3">
        <f t="shared" si="48"/>
        <v>1.8010118926739482E+17</v>
      </c>
      <c r="Q139">
        <f t="shared" si="49"/>
        <v>19.036772043019525</v>
      </c>
      <c r="R139"/>
    </row>
    <row r="140" spans="1:18">
      <c r="A140">
        <f t="shared" si="44"/>
        <v>0</v>
      </c>
      <c r="B140">
        <f t="shared" si="45"/>
        <v>1</v>
      </c>
      <c r="C140">
        <f t="shared" si="55"/>
        <v>29.085586727585039</v>
      </c>
      <c r="D140" s="4">
        <f t="shared" si="56"/>
        <v>0</v>
      </c>
      <c r="E140" s="21">
        <f t="shared" si="57"/>
        <v>321780241710.62531</v>
      </c>
      <c r="F140" s="21">
        <f t="shared" si="38"/>
        <v>0</v>
      </c>
      <c r="G140" s="21">
        <f t="shared" si="46"/>
        <v>1380261.977896204</v>
      </c>
      <c r="H140" s="43">
        <f t="shared" si="58"/>
        <v>0.99351351479897698</v>
      </c>
      <c r="I140" s="21">
        <f t="shared" si="59"/>
        <v>225136498.30396426</v>
      </c>
      <c r="J140" s="3">
        <f t="shared" si="39"/>
        <v>1.3426290479811602</v>
      </c>
      <c r="K140" s="3">
        <f t="shared" si="47"/>
        <v>200045375.3365832</v>
      </c>
      <c r="L140" s="41">
        <f t="shared" si="40"/>
        <v>0.66727954622722097</v>
      </c>
      <c r="M140" s="3">
        <f t="shared" si="41"/>
        <v>148995268.37839594</v>
      </c>
      <c r="N140" s="41">
        <f t="shared" si="42"/>
        <v>0.66727954622722097</v>
      </c>
      <c r="O140" s="3">
        <f t="shared" si="43"/>
        <v>3927801419116496</v>
      </c>
      <c r="P140" s="3">
        <f t="shared" si="48"/>
        <v>1.8167942725157526E+17</v>
      </c>
      <c r="Q140">
        <f t="shared" si="49"/>
        <v>19.203592466897298</v>
      </c>
      <c r="R140"/>
    </row>
    <row r="141" spans="1:18">
      <c r="A141">
        <f t="shared" si="44"/>
        <v>0</v>
      </c>
      <c r="B141">
        <f t="shared" si="45"/>
        <v>1</v>
      </c>
      <c r="C141">
        <f t="shared" si="55"/>
        <v>29.335586727585039</v>
      </c>
      <c r="D141" s="4">
        <f t="shared" si="56"/>
        <v>0</v>
      </c>
      <c r="E141" s="21">
        <f t="shared" si="57"/>
        <v>321777481186.66949</v>
      </c>
      <c r="F141" s="21">
        <f t="shared" si="38"/>
        <v>0</v>
      </c>
      <c r="G141" s="21">
        <f t="shared" si="46"/>
        <v>1380261.977896204</v>
      </c>
      <c r="H141" s="43">
        <f t="shared" si="58"/>
        <v>0.99346785324068199</v>
      </c>
      <c r="I141" s="21">
        <f t="shared" si="59"/>
        <v>226516760.28186047</v>
      </c>
      <c r="J141" s="3">
        <f t="shared" si="39"/>
        <v>1.3426290479811602</v>
      </c>
      <c r="K141" s="3">
        <f t="shared" si="47"/>
        <v>200045375.3365832</v>
      </c>
      <c r="L141" s="41">
        <f t="shared" si="40"/>
        <v>0.66727954622722097</v>
      </c>
      <c r="M141" s="3">
        <f t="shared" si="41"/>
        <v>148995268.37839594</v>
      </c>
      <c r="N141" s="41">
        <f t="shared" si="42"/>
        <v>0.66727954622722097</v>
      </c>
      <c r="O141" s="3">
        <f t="shared" si="43"/>
        <v>3927801419116496</v>
      </c>
      <c r="P141" s="3">
        <f t="shared" si="48"/>
        <v>1.8325766523575571E+17</v>
      </c>
      <c r="Q141">
        <f t="shared" si="49"/>
        <v>19.370412890775071</v>
      </c>
      <c r="R141"/>
    </row>
    <row r="142" spans="1:18">
      <c r="A142">
        <f t="shared" si="44"/>
        <v>0</v>
      </c>
      <c r="B142">
        <f t="shared" si="45"/>
        <v>1</v>
      </c>
      <c r="C142">
        <f t="shared" si="55"/>
        <v>29.585586727585039</v>
      </c>
      <c r="D142" s="4">
        <f t="shared" si="56"/>
        <v>0</v>
      </c>
      <c r="E142" s="21">
        <f t="shared" si="57"/>
        <v>321774720662.71368</v>
      </c>
      <c r="F142" s="21">
        <f t="shared" si="38"/>
        <v>0</v>
      </c>
      <c r="G142" s="21">
        <f t="shared" si="46"/>
        <v>1380261.977896204</v>
      </c>
      <c r="H142" s="43">
        <f t="shared" si="58"/>
        <v>0.99342219168238699</v>
      </c>
      <c r="I142" s="21">
        <f t="shared" si="59"/>
        <v>227897022.25975668</v>
      </c>
      <c r="J142" s="3">
        <f t="shared" si="39"/>
        <v>1.3426290479811602</v>
      </c>
      <c r="K142" s="3">
        <f t="shared" si="47"/>
        <v>200045375.3365832</v>
      </c>
      <c r="L142" s="41">
        <f t="shared" si="40"/>
        <v>0.66727954622722097</v>
      </c>
      <c r="M142" s="3">
        <f t="shared" si="41"/>
        <v>148995268.37839594</v>
      </c>
      <c r="N142" s="41">
        <f t="shared" si="42"/>
        <v>0.66727954622722097</v>
      </c>
      <c r="O142" s="3">
        <f t="shared" si="43"/>
        <v>3927801419116496</v>
      </c>
      <c r="P142" s="3">
        <f t="shared" si="48"/>
        <v>1.8483590321993616E+17</v>
      </c>
      <c r="Q142">
        <f t="shared" si="49"/>
        <v>19.537233314652845</v>
      </c>
      <c r="R142"/>
    </row>
    <row r="143" spans="1:18">
      <c r="A143">
        <f t="shared" si="44"/>
        <v>0</v>
      </c>
      <c r="B143">
        <f t="shared" si="45"/>
        <v>1</v>
      </c>
      <c r="C143">
        <f t="shared" si="55"/>
        <v>29.835586727585039</v>
      </c>
      <c r="D143" s="4">
        <f t="shared" si="56"/>
        <v>0</v>
      </c>
      <c r="E143" s="21">
        <f t="shared" si="57"/>
        <v>321771960138.75787</v>
      </c>
      <c r="F143" s="21">
        <f t="shared" si="38"/>
        <v>0</v>
      </c>
      <c r="G143" s="21">
        <f t="shared" si="46"/>
        <v>1380261.977896204</v>
      </c>
      <c r="H143" s="43">
        <f t="shared" si="58"/>
        <v>0.99337653012409199</v>
      </c>
      <c r="I143" s="21">
        <f t="shared" si="59"/>
        <v>229277284.2376529</v>
      </c>
      <c r="J143" s="3">
        <f t="shared" si="39"/>
        <v>1.3426290479811602</v>
      </c>
      <c r="K143" s="3">
        <f t="shared" si="47"/>
        <v>200045375.3365832</v>
      </c>
      <c r="L143" s="41">
        <f t="shared" si="40"/>
        <v>0.66727954622722097</v>
      </c>
      <c r="M143" s="3">
        <f t="shared" si="41"/>
        <v>148995268.37839594</v>
      </c>
      <c r="N143" s="41">
        <f t="shared" si="42"/>
        <v>0.66727954622722097</v>
      </c>
      <c r="O143" s="3">
        <f t="shared" si="43"/>
        <v>3927801419116496</v>
      </c>
      <c r="P143" s="3">
        <f t="shared" si="48"/>
        <v>1.8641414120411661E+17</v>
      </c>
      <c r="Q143">
        <f t="shared" si="49"/>
        <v>19.704053738530618</v>
      </c>
      <c r="R143"/>
    </row>
    <row r="144" spans="1:18">
      <c r="A144">
        <f t="shared" si="44"/>
        <v>0</v>
      </c>
      <c r="B144">
        <f t="shared" si="45"/>
        <v>1</v>
      </c>
      <c r="C144">
        <f t="shared" si="55"/>
        <v>30.085586727585039</v>
      </c>
      <c r="D144" s="4">
        <f t="shared" si="56"/>
        <v>0</v>
      </c>
      <c r="E144" s="21">
        <f t="shared" si="57"/>
        <v>321769199614.80206</v>
      </c>
      <c r="F144" s="21">
        <f t="shared" si="38"/>
        <v>0</v>
      </c>
      <c r="G144" s="21">
        <f t="shared" si="46"/>
        <v>1380261.977896204</v>
      </c>
      <c r="H144" s="43">
        <f t="shared" si="58"/>
        <v>0.99333086856579689</v>
      </c>
      <c r="I144" s="21">
        <f t="shared" si="59"/>
        <v>230657546.21554911</v>
      </c>
      <c r="J144" s="3">
        <f t="shared" si="39"/>
        <v>1.3426290479811602</v>
      </c>
      <c r="K144" s="3">
        <f t="shared" si="47"/>
        <v>200045375.3365832</v>
      </c>
      <c r="L144" s="41">
        <f t="shared" si="40"/>
        <v>0.66727954622722097</v>
      </c>
      <c r="M144" s="3">
        <f t="shared" si="41"/>
        <v>148995268.37839594</v>
      </c>
      <c r="N144" s="41">
        <f t="shared" si="42"/>
        <v>0.66727954622722097</v>
      </c>
      <c r="O144" s="3">
        <f t="shared" si="43"/>
        <v>3927801419116496</v>
      </c>
      <c r="P144" s="3">
        <f t="shared" si="48"/>
        <v>1.8799237918829706E+17</v>
      </c>
      <c r="Q144">
        <f t="shared" si="49"/>
        <v>19.870874162408391</v>
      </c>
      <c r="R144"/>
    </row>
    <row r="145" spans="1:18">
      <c r="A145">
        <f t="shared" si="44"/>
        <v>0</v>
      </c>
      <c r="B145">
        <f t="shared" si="45"/>
        <v>1</v>
      </c>
      <c r="C145">
        <f t="shared" si="55"/>
        <v>30.335586727585039</v>
      </c>
      <c r="D145" s="4">
        <f t="shared" si="56"/>
        <v>0</v>
      </c>
      <c r="E145" s="21">
        <f t="shared" si="57"/>
        <v>321766439090.84625</v>
      </c>
      <c r="F145" s="21">
        <f t="shared" si="38"/>
        <v>0</v>
      </c>
      <c r="G145" s="21">
        <f t="shared" si="46"/>
        <v>1380261.977896204</v>
      </c>
      <c r="H145" s="43">
        <f t="shared" si="58"/>
        <v>0.99328520700750189</v>
      </c>
      <c r="I145" s="21">
        <f t="shared" si="59"/>
        <v>232037808.19344532</v>
      </c>
      <c r="J145" s="3">
        <f t="shared" si="39"/>
        <v>1.3426290479811602</v>
      </c>
      <c r="K145" s="3">
        <f t="shared" si="47"/>
        <v>200045375.3365832</v>
      </c>
      <c r="L145" s="41">
        <f t="shared" si="40"/>
        <v>0.66727954622722097</v>
      </c>
      <c r="M145" s="3">
        <f t="shared" si="41"/>
        <v>148995268.37839594</v>
      </c>
      <c r="N145" s="41">
        <f t="shared" si="42"/>
        <v>0.66727954622722097</v>
      </c>
      <c r="O145" s="3">
        <f t="shared" si="43"/>
        <v>3927801419116496</v>
      </c>
      <c r="P145" s="3">
        <f t="shared" si="48"/>
        <v>1.895706171724775E+17</v>
      </c>
      <c r="Q145">
        <f t="shared" si="49"/>
        <v>20.037694586286165</v>
      </c>
      <c r="R145"/>
    </row>
    <row r="146" spans="1:18">
      <c r="A146">
        <f t="shared" si="44"/>
        <v>0</v>
      </c>
      <c r="B146">
        <f t="shared" si="45"/>
        <v>1</v>
      </c>
      <c r="C146">
        <f t="shared" si="55"/>
        <v>30.585586727585039</v>
      </c>
      <c r="D146" s="4">
        <f t="shared" si="56"/>
        <v>0</v>
      </c>
      <c r="E146" s="21">
        <f t="shared" si="57"/>
        <v>321763678566.89044</v>
      </c>
      <c r="F146" s="21">
        <f t="shared" si="38"/>
        <v>0</v>
      </c>
      <c r="G146" s="21">
        <f t="shared" si="46"/>
        <v>1380261.977896204</v>
      </c>
      <c r="H146" s="43">
        <f t="shared" si="58"/>
        <v>0.9932395454492069</v>
      </c>
      <c r="I146" s="21">
        <f t="shared" si="59"/>
        <v>233418070.17134154</v>
      </c>
      <c r="J146" s="3">
        <f t="shared" si="39"/>
        <v>1.3426290479811602</v>
      </c>
      <c r="K146" s="3">
        <f t="shared" si="47"/>
        <v>200045375.3365832</v>
      </c>
      <c r="L146" s="41">
        <f t="shared" si="40"/>
        <v>0.66727954622722097</v>
      </c>
      <c r="M146" s="3">
        <f t="shared" si="41"/>
        <v>148995268.37839594</v>
      </c>
      <c r="N146" s="41">
        <f t="shared" si="42"/>
        <v>0.66727954622722097</v>
      </c>
      <c r="O146" s="3">
        <f t="shared" si="43"/>
        <v>3927801419116496</v>
      </c>
      <c r="P146" s="3">
        <f t="shared" si="48"/>
        <v>1.9114885515665795E+17</v>
      </c>
      <c r="Q146">
        <f t="shared" si="49"/>
        <v>20.204515010163938</v>
      </c>
      <c r="R146"/>
    </row>
    <row r="147" spans="1:18">
      <c r="A147">
        <f t="shared" si="44"/>
        <v>0</v>
      </c>
      <c r="B147">
        <f t="shared" si="45"/>
        <v>1</v>
      </c>
      <c r="C147">
        <f t="shared" si="55"/>
        <v>30.835586727585039</v>
      </c>
      <c r="D147" s="4">
        <f t="shared" si="56"/>
        <v>0</v>
      </c>
      <c r="E147" s="21">
        <f t="shared" si="57"/>
        <v>321760918042.93463</v>
      </c>
      <c r="F147" s="21">
        <f t="shared" ref="F147:F210" si="60">IF(B147=1,0,IF(B147=3,0,IF(E147&gt;$C$3,E147*$C$5,0)))</f>
        <v>0</v>
      </c>
      <c r="G147" s="21">
        <f t="shared" si="46"/>
        <v>1380261.977896204</v>
      </c>
      <c r="H147" s="43">
        <f t="shared" si="58"/>
        <v>0.9931938838909119</v>
      </c>
      <c r="I147" s="21">
        <f t="shared" si="59"/>
        <v>234798332.14923775</v>
      </c>
      <c r="J147" s="3">
        <f t="shared" ref="J147:J210" si="61">IF(B147=1,$J$9,SQRT(1+($C$5*A147/$C$16)^2))</f>
        <v>1.3426290479811602</v>
      </c>
      <c r="K147" s="3">
        <f t="shared" si="47"/>
        <v>200045375.3365832</v>
      </c>
      <c r="L147" s="41">
        <f t="shared" ref="L147:L210" si="62">K147/$C$16</f>
        <v>0.66727954622722097</v>
      </c>
      <c r="M147" s="3">
        <f t="shared" ref="M147:M210" si="63">K147/J147</f>
        <v>148995268.37839594</v>
      </c>
      <c r="N147" s="41">
        <f t="shared" ref="N147:N210" si="64">K147/$C$16</f>
        <v>0.66727954622722097</v>
      </c>
      <c r="O147" s="3">
        <f t="shared" ref="O147:O210" si="65">$D$16/$C$5*(J147-1)</f>
        <v>3927801419116496</v>
      </c>
      <c r="P147" s="3">
        <f t="shared" si="48"/>
        <v>1.927270931408384E+17</v>
      </c>
      <c r="Q147">
        <f t="shared" si="49"/>
        <v>20.371335434041708</v>
      </c>
      <c r="R147"/>
    </row>
    <row r="148" spans="1:18">
      <c r="A148">
        <f t="shared" ref="A148:A211" si="66">IF(B148=3,0,IF(B148=1,0,IF(B148=0,C148,$G$8-C148)))*$C$14</f>
        <v>0</v>
      </c>
      <c r="B148">
        <f t="shared" ref="B148:B211" si="67">IF(P147&lt;$E$9,0,IF(P147&gt;$D$8,3,IF(P147&gt;$D$8-$E$9,2,1)))</f>
        <v>1</v>
      </c>
      <c r="C148">
        <f t="shared" si="55"/>
        <v>31.085586727585039</v>
      </c>
      <c r="D148" s="4">
        <f t="shared" si="56"/>
        <v>0</v>
      </c>
      <c r="E148" s="21">
        <f t="shared" si="57"/>
        <v>321758157518.97882</v>
      </c>
      <c r="F148" s="21">
        <f t="shared" si="60"/>
        <v>0</v>
      </c>
      <c r="G148" s="21">
        <f t="shared" ref="G148:G211" si="68">F148*$C$14*$D$11*$C$6/1000+$C$12</f>
        <v>1380261.977896204</v>
      </c>
      <c r="H148" s="43">
        <f t="shared" si="58"/>
        <v>0.9931482223326169</v>
      </c>
      <c r="I148" s="21">
        <f t="shared" si="59"/>
        <v>236178594.12713397</v>
      </c>
      <c r="J148" s="3">
        <f t="shared" si="61"/>
        <v>1.3426290479811602</v>
      </c>
      <c r="K148" s="3">
        <f t="shared" ref="K148:K211" si="69">IF(B148=1,$K$9,$C$5*A148/J148)</f>
        <v>200045375.3365832</v>
      </c>
      <c r="L148" s="41">
        <f t="shared" si="62"/>
        <v>0.66727954622722097</v>
      </c>
      <c r="M148" s="3">
        <f t="shared" si="63"/>
        <v>148995268.37839594</v>
      </c>
      <c r="N148" s="41">
        <f t="shared" si="64"/>
        <v>0.66727954622722097</v>
      </c>
      <c r="O148" s="3">
        <f t="shared" si="65"/>
        <v>3927801419116496</v>
      </c>
      <c r="P148" s="3">
        <f t="shared" ref="P148:P211" si="70">IF(B148=0,O148,IF(B148=2,$D$8-O148,IF(B148=1,P147+$K$9*(C148-C147)*$C$14)))</f>
        <v>1.9430533112501885E+17</v>
      </c>
      <c r="Q148">
        <f t="shared" ref="Q148:Q211" si="71">P148/$C$15</f>
        <v>20.538155857919481</v>
      </c>
      <c r="R148"/>
    </row>
    <row r="149" spans="1:18">
      <c r="A149">
        <f t="shared" si="66"/>
        <v>0</v>
      </c>
      <c r="B149">
        <f t="shared" si="67"/>
        <v>1</v>
      </c>
      <c r="C149">
        <f t="shared" si="55"/>
        <v>31.335586727585039</v>
      </c>
      <c r="D149" s="4">
        <f t="shared" si="56"/>
        <v>0</v>
      </c>
      <c r="E149" s="21">
        <f t="shared" si="57"/>
        <v>321755396995.02301</v>
      </c>
      <c r="F149" s="21">
        <f t="shared" si="60"/>
        <v>0</v>
      </c>
      <c r="G149" s="21">
        <f t="shared" si="68"/>
        <v>1380261.977896204</v>
      </c>
      <c r="H149" s="43">
        <f t="shared" si="58"/>
        <v>0.99310256077432191</v>
      </c>
      <c r="I149" s="21">
        <f t="shared" si="59"/>
        <v>237558856.10503018</v>
      </c>
      <c r="J149" s="3">
        <f t="shared" si="61"/>
        <v>1.3426290479811602</v>
      </c>
      <c r="K149" s="3">
        <f t="shared" si="69"/>
        <v>200045375.3365832</v>
      </c>
      <c r="L149" s="41">
        <f t="shared" si="62"/>
        <v>0.66727954622722097</v>
      </c>
      <c r="M149" s="3">
        <f t="shared" si="63"/>
        <v>148995268.37839594</v>
      </c>
      <c r="N149" s="41">
        <f t="shared" si="64"/>
        <v>0.66727954622722097</v>
      </c>
      <c r="O149" s="3">
        <f t="shared" si="65"/>
        <v>3927801419116496</v>
      </c>
      <c r="P149" s="3">
        <f t="shared" si="70"/>
        <v>1.958835691091993E+17</v>
      </c>
      <c r="Q149">
        <f t="shared" si="71"/>
        <v>20.704976281797254</v>
      </c>
      <c r="R149"/>
    </row>
    <row r="150" spans="1:18">
      <c r="A150">
        <f t="shared" si="66"/>
        <v>0</v>
      </c>
      <c r="B150">
        <f t="shared" si="67"/>
        <v>1</v>
      </c>
      <c r="C150">
        <f t="shared" si="55"/>
        <v>31.585586727585039</v>
      </c>
      <c r="D150" s="4">
        <f t="shared" si="56"/>
        <v>0</v>
      </c>
      <c r="E150" s="21">
        <f t="shared" si="57"/>
        <v>321752636471.0672</v>
      </c>
      <c r="F150" s="21">
        <f t="shared" si="60"/>
        <v>0</v>
      </c>
      <c r="G150" s="21">
        <f t="shared" si="68"/>
        <v>1380261.977896204</v>
      </c>
      <c r="H150" s="43">
        <f t="shared" si="58"/>
        <v>0.9930568992160268</v>
      </c>
      <c r="I150" s="21">
        <f t="shared" si="59"/>
        <v>238939118.08292639</v>
      </c>
      <c r="J150" s="3">
        <f t="shared" si="61"/>
        <v>1.3426290479811602</v>
      </c>
      <c r="K150" s="3">
        <f t="shared" si="69"/>
        <v>200045375.3365832</v>
      </c>
      <c r="L150" s="41">
        <f t="shared" si="62"/>
        <v>0.66727954622722097</v>
      </c>
      <c r="M150" s="3">
        <f t="shared" si="63"/>
        <v>148995268.37839594</v>
      </c>
      <c r="N150" s="41">
        <f t="shared" si="64"/>
        <v>0.66727954622722097</v>
      </c>
      <c r="O150" s="3">
        <f t="shared" si="65"/>
        <v>3927801419116496</v>
      </c>
      <c r="P150" s="3">
        <f t="shared" si="70"/>
        <v>1.9746180709337974E+17</v>
      </c>
      <c r="Q150">
        <f t="shared" si="71"/>
        <v>20.871796705675028</v>
      </c>
      <c r="R150"/>
    </row>
    <row r="151" spans="1:18">
      <c r="A151">
        <f t="shared" si="66"/>
        <v>0</v>
      </c>
      <c r="B151">
        <f t="shared" si="67"/>
        <v>1</v>
      </c>
      <c r="C151">
        <f t="shared" si="55"/>
        <v>31.835586727585039</v>
      </c>
      <c r="D151" s="4">
        <f t="shared" si="56"/>
        <v>0</v>
      </c>
      <c r="E151" s="21">
        <f t="shared" si="57"/>
        <v>321749875947.11139</v>
      </c>
      <c r="F151" s="21">
        <f t="shared" si="60"/>
        <v>0</v>
      </c>
      <c r="G151" s="21">
        <f t="shared" si="68"/>
        <v>1380261.977896204</v>
      </c>
      <c r="H151" s="43">
        <f t="shared" si="58"/>
        <v>0.9930112376577318</v>
      </c>
      <c r="I151" s="21">
        <f t="shared" si="59"/>
        <v>240319380.06082261</v>
      </c>
      <c r="J151" s="3">
        <f t="shared" si="61"/>
        <v>1.3426290479811602</v>
      </c>
      <c r="K151" s="3">
        <f t="shared" si="69"/>
        <v>200045375.3365832</v>
      </c>
      <c r="L151" s="41">
        <f t="shared" si="62"/>
        <v>0.66727954622722097</v>
      </c>
      <c r="M151" s="3">
        <f t="shared" si="63"/>
        <v>148995268.37839594</v>
      </c>
      <c r="N151" s="41">
        <f t="shared" si="64"/>
        <v>0.66727954622722097</v>
      </c>
      <c r="O151" s="3">
        <f t="shared" si="65"/>
        <v>3927801419116496</v>
      </c>
      <c r="P151" s="3">
        <f t="shared" si="70"/>
        <v>1.9904004507756019E+17</v>
      </c>
      <c r="Q151">
        <f t="shared" si="71"/>
        <v>21.038617129552801</v>
      </c>
      <c r="R151"/>
    </row>
    <row r="152" spans="1:18">
      <c r="A152">
        <f t="shared" si="66"/>
        <v>0</v>
      </c>
      <c r="B152">
        <f t="shared" si="67"/>
        <v>1</v>
      </c>
      <c r="C152">
        <f t="shared" si="55"/>
        <v>32.085586727585039</v>
      </c>
      <c r="D152" s="4">
        <f t="shared" si="56"/>
        <v>0</v>
      </c>
      <c r="E152" s="21">
        <f t="shared" si="57"/>
        <v>321747115423.15558</v>
      </c>
      <c r="F152" s="21">
        <f t="shared" si="60"/>
        <v>0</v>
      </c>
      <c r="G152" s="21">
        <f t="shared" si="68"/>
        <v>1380261.977896204</v>
      </c>
      <c r="H152" s="43">
        <f t="shared" si="58"/>
        <v>0.99296557609943681</v>
      </c>
      <c r="I152" s="21">
        <f t="shared" si="59"/>
        <v>241699642.03871882</v>
      </c>
      <c r="J152" s="3">
        <f t="shared" si="61"/>
        <v>1.3426290479811602</v>
      </c>
      <c r="K152" s="3">
        <f t="shared" si="69"/>
        <v>200045375.3365832</v>
      </c>
      <c r="L152" s="41">
        <f t="shared" si="62"/>
        <v>0.66727954622722097</v>
      </c>
      <c r="M152" s="3">
        <f t="shared" si="63"/>
        <v>148995268.37839594</v>
      </c>
      <c r="N152" s="41">
        <f t="shared" si="64"/>
        <v>0.66727954622722097</v>
      </c>
      <c r="O152" s="3">
        <f t="shared" si="65"/>
        <v>3927801419116496</v>
      </c>
      <c r="P152" s="3">
        <f t="shared" si="70"/>
        <v>2.0061828306174064E+17</v>
      </c>
      <c r="Q152">
        <f t="shared" si="71"/>
        <v>21.205437553430574</v>
      </c>
      <c r="R152"/>
    </row>
    <row r="153" spans="1:18">
      <c r="A153">
        <f t="shared" si="66"/>
        <v>0</v>
      </c>
      <c r="B153">
        <f t="shared" si="67"/>
        <v>1</v>
      </c>
      <c r="C153">
        <f t="shared" si="55"/>
        <v>32.335586727585039</v>
      </c>
      <c r="D153" s="4">
        <f t="shared" si="56"/>
        <v>0</v>
      </c>
      <c r="E153" s="21">
        <f t="shared" si="57"/>
        <v>321744354899.19977</v>
      </c>
      <c r="F153" s="21">
        <f t="shared" si="60"/>
        <v>0</v>
      </c>
      <c r="G153" s="21">
        <f t="shared" si="68"/>
        <v>1380261.977896204</v>
      </c>
      <c r="H153" s="43">
        <f t="shared" si="58"/>
        <v>0.99291991454114181</v>
      </c>
      <c r="I153" s="21">
        <f t="shared" si="59"/>
        <v>243079904.01661503</v>
      </c>
      <c r="J153" s="3">
        <f t="shared" si="61"/>
        <v>1.3426290479811602</v>
      </c>
      <c r="K153" s="3">
        <f t="shared" si="69"/>
        <v>200045375.3365832</v>
      </c>
      <c r="L153" s="41">
        <f t="shared" si="62"/>
        <v>0.66727954622722097</v>
      </c>
      <c r="M153" s="3">
        <f t="shared" si="63"/>
        <v>148995268.37839594</v>
      </c>
      <c r="N153" s="41">
        <f t="shared" si="64"/>
        <v>0.66727954622722097</v>
      </c>
      <c r="O153" s="3">
        <f t="shared" si="65"/>
        <v>3927801419116496</v>
      </c>
      <c r="P153" s="3">
        <f t="shared" si="70"/>
        <v>2.0219652104592109E+17</v>
      </c>
      <c r="Q153">
        <f t="shared" si="71"/>
        <v>21.372257977308347</v>
      </c>
      <c r="R153"/>
    </row>
    <row r="154" spans="1:18">
      <c r="A154">
        <f t="shared" si="66"/>
        <v>0</v>
      </c>
      <c r="B154">
        <f t="shared" si="67"/>
        <v>1</v>
      </c>
      <c r="C154">
        <f t="shared" si="55"/>
        <v>32.585586727585039</v>
      </c>
      <c r="D154" s="4">
        <f t="shared" si="56"/>
        <v>0</v>
      </c>
      <c r="E154" s="21">
        <f t="shared" si="57"/>
        <v>321741594375.24396</v>
      </c>
      <c r="F154" s="21">
        <f t="shared" si="60"/>
        <v>0</v>
      </c>
      <c r="G154" s="21">
        <f t="shared" si="68"/>
        <v>1380261.977896204</v>
      </c>
      <c r="H154" s="43">
        <f t="shared" si="58"/>
        <v>0.99287425298284682</v>
      </c>
      <c r="I154" s="21">
        <f t="shared" si="59"/>
        <v>244460165.99451125</v>
      </c>
      <c r="J154" s="3">
        <f t="shared" si="61"/>
        <v>1.3426290479811602</v>
      </c>
      <c r="K154" s="3">
        <f t="shared" si="69"/>
        <v>200045375.3365832</v>
      </c>
      <c r="L154" s="41">
        <f t="shared" si="62"/>
        <v>0.66727954622722097</v>
      </c>
      <c r="M154" s="3">
        <f t="shared" si="63"/>
        <v>148995268.37839594</v>
      </c>
      <c r="N154" s="41">
        <f t="shared" si="64"/>
        <v>0.66727954622722097</v>
      </c>
      <c r="O154" s="3">
        <f t="shared" si="65"/>
        <v>3927801419116496</v>
      </c>
      <c r="P154" s="3">
        <f t="shared" si="70"/>
        <v>2.0377475903010154E+17</v>
      </c>
      <c r="Q154">
        <f t="shared" si="71"/>
        <v>21.539078401186121</v>
      </c>
      <c r="R154"/>
    </row>
    <row r="155" spans="1:18">
      <c r="A155">
        <f t="shared" si="66"/>
        <v>0</v>
      </c>
      <c r="B155">
        <f t="shared" si="67"/>
        <v>1</v>
      </c>
      <c r="C155">
        <f t="shared" si="55"/>
        <v>32.835586727585039</v>
      </c>
      <c r="D155" s="4">
        <f t="shared" si="56"/>
        <v>0</v>
      </c>
      <c r="E155" s="21">
        <f t="shared" si="57"/>
        <v>321738833851.28815</v>
      </c>
      <c r="F155" s="21">
        <f t="shared" si="60"/>
        <v>0</v>
      </c>
      <c r="G155" s="21">
        <f t="shared" si="68"/>
        <v>1380261.977896204</v>
      </c>
      <c r="H155" s="43">
        <f t="shared" si="58"/>
        <v>0.99282859142455182</v>
      </c>
      <c r="I155" s="21">
        <f t="shared" si="59"/>
        <v>245840427.97240746</v>
      </c>
      <c r="J155" s="3">
        <f t="shared" si="61"/>
        <v>1.3426290479811602</v>
      </c>
      <c r="K155" s="3">
        <f t="shared" si="69"/>
        <v>200045375.3365832</v>
      </c>
      <c r="L155" s="41">
        <f t="shared" si="62"/>
        <v>0.66727954622722097</v>
      </c>
      <c r="M155" s="3">
        <f t="shared" si="63"/>
        <v>148995268.37839594</v>
      </c>
      <c r="N155" s="41">
        <f t="shared" si="64"/>
        <v>0.66727954622722097</v>
      </c>
      <c r="O155" s="3">
        <f t="shared" si="65"/>
        <v>3927801419116496</v>
      </c>
      <c r="P155" s="3">
        <f t="shared" si="70"/>
        <v>2.0535299701428198E+17</v>
      </c>
      <c r="Q155">
        <f t="shared" si="71"/>
        <v>21.705898825063894</v>
      </c>
      <c r="R155"/>
    </row>
    <row r="156" spans="1:18">
      <c r="A156">
        <f t="shared" si="66"/>
        <v>0</v>
      </c>
      <c r="B156">
        <f t="shared" si="67"/>
        <v>1</v>
      </c>
      <c r="C156">
        <f t="shared" si="55"/>
        <v>33.085586727585039</v>
      </c>
      <c r="D156" s="4">
        <f t="shared" si="56"/>
        <v>0</v>
      </c>
      <c r="E156" s="21">
        <f t="shared" si="57"/>
        <v>321736073327.33234</v>
      </c>
      <c r="F156" s="21">
        <f t="shared" si="60"/>
        <v>0</v>
      </c>
      <c r="G156" s="21">
        <f t="shared" si="68"/>
        <v>1380261.977896204</v>
      </c>
      <c r="H156" s="43">
        <f t="shared" si="58"/>
        <v>0.99278292986625671</v>
      </c>
      <c r="I156" s="21">
        <f t="shared" si="59"/>
        <v>247220689.95030367</v>
      </c>
      <c r="J156" s="3">
        <f t="shared" si="61"/>
        <v>1.3426290479811602</v>
      </c>
      <c r="K156" s="3">
        <f t="shared" si="69"/>
        <v>200045375.3365832</v>
      </c>
      <c r="L156" s="41">
        <f t="shared" si="62"/>
        <v>0.66727954622722097</v>
      </c>
      <c r="M156" s="3">
        <f t="shared" si="63"/>
        <v>148995268.37839594</v>
      </c>
      <c r="N156" s="41">
        <f t="shared" si="64"/>
        <v>0.66727954622722097</v>
      </c>
      <c r="O156" s="3">
        <f t="shared" si="65"/>
        <v>3927801419116496</v>
      </c>
      <c r="P156" s="3">
        <f t="shared" si="70"/>
        <v>2.0693123499846243E+17</v>
      </c>
      <c r="Q156">
        <f t="shared" si="71"/>
        <v>21.872719248941667</v>
      </c>
      <c r="R156"/>
    </row>
    <row r="157" spans="1:18">
      <c r="A157">
        <f t="shared" si="66"/>
        <v>0</v>
      </c>
      <c r="B157">
        <f t="shared" si="67"/>
        <v>1</v>
      </c>
      <c r="C157">
        <f t="shared" si="55"/>
        <v>33.335586727585039</v>
      </c>
      <c r="D157" s="4">
        <f t="shared" si="56"/>
        <v>0</v>
      </c>
      <c r="E157" s="21">
        <f t="shared" si="57"/>
        <v>321733312803.37653</v>
      </c>
      <c r="F157" s="21">
        <f t="shared" si="60"/>
        <v>0</v>
      </c>
      <c r="G157" s="21">
        <f t="shared" si="68"/>
        <v>1380261.977896204</v>
      </c>
      <c r="H157" s="43">
        <f t="shared" si="58"/>
        <v>0.99273726830796172</v>
      </c>
      <c r="I157" s="21">
        <f t="shared" si="59"/>
        <v>248600951.92819989</v>
      </c>
      <c r="J157" s="3">
        <f t="shared" si="61"/>
        <v>1.3426290479811602</v>
      </c>
      <c r="K157" s="3">
        <f t="shared" si="69"/>
        <v>200045375.3365832</v>
      </c>
      <c r="L157" s="41">
        <f t="shared" si="62"/>
        <v>0.66727954622722097</v>
      </c>
      <c r="M157" s="3">
        <f t="shared" si="63"/>
        <v>148995268.37839594</v>
      </c>
      <c r="N157" s="41">
        <f t="shared" si="64"/>
        <v>0.66727954622722097</v>
      </c>
      <c r="O157" s="3">
        <f t="shared" si="65"/>
        <v>3927801419116496</v>
      </c>
      <c r="P157" s="3">
        <f t="shared" si="70"/>
        <v>2.0850947298264288E+17</v>
      </c>
      <c r="Q157">
        <f t="shared" si="71"/>
        <v>22.039539672819441</v>
      </c>
      <c r="R157"/>
    </row>
    <row r="158" spans="1:18">
      <c r="A158">
        <f t="shared" si="66"/>
        <v>0</v>
      </c>
      <c r="B158">
        <f t="shared" si="67"/>
        <v>1</v>
      </c>
      <c r="C158">
        <f t="shared" si="55"/>
        <v>33.585586727585039</v>
      </c>
      <c r="D158" s="4">
        <f t="shared" si="56"/>
        <v>0</v>
      </c>
      <c r="E158" s="21">
        <f t="shared" si="57"/>
        <v>321730552279.42072</v>
      </c>
      <c r="F158" s="21">
        <f t="shared" si="60"/>
        <v>0</v>
      </c>
      <c r="G158" s="21">
        <f t="shared" si="68"/>
        <v>1380261.977896204</v>
      </c>
      <c r="H158" s="43">
        <f t="shared" si="58"/>
        <v>0.99269160674966672</v>
      </c>
      <c r="I158" s="21">
        <f t="shared" si="59"/>
        <v>249981213.9060961</v>
      </c>
      <c r="J158" s="3">
        <f t="shared" si="61"/>
        <v>1.3426290479811602</v>
      </c>
      <c r="K158" s="3">
        <f t="shared" si="69"/>
        <v>200045375.3365832</v>
      </c>
      <c r="L158" s="41">
        <f t="shared" si="62"/>
        <v>0.66727954622722097</v>
      </c>
      <c r="M158" s="3">
        <f t="shared" si="63"/>
        <v>148995268.37839594</v>
      </c>
      <c r="N158" s="41">
        <f t="shared" si="64"/>
        <v>0.66727954622722097</v>
      </c>
      <c r="O158" s="3">
        <f t="shared" si="65"/>
        <v>3927801419116496</v>
      </c>
      <c r="P158" s="3">
        <f t="shared" si="70"/>
        <v>2.1008771096682333E+17</v>
      </c>
      <c r="Q158">
        <f t="shared" si="71"/>
        <v>22.206360096697214</v>
      </c>
      <c r="R158"/>
    </row>
    <row r="159" spans="1:18">
      <c r="A159">
        <f t="shared" si="66"/>
        <v>0</v>
      </c>
      <c r="B159">
        <f t="shared" si="67"/>
        <v>1</v>
      </c>
      <c r="C159">
        <f t="shared" si="55"/>
        <v>33.835586727585039</v>
      </c>
      <c r="D159" s="4">
        <f t="shared" si="56"/>
        <v>0</v>
      </c>
      <c r="E159" s="21">
        <f t="shared" si="57"/>
        <v>321727791755.4649</v>
      </c>
      <c r="F159" s="21">
        <f t="shared" si="60"/>
        <v>0</v>
      </c>
      <c r="G159" s="21">
        <f t="shared" si="68"/>
        <v>1380261.977896204</v>
      </c>
      <c r="H159" s="43">
        <f t="shared" si="58"/>
        <v>0.99264594519137173</v>
      </c>
      <c r="I159" s="21">
        <f t="shared" si="59"/>
        <v>251361475.88399231</v>
      </c>
      <c r="J159" s="3">
        <f t="shared" si="61"/>
        <v>1.3426290479811602</v>
      </c>
      <c r="K159" s="3">
        <f t="shared" si="69"/>
        <v>200045375.3365832</v>
      </c>
      <c r="L159" s="41">
        <f t="shared" si="62"/>
        <v>0.66727954622722097</v>
      </c>
      <c r="M159" s="3">
        <f t="shared" si="63"/>
        <v>148995268.37839594</v>
      </c>
      <c r="N159" s="41">
        <f t="shared" si="64"/>
        <v>0.66727954622722097</v>
      </c>
      <c r="O159" s="3">
        <f t="shared" si="65"/>
        <v>3927801419116496</v>
      </c>
      <c r="P159" s="3">
        <f t="shared" si="70"/>
        <v>2.1166594895100378E+17</v>
      </c>
      <c r="Q159">
        <f t="shared" si="71"/>
        <v>22.373180520574987</v>
      </c>
      <c r="R159"/>
    </row>
    <row r="160" spans="1:18">
      <c r="A160">
        <f t="shared" si="66"/>
        <v>0</v>
      </c>
      <c r="B160">
        <f t="shared" si="67"/>
        <v>1</v>
      </c>
      <c r="C160">
        <f t="shared" si="55"/>
        <v>34.085586727585039</v>
      </c>
      <c r="D160" s="4">
        <f t="shared" si="56"/>
        <v>0</v>
      </c>
      <c r="E160" s="21">
        <f t="shared" si="57"/>
        <v>321725031231.50909</v>
      </c>
      <c r="F160" s="21">
        <f t="shared" si="60"/>
        <v>0</v>
      </c>
      <c r="G160" s="21">
        <f t="shared" si="68"/>
        <v>1380261.977896204</v>
      </c>
      <c r="H160" s="43">
        <f t="shared" si="58"/>
        <v>0.99260028363307673</v>
      </c>
      <c r="I160" s="21">
        <f t="shared" si="59"/>
        <v>252741737.86188853</v>
      </c>
      <c r="J160" s="3">
        <f t="shared" si="61"/>
        <v>1.3426290479811602</v>
      </c>
      <c r="K160" s="3">
        <f t="shared" si="69"/>
        <v>200045375.3365832</v>
      </c>
      <c r="L160" s="41">
        <f t="shared" si="62"/>
        <v>0.66727954622722097</v>
      </c>
      <c r="M160" s="3">
        <f t="shared" si="63"/>
        <v>148995268.37839594</v>
      </c>
      <c r="N160" s="41">
        <f t="shared" si="64"/>
        <v>0.66727954622722097</v>
      </c>
      <c r="O160" s="3">
        <f t="shared" si="65"/>
        <v>3927801419116496</v>
      </c>
      <c r="P160" s="3">
        <f t="shared" si="70"/>
        <v>2.1324418693518422E+17</v>
      </c>
      <c r="Q160">
        <f t="shared" si="71"/>
        <v>22.54000094445276</v>
      </c>
      <c r="R160"/>
    </row>
    <row r="161" spans="1:18">
      <c r="A161">
        <f t="shared" si="66"/>
        <v>0</v>
      </c>
      <c r="B161">
        <f t="shared" si="67"/>
        <v>1</v>
      </c>
      <c r="C161">
        <f t="shared" si="55"/>
        <v>34.335586727585039</v>
      </c>
      <c r="D161" s="4">
        <f t="shared" si="56"/>
        <v>0</v>
      </c>
      <c r="E161" s="21">
        <f t="shared" si="57"/>
        <v>321722270707.55328</v>
      </c>
      <c r="F161" s="21">
        <f t="shared" si="60"/>
        <v>0</v>
      </c>
      <c r="G161" s="21">
        <f t="shared" si="68"/>
        <v>1380261.977896204</v>
      </c>
      <c r="H161" s="43">
        <f t="shared" si="58"/>
        <v>0.99255462207478162</v>
      </c>
      <c r="I161" s="21">
        <f t="shared" si="59"/>
        <v>254121999.83978474</v>
      </c>
      <c r="J161" s="3">
        <f t="shared" si="61"/>
        <v>1.3426290479811602</v>
      </c>
      <c r="K161" s="3">
        <f t="shared" si="69"/>
        <v>200045375.3365832</v>
      </c>
      <c r="L161" s="41">
        <f t="shared" si="62"/>
        <v>0.66727954622722097</v>
      </c>
      <c r="M161" s="3">
        <f t="shared" si="63"/>
        <v>148995268.37839594</v>
      </c>
      <c r="N161" s="41">
        <f t="shared" si="64"/>
        <v>0.66727954622722097</v>
      </c>
      <c r="O161" s="3">
        <f t="shared" si="65"/>
        <v>3927801419116496</v>
      </c>
      <c r="P161" s="3">
        <f t="shared" si="70"/>
        <v>2.1482242491936467E+17</v>
      </c>
      <c r="Q161">
        <f t="shared" si="71"/>
        <v>22.706821368330534</v>
      </c>
      <c r="R161"/>
    </row>
    <row r="162" spans="1:18">
      <c r="A162">
        <f t="shared" si="66"/>
        <v>0</v>
      </c>
      <c r="B162">
        <f t="shared" si="67"/>
        <v>1</v>
      </c>
      <c r="C162">
        <f t="shared" si="55"/>
        <v>34.585586727585039</v>
      </c>
      <c r="D162" s="4">
        <f t="shared" si="56"/>
        <v>0</v>
      </c>
      <c r="E162" s="21">
        <f t="shared" si="57"/>
        <v>321719510183.59747</v>
      </c>
      <c r="F162" s="21">
        <f t="shared" si="60"/>
        <v>0</v>
      </c>
      <c r="G162" s="21">
        <f t="shared" si="68"/>
        <v>1380261.977896204</v>
      </c>
      <c r="H162" s="43">
        <f t="shared" si="58"/>
        <v>0.99250896051648663</v>
      </c>
      <c r="I162" s="21">
        <f t="shared" si="59"/>
        <v>255502261.81768095</v>
      </c>
      <c r="J162" s="3">
        <f t="shared" si="61"/>
        <v>1.3426290479811602</v>
      </c>
      <c r="K162" s="3">
        <f t="shared" si="69"/>
        <v>200045375.3365832</v>
      </c>
      <c r="L162" s="41">
        <f t="shared" si="62"/>
        <v>0.66727954622722097</v>
      </c>
      <c r="M162" s="3">
        <f t="shared" si="63"/>
        <v>148995268.37839594</v>
      </c>
      <c r="N162" s="41">
        <f t="shared" si="64"/>
        <v>0.66727954622722097</v>
      </c>
      <c r="O162" s="3">
        <f t="shared" si="65"/>
        <v>3927801419116496</v>
      </c>
      <c r="P162" s="3">
        <f t="shared" si="70"/>
        <v>2.1640066290354512E+17</v>
      </c>
      <c r="Q162">
        <f t="shared" si="71"/>
        <v>22.873641792208307</v>
      </c>
      <c r="R162"/>
    </row>
    <row r="163" spans="1:18">
      <c r="A163">
        <f t="shared" si="66"/>
        <v>0</v>
      </c>
      <c r="B163">
        <f t="shared" si="67"/>
        <v>1</v>
      </c>
      <c r="C163">
        <f t="shared" si="55"/>
        <v>34.835586727585039</v>
      </c>
      <c r="D163" s="4">
        <f t="shared" si="56"/>
        <v>0</v>
      </c>
      <c r="E163" s="21">
        <f t="shared" si="57"/>
        <v>321716749659.64166</v>
      </c>
      <c r="F163" s="21">
        <f t="shared" si="60"/>
        <v>0</v>
      </c>
      <c r="G163" s="21">
        <f t="shared" si="68"/>
        <v>1380261.977896204</v>
      </c>
      <c r="H163" s="43">
        <f t="shared" si="58"/>
        <v>0.99246329895819163</v>
      </c>
      <c r="I163" s="21">
        <f t="shared" si="59"/>
        <v>256882523.79557717</v>
      </c>
      <c r="J163" s="3">
        <f t="shared" si="61"/>
        <v>1.3426290479811602</v>
      </c>
      <c r="K163" s="3">
        <f t="shared" si="69"/>
        <v>200045375.3365832</v>
      </c>
      <c r="L163" s="41">
        <f t="shared" si="62"/>
        <v>0.66727954622722097</v>
      </c>
      <c r="M163" s="3">
        <f t="shared" si="63"/>
        <v>148995268.37839594</v>
      </c>
      <c r="N163" s="41">
        <f t="shared" si="64"/>
        <v>0.66727954622722097</v>
      </c>
      <c r="O163" s="3">
        <f t="shared" si="65"/>
        <v>3927801419116496</v>
      </c>
      <c r="P163" s="3">
        <f t="shared" si="70"/>
        <v>2.1797890088772557E+17</v>
      </c>
      <c r="Q163">
        <f t="shared" si="71"/>
        <v>23.04046221608608</v>
      </c>
      <c r="R163"/>
    </row>
    <row r="164" spans="1:18">
      <c r="A164">
        <f t="shared" si="66"/>
        <v>0</v>
      </c>
      <c r="B164">
        <f t="shared" si="67"/>
        <v>1</v>
      </c>
      <c r="C164">
        <f t="shared" si="55"/>
        <v>35.085586727585039</v>
      </c>
      <c r="D164" s="4">
        <f t="shared" si="56"/>
        <v>0</v>
      </c>
      <c r="E164" s="21">
        <f t="shared" si="57"/>
        <v>321713989135.68585</v>
      </c>
      <c r="F164" s="21">
        <f t="shared" si="60"/>
        <v>0</v>
      </c>
      <c r="G164" s="21">
        <f t="shared" si="68"/>
        <v>1380261.977896204</v>
      </c>
      <c r="H164" s="43">
        <f t="shared" si="58"/>
        <v>0.99241763739989663</v>
      </c>
      <c r="I164" s="21">
        <f t="shared" si="59"/>
        <v>258262785.77347338</v>
      </c>
      <c r="J164" s="3">
        <f t="shared" si="61"/>
        <v>1.3426290479811602</v>
      </c>
      <c r="K164" s="3">
        <f t="shared" si="69"/>
        <v>200045375.3365832</v>
      </c>
      <c r="L164" s="41">
        <f t="shared" si="62"/>
        <v>0.66727954622722097</v>
      </c>
      <c r="M164" s="3">
        <f t="shared" si="63"/>
        <v>148995268.37839594</v>
      </c>
      <c r="N164" s="41">
        <f t="shared" si="64"/>
        <v>0.66727954622722097</v>
      </c>
      <c r="O164" s="3">
        <f t="shared" si="65"/>
        <v>3927801419116496</v>
      </c>
      <c r="P164" s="3">
        <f t="shared" si="70"/>
        <v>2.1955713887190602E+17</v>
      </c>
      <c r="Q164">
        <f t="shared" si="71"/>
        <v>23.207282639963854</v>
      </c>
      <c r="R164"/>
    </row>
    <row r="165" spans="1:18">
      <c r="A165">
        <f t="shared" si="66"/>
        <v>0</v>
      </c>
      <c r="B165">
        <f t="shared" si="67"/>
        <v>1</v>
      </c>
      <c r="C165">
        <f t="shared" si="55"/>
        <v>35.335586727585039</v>
      </c>
      <c r="D165" s="4">
        <f t="shared" si="56"/>
        <v>0</v>
      </c>
      <c r="E165" s="21">
        <f t="shared" si="57"/>
        <v>321711228611.73004</v>
      </c>
      <c r="F165" s="21">
        <f t="shared" si="60"/>
        <v>0</v>
      </c>
      <c r="G165" s="21">
        <f t="shared" si="68"/>
        <v>1380261.977896204</v>
      </c>
      <c r="H165" s="43">
        <f t="shared" si="58"/>
        <v>0.99237197584160164</v>
      </c>
      <c r="I165" s="21">
        <f t="shared" si="59"/>
        <v>259643047.7513696</v>
      </c>
      <c r="J165" s="3">
        <f t="shared" si="61"/>
        <v>1.3426290479811602</v>
      </c>
      <c r="K165" s="3">
        <f t="shared" si="69"/>
        <v>200045375.3365832</v>
      </c>
      <c r="L165" s="41">
        <f t="shared" si="62"/>
        <v>0.66727954622722097</v>
      </c>
      <c r="M165" s="3">
        <f t="shared" si="63"/>
        <v>148995268.37839594</v>
      </c>
      <c r="N165" s="41">
        <f t="shared" si="64"/>
        <v>0.66727954622722097</v>
      </c>
      <c r="O165" s="3">
        <f t="shared" si="65"/>
        <v>3927801419116496</v>
      </c>
      <c r="P165" s="3">
        <f t="shared" si="70"/>
        <v>2.2113537685608646E+17</v>
      </c>
      <c r="Q165">
        <f t="shared" si="71"/>
        <v>23.374103063841627</v>
      </c>
      <c r="R165"/>
    </row>
    <row r="166" spans="1:18">
      <c r="A166">
        <f t="shared" si="66"/>
        <v>0</v>
      </c>
      <c r="B166">
        <f t="shared" si="67"/>
        <v>1</v>
      </c>
      <c r="C166">
        <f t="shared" si="55"/>
        <v>35.585586727585039</v>
      </c>
      <c r="D166" s="4">
        <f t="shared" si="56"/>
        <v>0</v>
      </c>
      <c r="E166" s="21">
        <f t="shared" si="57"/>
        <v>321708468087.77423</v>
      </c>
      <c r="F166" s="21">
        <f t="shared" si="60"/>
        <v>0</v>
      </c>
      <c r="G166" s="21">
        <f t="shared" si="68"/>
        <v>1380261.977896204</v>
      </c>
      <c r="H166" s="43">
        <f t="shared" si="58"/>
        <v>0.99232631428330664</v>
      </c>
      <c r="I166" s="21">
        <f t="shared" si="59"/>
        <v>261023309.72926581</v>
      </c>
      <c r="J166" s="3">
        <f t="shared" si="61"/>
        <v>1.3426290479811602</v>
      </c>
      <c r="K166" s="3">
        <f t="shared" si="69"/>
        <v>200045375.3365832</v>
      </c>
      <c r="L166" s="41">
        <f t="shared" si="62"/>
        <v>0.66727954622722097</v>
      </c>
      <c r="M166" s="3">
        <f t="shared" si="63"/>
        <v>148995268.37839594</v>
      </c>
      <c r="N166" s="41">
        <f t="shared" si="64"/>
        <v>0.66727954622722097</v>
      </c>
      <c r="O166" s="3">
        <f t="shared" si="65"/>
        <v>3927801419116496</v>
      </c>
      <c r="P166" s="3">
        <f t="shared" si="70"/>
        <v>2.2271361484026691E+17</v>
      </c>
      <c r="Q166">
        <f t="shared" si="71"/>
        <v>23.540923487719397</v>
      </c>
      <c r="R166"/>
    </row>
    <row r="167" spans="1:18">
      <c r="A167">
        <f t="shared" si="66"/>
        <v>0</v>
      </c>
      <c r="B167">
        <f t="shared" si="67"/>
        <v>1</v>
      </c>
      <c r="C167">
        <f t="shared" si="55"/>
        <v>35.835586727585039</v>
      </c>
      <c r="D167" s="4">
        <f t="shared" si="56"/>
        <v>0</v>
      </c>
      <c r="E167" s="21">
        <f t="shared" si="57"/>
        <v>321705707563.81842</v>
      </c>
      <c r="F167" s="21">
        <f t="shared" si="60"/>
        <v>0</v>
      </c>
      <c r="G167" s="21">
        <f t="shared" si="68"/>
        <v>1380261.977896204</v>
      </c>
      <c r="H167" s="43">
        <f t="shared" si="58"/>
        <v>0.99228065272501154</v>
      </c>
      <c r="I167" s="21">
        <f t="shared" si="59"/>
        <v>262403571.70716202</v>
      </c>
      <c r="J167" s="3">
        <f t="shared" si="61"/>
        <v>1.3426290479811602</v>
      </c>
      <c r="K167" s="3">
        <f t="shared" si="69"/>
        <v>200045375.3365832</v>
      </c>
      <c r="L167" s="41">
        <f t="shared" si="62"/>
        <v>0.66727954622722097</v>
      </c>
      <c r="M167" s="3">
        <f t="shared" si="63"/>
        <v>148995268.37839594</v>
      </c>
      <c r="N167" s="41">
        <f t="shared" si="64"/>
        <v>0.66727954622722097</v>
      </c>
      <c r="O167" s="3">
        <f t="shared" si="65"/>
        <v>3927801419116496</v>
      </c>
      <c r="P167" s="3">
        <f t="shared" si="70"/>
        <v>2.2429185282444736E+17</v>
      </c>
      <c r="Q167">
        <f t="shared" si="71"/>
        <v>23.70774391159717</v>
      </c>
      <c r="R167"/>
    </row>
    <row r="168" spans="1:18">
      <c r="A168">
        <f t="shared" si="66"/>
        <v>0</v>
      </c>
      <c r="B168">
        <f t="shared" si="67"/>
        <v>1</v>
      </c>
      <c r="C168">
        <f t="shared" si="55"/>
        <v>36.085586727585039</v>
      </c>
      <c r="D168" s="4">
        <f t="shared" si="56"/>
        <v>0</v>
      </c>
      <c r="E168" s="21">
        <f t="shared" si="57"/>
        <v>321702947039.86261</v>
      </c>
      <c r="F168" s="21">
        <f t="shared" si="60"/>
        <v>0</v>
      </c>
      <c r="G168" s="21">
        <f t="shared" si="68"/>
        <v>1380261.977896204</v>
      </c>
      <c r="H168" s="43">
        <f t="shared" si="58"/>
        <v>0.99223499116671654</v>
      </c>
      <c r="I168" s="21">
        <f t="shared" si="59"/>
        <v>263783833.68505824</v>
      </c>
      <c r="J168" s="3">
        <f t="shared" si="61"/>
        <v>1.3426290479811602</v>
      </c>
      <c r="K168" s="3">
        <f t="shared" si="69"/>
        <v>200045375.3365832</v>
      </c>
      <c r="L168" s="41">
        <f t="shared" si="62"/>
        <v>0.66727954622722097</v>
      </c>
      <c r="M168" s="3">
        <f t="shared" si="63"/>
        <v>148995268.37839594</v>
      </c>
      <c r="N168" s="41">
        <f t="shared" si="64"/>
        <v>0.66727954622722097</v>
      </c>
      <c r="O168" s="3">
        <f t="shared" si="65"/>
        <v>3927801419116496</v>
      </c>
      <c r="P168" s="3">
        <f t="shared" si="70"/>
        <v>2.2587009080862781E+17</v>
      </c>
      <c r="Q168">
        <f t="shared" si="71"/>
        <v>23.874564335474943</v>
      </c>
      <c r="R168"/>
    </row>
    <row r="169" spans="1:18">
      <c r="A169">
        <f t="shared" si="66"/>
        <v>0</v>
      </c>
      <c r="B169">
        <f t="shared" si="67"/>
        <v>1</v>
      </c>
      <c r="C169">
        <f t="shared" si="55"/>
        <v>36.335586727585039</v>
      </c>
      <c r="D169" s="4">
        <f t="shared" si="56"/>
        <v>0</v>
      </c>
      <c r="E169" s="21">
        <f t="shared" si="57"/>
        <v>321700186515.9068</v>
      </c>
      <c r="F169" s="21">
        <f t="shared" si="60"/>
        <v>0</v>
      </c>
      <c r="G169" s="21">
        <f t="shared" si="68"/>
        <v>1380261.977896204</v>
      </c>
      <c r="H169" s="43">
        <f t="shared" si="58"/>
        <v>0.99218932960842154</v>
      </c>
      <c r="I169" s="21">
        <f t="shared" si="59"/>
        <v>265164095.66295445</v>
      </c>
      <c r="J169" s="3">
        <f t="shared" si="61"/>
        <v>1.3426290479811602</v>
      </c>
      <c r="K169" s="3">
        <f t="shared" si="69"/>
        <v>200045375.3365832</v>
      </c>
      <c r="L169" s="41">
        <f t="shared" si="62"/>
        <v>0.66727954622722097</v>
      </c>
      <c r="M169" s="3">
        <f t="shared" si="63"/>
        <v>148995268.37839594</v>
      </c>
      <c r="N169" s="41">
        <f t="shared" si="64"/>
        <v>0.66727954622722097</v>
      </c>
      <c r="O169" s="3">
        <f t="shared" si="65"/>
        <v>3927801419116496</v>
      </c>
      <c r="P169" s="3">
        <f t="shared" si="70"/>
        <v>2.2744832879280826E+17</v>
      </c>
      <c r="Q169">
        <f t="shared" si="71"/>
        <v>24.041384759352717</v>
      </c>
      <c r="R169"/>
    </row>
    <row r="170" spans="1:18">
      <c r="A170">
        <f t="shared" si="66"/>
        <v>0</v>
      </c>
      <c r="B170">
        <f t="shared" si="67"/>
        <v>1</v>
      </c>
      <c r="C170">
        <f t="shared" si="55"/>
        <v>36.585586727585039</v>
      </c>
      <c r="D170" s="4">
        <f t="shared" si="56"/>
        <v>0</v>
      </c>
      <c r="E170" s="21">
        <f t="shared" si="57"/>
        <v>321697425991.95099</v>
      </c>
      <c r="F170" s="21">
        <f t="shared" si="60"/>
        <v>0</v>
      </c>
      <c r="G170" s="21">
        <f t="shared" si="68"/>
        <v>1380261.977896204</v>
      </c>
      <c r="H170" s="43">
        <f t="shared" si="58"/>
        <v>0.99214366805012655</v>
      </c>
      <c r="I170" s="21">
        <f t="shared" si="59"/>
        <v>266544357.64085066</v>
      </c>
      <c r="J170" s="3">
        <f t="shared" si="61"/>
        <v>1.3426290479811602</v>
      </c>
      <c r="K170" s="3">
        <f t="shared" si="69"/>
        <v>200045375.3365832</v>
      </c>
      <c r="L170" s="41">
        <f t="shared" si="62"/>
        <v>0.66727954622722097</v>
      </c>
      <c r="M170" s="3">
        <f t="shared" si="63"/>
        <v>148995268.37839594</v>
      </c>
      <c r="N170" s="41">
        <f t="shared" si="64"/>
        <v>0.66727954622722097</v>
      </c>
      <c r="O170" s="3">
        <f t="shared" si="65"/>
        <v>3927801419116496</v>
      </c>
      <c r="P170" s="3">
        <f t="shared" si="70"/>
        <v>2.290265667769887E+17</v>
      </c>
      <c r="Q170">
        <f t="shared" si="71"/>
        <v>24.20820518323049</v>
      </c>
      <c r="R170"/>
    </row>
    <row r="171" spans="1:18">
      <c r="A171">
        <f t="shared" si="66"/>
        <v>0</v>
      </c>
      <c r="B171">
        <f t="shared" si="67"/>
        <v>1</v>
      </c>
      <c r="C171">
        <f t="shared" si="55"/>
        <v>36.835586727585039</v>
      </c>
      <c r="D171" s="4">
        <f t="shared" si="56"/>
        <v>0</v>
      </c>
      <c r="E171" s="21">
        <f t="shared" si="57"/>
        <v>321694665467.99518</v>
      </c>
      <c r="F171" s="21">
        <f t="shared" si="60"/>
        <v>0</v>
      </c>
      <c r="G171" s="21">
        <f t="shared" si="68"/>
        <v>1380261.977896204</v>
      </c>
      <c r="H171" s="43">
        <f t="shared" si="58"/>
        <v>0.99209800649183155</v>
      </c>
      <c r="I171" s="21">
        <f t="shared" si="59"/>
        <v>267924619.61874688</v>
      </c>
      <c r="J171" s="3">
        <f t="shared" si="61"/>
        <v>1.3426290479811602</v>
      </c>
      <c r="K171" s="3">
        <f t="shared" si="69"/>
        <v>200045375.3365832</v>
      </c>
      <c r="L171" s="41">
        <f t="shared" si="62"/>
        <v>0.66727954622722097</v>
      </c>
      <c r="M171" s="3">
        <f t="shared" si="63"/>
        <v>148995268.37839594</v>
      </c>
      <c r="N171" s="41">
        <f t="shared" si="64"/>
        <v>0.66727954622722097</v>
      </c>
      <c r="O171" s="3">
        <f t="shared" si="65"/>
        <v>3927801419116496</v>
      </c>
      <c r="P171" s="3">
        <f t="shared" si="70"/>
        <v>2.3060480476116915E+17</v>
      </c>
      <c r="Q171">
        <f t="shared" si="71"/>
        <v>24.375025607108263</v>
      </c>
      <c r="R171"/>
    </row>
    <row r="172" spans="1:18">
      <c r="A172">
        <f t="shared" si="66"/>
        <v>0</v>
      </c>
      <c r="B172">
        <f t="shared" si="67"/>
        <v>1</v>
      </c>
      <c r="C172">
        <f t="shared" si="55"/>
        <v>37.085586727585039</v>
      </c>
      <c r="D172" s="4">
        <f t="shared" si="56"/>
        <v>0</v>
      </c>
      <c r="E172" s="21">
        <f t="shared" si="57"/>
        <v>321691904944.03937</v>
      </c>
      <c r="F172" s="21">
        <f t="shared" si="60"/>
        <v>0</v>
      </c>
      <c r="G172" s="21">
        <f t="shared" si="68"/>
        <v>1380261.977896204</v>
      </c>
      <c r="H172" s="43">
        <f t="shared" si="58"/>
        <v>0.99205234493353656</v>
      </c>
      <c r="I172" s="21">
        <f t="shared" si="59"/>
        <v>269304881.59664309</v>
      </c>
      <c r="J172" s="3">
        <f t="shared" si="61"/>
        <v>1.3426290479811602</v>
      </c>
      <c r="K172" s="3">
        <f t="shared" si="69"/>
        <v>200045375.3365832</v>
      </c>
      <c r="L172" s="41">
        <f t="shared" si="62"/>
        <v>0.66727954622722097</v>
      </c>
      <c r="M172" s="3">
        <f t="shared" si="63"/>
        <v>148995268.37839594</v>
      </c>
      <c r="N172" s="41">
        <f t="shared" si="64"/>
        <v>0.66727954622722097</v>
      </c>
      <c r="O172" s="3">
        <f t="shared" si="65"/>
        <v>3927801419116496</v>
      </c>
      <c r="P172" s="3">
        <f t="shared" si="70"/>
        <v>2.321830427453496E+17</v>
      </c>
      <c r="Q172">
        <f t="shared" si="71"/>
        <v>24.541846030986036</v>
      </c>
      <c r="R172"/>
    </row>
    <row r="173" spans="1:18">
      <c r="A173">
        <f t="shared" si="66"/>
        <v>0</v>
      </c>
      <c r="B173">
        <f t="shared" si="67"/>
        <v>1</v>
      </c>
      <c r="C173">
        <f t="shared" si="55"/>
        <v>37.335586727585039</v>
      </c>
      <c r="D173" s="4">
        <f t="shared" si="56"/>
        <v>0</v>
      </c>
      <c r="E173" s="21">
        <f t="shared" si="57"/>
        <v>321689144420.08356</v>
      </c>
      <c r="F173" s="21">
        <f t="shared" si="60"/>
        <v>0</v>
      </c>
      <c r="G173" s="21">
        <f t="shared" si="68"/>
        <v>1380261.977896204</v>
      </c>
      <c r="H173" s="43">
        <f t="shared" si="58"/>
        <v>0.99200668337524145</v>
      </c>
      <c r="I173" s="21">
        <f t="shared" si="59"/>
        <v>270685143.5745393</v>
      </c>
      <c r="J173" s="3">
        <f t="shared" si="61"/>
        <v>1.3426290479811602</v>
      </c>
      <c r="K173" s="3">
        <f t="shared" si="69"/>
        <v>200045375.3365832</v>
      </c>
      <c r="L173" s="41">
        <f t="shared" si="62"/>
        <v>0.66727954622722097</v>
      </c>
      <c r="M173" s="3">
        <f t="shared" si="63"/>
        <v>148995268.37839594</v>
      </c>
      <c r="N173" s="41">
        <f t="shared" si="64"/>
        <v>0.66727954622722097</v>
      </c>
      <c r="O173" s="3">
        <f t="shared" si="65"/>
        <v>3927801419116496</v>
      </c>
      <c r="P173" s="3">
        <f t="shared" si="70"/>
        <v>2.3376128072953005E+17</v>
      </c>
      <c r="Q173">
        <f t="shared" si="71"/>
        <v>24.70866645486381</v>
      </c>
      <c r="R173"/>
    </row>
    <row r="174" spans="1:18">
      <c r="A174">
        <f t="shared" si="66"/>
        <v>0</v>
      </c>
      <c r="B174">
        <f t="shared" si="67"/>
        <v>1</v>
      </c>
      <c r="C174">
        <f t="shared" si="55"/>
        <v>37.585586727585039</v>
      </c>
      <c r="D174" s="4">
        <f t="shared" si="56"/>
        <v>0</v>
      </c>
      <c r="E174" s="21">
        <f t="shared" si="57"/>
        <v>321686383896.12775</v>
      </c>
      <c r="F174" s="21">
        <f t="shared" si="60"/>
        <v>0</v>
      </c>
      <c r="G174" s="21">
        <f t="shared" si="68"/>
        <v>1380261.977896204</v>
      </c>
      <c r="H174" s="43">
        <f t="shared" si="58"/>
        <v>0.99196102181694645</v>
      </c>
      <c r="I174" s="21">
        <f t="shared" si="59"/>
        <v>272065405.55243552</v>
      </c>
      <c r="J174" s="3">
        <f t="shared" si="61"/>
        <v>1.3426290479811602</v>
      </c>
      <c r="K174" s="3">
        <f t="shared" si="69"/>
        <v>200045375.3365832</v>
      </c>
      <c r="L174" s="41">
        <f t="shared" si="62"/>
        <v>0.66727954622722097</v>
      </c>
      <c r="M174" s="3">
        <f t="shared" si="63"/>
        <v>148995268.37839594</v>
      </c>
      <c r="N174" s="41">
        <f t="shared" si="64"/>
        <v>0.66727954622722097</v>
      </c>
      <c r="O174" s="3">
        <f t="shared" si="65"/>
        <v>3927801419116496</v>
      </c>
      <c r="P174" s="3">
        <f t="shared" si="70"/>
        <v>2.353395187137105E+17</v>
      </c>
      <c r="Q174">
        <f t="shared" si="71"/>
        <v>24.875486878741583</v>
      </c>
      <c r="R174"/>
    </row>
    <row r="175" spans="1:18">
      <c r="A175">
        <f t="shared" si="66"/>
        <v>0</v>
      </c>
      <c r="B175">
        <f t="shared" si="67"/>
        <v>1</v>
      </c>
      <c r="C175">
        <f t="shared" si="55"/>
        <v>37.835586727585039</v>
      </c>
      <c r="D175" s="4">
        <f t="shared" si="56"/>
        <v>0</v>
      </c>
      <c r="E175" s="21">
        <f t="shared" si="57"/>
        <v>321683623372.17194</v>
      </c>
      <c r="F175" s="21">
        <f t="shared" si="60"/>
        <v>0</v>
      </c>
      <c r="G175" s="21">
        <f t="shared" si="68"/>
        <v>1380261.977896204</v>
      </c>
      <c r="H175" s="43">
        <f t="shared" si="58"/>
        <v>0.99191536025865146</v>
      </c>
      <c r="I175" s="21">
        <f t="shared" si="59"/>
        <v>273445667.53033173</v>
      </c>
      <c r="J175" s="3">
        <f t="shared" si="61"/>
        <v>1.3426290479811602</v>
      </c>
      <c r="K175" s="3">
        <f t="shared" si="69"/>
        <v>200045375.3365832</v>
      </c>
      <c r="L175" s="41">
        <f t="shared" si="62"/>
        <v>0.66727954622722097</v>
      </c>
      <c r="M175" s="3">
        <f t="shared" si="63"/>
        <v>148995268.37839594</v>
      </c>
      <c r="N175" s="41">
        <f t="shared" si="64"/>
        <v>0.66727954622722097</v>
      </c>
      <c r="O175" s="3">
        <f t="shared" si="65"/>
        <v>3927801419116496</v>
      </c>
      <c r="P175" s="3">
        <f t="shared" si="70"/>
        <v>2.3691775669789094E+17</v>
      </c>
      <c r="Q175">
        <f t="shared" si="71"/>
        <v>25.042307302619356</v>
      </c>
      <c r="R175"/>
    </row>
    <row r="176" spans="1:18">
      <c r="A176">
        <f t="shared" si="66"/>
        <v>0</v>
      </c>
      <c r="B176">
        <f t="shared" si="67"/>
        <v>1</v>
      </c>
      <c r="C176">
        <f t="shared" si="55"/>
        <v>38.085586727585039</v>
      </c>
      <c r="D176" s="4">
        <f t="shared" si="56"/>
        <v>0</v>
      </c>
      <c r="E176" s="21">
        <f t="shared" si="57"/>
        <v>321680862848.21613</v>
      </c>
      <c r="F176" s="21">
        <f t="shared" si="60"/>
        <v>0</v>
      </c>
      <c r="G176" s="21">
        <f t="shared" si="68"/>
        <v>1380261.977896204</v>
      </c>
      <c r="H176" s="43">
        <f t="shared" si="58"/>
        <v>0.99186969870035646</v>
      </c>
      <c r="I176" s="21">
        <f t="shared" si="59"/>
        <v>274825929.50822794</v>
      </c>
      <c r="J176" s="3">
        <f t="shared" si="61"/>
        <v>1.3426290479811602</v>
      </c>
      <c r="K176" s="3">
        <f t="shared" si="69"/>
        <v>200045375.3365832</v>
      </c>
      <c r="L176" s="41">
        <f t="shared" si="62"/>
        <v>0.66727954622722097</v>
      </c>
      <c r="M176" s="3">
        <f t="shared" si="63"/>
        <v>148995268.37839594</v>
      </c>
      <c r="N176" s="41">
        <f t="shared" si="64"/>
        <v>0.66727954622722097</v>
      </c>
      <c r="O176" s="3">
        <f t="shared" si="65"/>
        <v>3927801419116496</v>
      </c>
      <c r="P176" s="3">
        <f t="shared" si="70"/>
        <v>2.3849599468207139E+17</v>
      </c>
      <c r="Q176">
        <f t="shared" si="71"/>
        <v>25.20912772649713</v>
      </c>
      <c r="R176"/>
    </row>
    <row r="177" spans="1:18">
      <c r="A177">
        <f t="shared" si="66"/>
        <v>0</v>
      </c>
      <c r="B177">
        <f t="shared" si="67"/>
        <v>1</v>
      </c>
      <c r="C177">
        <f t="shared" si="55"/>
        <v>38.335586727585039</v>
      </c>
      <c r="D177" s="4">
        <f t="shared" si="56"/>
        <v>0</v>
      </c>
      <c r="E177" s="21">
        <f t="shared" si="57"/>
        <v>321678102324.26031</v>
      </c>
      <c r="F177" s="21">
        <f t="shared" si="60"/>
        <v>0</v>
      </c>
      <c r="G177" s="21">
        <f t="shared" si="68"/>
        <v>1380261.977896204</v>
      </c>
      <c r="H177" s="43">
        <f t="shared" si="58"/>
        <v>0.99182403714206147</v>
      </c>
      <c r="I177" s="21">
        <f t="shared" si="59"/>
        <v>276206191.48612416</v>
      </c>
      <c r="J177" s="3">
        <f t="shared" si="61"/>
        <v>1.3426290479811602</v>
      </c>
      <c r="K177" s="3">
        <f t="shared" si="69"/>
        <v>200045375.3365832</v>
      </c>
      <c r="L177" s="41">
        <f t="shared" si="62"/>
        <v>0.66727954622722097</v>
      </c>
      <c r="M177" s="3">
        <f t="shared" si="63"/>
        <v>148995268.37839594</v>
      </c>
      <c r="N177" s="41">
        <f t="shared" si="64"/>
        <v>0.66727954622722097</v>
      </c>
      <c r="O177" s="3">
        <f t="shared" si="65"/>
        <v>3927801419116496</v>
      </c>
      <c r="P177" s="3">
        <f t="shared" si="70"/>
        <v>2.4007423266625184E+17</v>
      </c>
      <c r="Q177">
        <f t="shared" si="71"/>
        <v>25.375948150374903</v>
      </c>
      <c r="R177"/>
    </row>
    <row r="178" spans="1:18">
      <c r="A178">
        <f t="shared" si="66"/>
        <v>0</v>
      </c>
      <c r="B178">
        <f t="shared" si="67"/>
        <v>1</v>
      </c>
      <c r="C178">
        <f t="shared" si="55"/>
        <v>38.585586727585039</v>
      </c>
      <c r="D178" s="4">
        <f t="shared" si="56"/>
        <v>0</v>
      </c>
      <c r="E178" s="21">
        <f t="shared" si="57"/>
        <v>321675341800.3045</v>
      </c>
      <c r="F178" s="21">
        <f t="shared" si="60"/>
        <v>0</v>
      </c>
      <c r="G178" s="21">
        <f t="shared" si="68"/>
        <v>1380261.977896204</v>
      </c>
      <c r="H178" s="43">
        <f t="shared" si="58"/>
        <v>0.99177837558376636</v>
      </c>
      <c r="I178" s="21">
        <f t="shared" si="59"/>
        <v>277586453.46402037</v>
      </c>
      <c r="J178" s="3">
        <f t="shared" si="61"/>
        <v>1.3426290479811602</v>
      </c>
      <c r="K178" s="3">
        <f t="shared" si="69"/>
        <v>200045375.3365832</v>
      </c>
      <c r="L178" s="41">
        <f t="shared" si="62"/>
        <v>0.66727954622722097</v>
      </c>
      <c r="M178" s="3">
        <f t="shared" si="63"/>
        <v>148995268.37839594</v>
      </c>
      <c r="N178" s="41">
        <f t="shared" si="64"/>
        <v>0.66727954622722097</v>
      </c>
      <c r="O178" s="3">
        <f t="shared" si="65"/>
        <v>3927801419116496</v>
      </c>
      <c r="P178" s="3">
        <f t="shared" si="70"/>
        <v>2.4165247065043229E+17</v>
      </c>
      <c r="Q178">
        <f t="shared" si="71"/>
        <v>25.542768574252676</v>
      </c>
      <c r="R178"/>
    </row>
    <row r="179" spans="1:18">
      <c r="A179">
        <f t="shared" si="66"/>
        <v>0</v>
      </c>
      <c r="B179">
        <f t="shared" si="67"/>
        <v>1</v>
      </c>
      <c r="C179">
        <f t="shared" si="55"/>
        <v>38.835586727585039</v>
      </c>
      <c r="D179" s="4">
        <f t="shared" si="56"/>
        <v>0</v>
      </c>
      <c r="E179" s="21">
        <f t="shared" si="57"/>
        <v>321672581276.34869</v>
      </c>
      <c r="F179" s="21">
        <f t="shared" si="60"/>
        <v>0</v>
      </c>
      <c r="G179" s="21">
        <f t="shared" si="68"/>
        <v>1380261.977896204</v>
      </c>
      <c r="H179" s="43">
        <f t="shared" si="58"/>
        <v>0.99173271402547136</v>
      </c>
      <c r="I179" s="21">
        <f t="shared" si="59"/>
        <v>278966715.44191658</v>
      </c>
      <c r="J179" s="3">
        <f t="shared" si="61"/>
        <v>1.3426290479811602</v>
      </c>
      <c r="K179" s="3">
        <f t="shared" si="69"/>
        <v>200045375.3365832</v>
      </c>
      <c r="L179" s="41">
        <f t="shared" si="62"/>
        <v>0.66727954622722097</v>
      </c>
      <c r="M179" s="3">
        <f t="shared" si="63"/>
        <v>148995268.37839594</v>
      </c>
      <c r="N179" s="41">
        <f t="shared" si="64"/>
        <v>0.66727954622722097</v>
      </c>
      <c r="O179" s="3">
        <f t="shared" si="65"/>
        <v>3927801419116496</v>
      </c>
      <c r="P179" s="3">
        <f t="shared" si="70"/>
        <v>2.4323070863461274E+17</v>
      </c>
      <c r="Q179">
        <f t="shared" si="71"/>
        <v>25.70958899813045</v>
      </c>
      <c r="R179"/>
    </row>
    <row r="180" spans="1:18">
      <c r="A180">
        <f t="shared" si="66"/>
        <v>0</v>
      </c>
      <c r="B180">
        <f t="shared" si="67"/>
        <v>1</v>
      </c>
      <c r="C180">
        <f t="shared" ref="C180:C192" si="72">C179+$D$11</f>
        <v>39.085586727585039</v>
      </c>
      <c r="D180" s="4">
        <f t="shared" ref="D180:D192" si="73">$C$16/$C$5*ASINH($C$5*A180*$C$14/$C$16)/$C$14</f>
        <v>0</v>
      </c>
      <c r="E180" s="21">
        <f t="shared" ref="E180:E192" si="74">E179-G179-$C$12</f>
        <v>321669820752.39288</v>
      </c>
      <c r="F180" s="21">
        <f t="shared" si="60"/>
        <v>0</v>
      </c>
      <c r="G180" s="21">
        <f t="shared" si="68"/>
        <v>1380261.977896204</v>
      </c>
      <c r="H180" s="43">
        <f t="shared" ref="H180:H192" si="75">1-(($E$18-E180)/$C$4)</f>
        <v>0.99168705246717637</v>
      </c>
      <c r="I180" s="21">
        <f t="shared" ref="I180:I192" si="76">I179+G180</f>
        <v>280346977.4198128</v>
      </c>
      <c r="J180" s="3">
        <f t="shared" si="61"/>
        <v>1.3426290479811602</v>
      </c>
      <c r="K180" s="3">
        <f t="shared" si="69"/>
        <v>200045375.3365832</v>
      </c>
      <c r="L180" s="41">
        <f t="shared" si="62"/>
        <v>0.66727954622722097</v>
      </c>
      <c r="M180" s="3">
        <f t="shared" si="63"/>
        <v>148995268.37839594</v>
      </c>
      <c r="N180" s="41">
        <f t="shared" si="64"/>
        <v>0.66727954622722097</v>
      </c>
      <c r="O180" s="3">
        <f t="shared" si="65"/>
        <v>3927801419116496</v>
      </c>
      <c r="P180" s="3">
        <f t="shared" si="70"/>
        <v>2.4480894661879318E+17</v>
      </c>
      <c r="Q180">
        <f t="shared" si="71"/>
        <v>25.876409422008223</v>
      </c>
      <c r="R180"/>
    </row>
    <row r="181" spans="1:18">
      <c r="A181">
        <f t="shared" si="66"/>
        <v>0</v>
      </c>
      <c r="B181">
        <f t="shared" si="67"/>
        <v>1</v>
      </c>
      <c r="C181">
        <f t="shared" si="72"/>
        <v>39.335586727585039</v>
      </c>
      <c r="D181" s="4">
        <f t="shared" si="73"/>
        <v>0</v>
      </c>
      <c r="E181" s="21">
        <f t="shared" si="74"/>
        <v>321667060228.43707</v>
      </c>
      <c r="F181" s="21">
        <f t="shared" si="60"/>
        <v>0</v>
      </c>
      <c r="G181" s="21">
        <f t="shared" si="68"/>
        <v>1380261.977896204</v>
      </c>
      <c r="H181" s="43">
        <f t="shared" si="75"/>
        <v>0.99164139090888137</v>
      </c>
      <c r="I181" s="21">
        <f t="shared" si="76"/>
        <v>281727239.39770901</v>
      </c>
      <c r="J181" s="3">
        <f t="shared" si="61"/>
        <v>1.3426290479811602</v>
      </c>
      <c r="K181" s="3">
        <f t="shared" si="69"/>
        <v>200045375.3365832</v>
      </c>
      <c r="L181" s="41">
        <f t="shared" si="62"/>
        <v>0.66727954622722097</v>
      </c>
      <c r="M181" s="3">
        <f t="shared" si="63"/>
        <v>148995268.37839594</v>
      </c>
      <c r="N181" s="41">
        <f t="shared" si="64"/>
        <v>0.66727954622722097</v>
      </c>
      <c r="O181" s="3">
        <f t="shared" si="65"/>
        <v>3927801419116496</v>
      </c>
      <c r="P181" s="3">
        <f t="shared" si="70"/>
        <v>2.4638718460297363E+17</v>
      </c>
      <c r="Q181">
        <f t="shared" si="71"/>
        <v>26.043229845885996</v>
      </c>
      <c r="R181"/>
    </row>
    <row r="182" spans="1:18">
      <c r="A182">
        <f t="shared" si="66"/>
        <v>0</v>
      </c>
      <c r="B182">
        <f t="shared" si="67"/>
        <v>1</v>
      </c>
      <c r="C182">
        <f t="shared" si="72"/>
        <v>39.585586727585039</v>
      </c>
      <c r="D182" s="4">
        <f t="shared" si="73"/>
        <v>0</v>
      </c>
      <c r="E182" s="21">
        <f t="shared" si="74"/>
        <v>321664299704.48126</v>
      </c>
      <c r="F182" s="21">
        <f t="shared" si="60"/>
        <v>0</v>
      </c>
      <c r="G182" s="21">
        <f t="shared" si="68"/>
        <v>1380261.977896204</v>
      </c>
      <c r="H182" s="43">
        <f t="shared" si="75"/>
        <v>0.99159572935058637</v>
      </c>
      <c r="I182" s="21">
        <f t="shared" si="76"/>
        <v>283107501.37560523</v>
      </c>
      <c r="J182" s="3">
        <f t="shared" si="61"/>
        <v>1.3426290479811602</v>
      </c>
      <c r="K182" s="3">
        <f t="shared" si="69"/>
        <v>200045375.3365832</v>
      </c>
      <c r="L182" s="41">
        <f t="shared" si="62"/>
        <v>0.66727954622722097</v>
      </c>
      <c r="M182" s="3">
        <f t="shared" si="63"/>
        <v>148995268.37839594</v>
      </c>
      <c r="N182" s="41">
        <f t="shared" si="64"/>
        <v>0.66727954622722097</v>
      </c>
      <c r="O182" s="3">
        <f t="shared" si="65"/>
        <v>3927801419116496</v>
      </c>
      <c r="P182" s="3">
        <f t="shared" si="70"/>
        <v>2.4796542258715408E+17</v>
      </c>
      <c r="Q182">
        <f t="shared" si="71"/>
        <v>26.210050269763769</v>
      </c>
      <c r="R182"/>
    </row>
    <row r="183" spans="1:18">
      <c r="A183">
        <f t="shared" si="66"/>
        <v>0</v>
      </c>
      <c r="B183">
        <f t="shared" si="67"/>
        <v>1</v>
      </c>
      <c r="C183">
        <f t="shared" si="72"/>
        <v>39.835586727585039</v>
      </c>
      <c r="D183" s="4">
        <f t="shared" si="73"/>
        <v>0</v>
      </c>
      <c r="E183" s="21">
        <f t="shared" si="74"/>
        <v>321661539180.52545</v>
      </c>
      <c r="F183" s="21">
        <f t="shared" si="60"/>
        <v>0</v>
      </c>
      <c r="G183" s="21">
        <f t="shared" si="68"/>
        <v>1380261.977896204</v>
      </c>
      <c r="H183" s="43">
        <f t="shared" si="75"/>
        <v>0.99155006779229138</v>
      </c>
      <c r="I183" s="21">
        <f t="shared" si="76"/>
        <v>284487763.35350144</v>
      </c>
      <c r="J183" s="3">
        <f t="shared" si="61"/>
        <v>1.3426290479811602</v>
      </c>
      <c r="K183" s="3">
        <f t="shared" si="69"/>
        <v>200045375.3365832</v>
      </c>
      <c r="L183" s="41">
        <f t="shared" si="62"/>
        <v>0.66727954622722097</v>
      </c>
      <c r="M183" s="3">
        <f t="shared" si="63"/>
        <v>148995268.37839594</v>
      </c>
      <c r="N183" s="41">
        <f t="shared" si="64"/>
        <v>0.66727954622722097</v>
      </c>
      <c r="O183" s="3">
        <f t="shared" si="65"/>
        <v>3927801419116496</v>
      </c>
      <c r="P183" s="3">
        <f t="shared" si="70"/>
        <v>2.4954366057133453E+17</v>
      </c>
      <c r="Q183">
        <f t="shared" si="71"/>
        <v>26.376870693641543</v>
      </c>
      <c r="R183"/>
    </row>
    <row r="184" spans="1:18">
      <c r="A184">
        <f t="shared" si="66"/>
        <v>0</v>
      </c>
      <c r="B184">
        <f t="shared" si="67"/>
        <v>1</v>
      </c>
      <c r="C184">
        <f t="shared" si="72"/>
        <v>40.085586727585039</v>
      </c>
      <c r="D184" s="4">
        <f t="shared" si="73"/>
        <v>0</v>
      </c>
      <c r="E184" s="21">
        <f t="shared" si="74"/>
        <v>321658778656.56964</v>
      </c>
      <c r="F184" s="21">
        <f t="shared" si="60"/>
        <v>0</v>
      </c>
      <c r="G184" s="21">
        <f t="shared" si="68"/>
        <v>1380261.977896204</v>
      </c>
      <c r="H184" s="43">
        <f t="shared" si="75"/>
        <v>0.99150440623399627</v>
      </c>
      <c r="I184" s="21">
        <f t="shared" si="76"/>
        <v>285868025.33139765</v>
      </c>
      <c r="J184" s="3">
        <f t="shared" si="61"/>
        <v>1.3426290479811602</v>
      </c>
      <c r="K184" s="3">
        <f t="shared" si="69"/>
        <v>200045375.3365832</v>
      </c>
      <c r="L184" s="41">
        <f t="shared" si="62"/>
        <v>0.66727954622722097</v>
      </c>
      <c r="M184" s="3">
        <f t="shared" si="63"/>
        <v>148995268.37839594</v>
      </c>
      <c r="N184" s="41">
        <f t="shared" si="64"/>
        <v>0.66727954622722097</v>
      </c>
      <c r="O184" s="3">
        <f t="shared" si="65"/>
        <v>3927801419116496</v>
      </c>
      <c r="P184" s="3">
        <f t="shared" si="70"/>
        <v>2.5112189855551498E+17</v>
      </c>
      <c r="Q184">
        <f t="shared" si="71"/>
        <v>26.543691117519316</v>
      </c>
      <c r="R184"/>
    </row>
    <row r="185" spans="1:18">
      <c r="A185">
        <f t="shared" si="66"/>
        <v>0</v>
      </c>
      <c r="B185">
        <f t="shared" si="67"/>
        <v>1</v>
      </c>
      <c r="C185">
        <f t="shared" si="72"/>
        <v>40.335586727585039</v>
      </c>
      <c r="D185" s="4">
        <f t="shared" si="73"/>
        <v>0</v>
      </c>
      <c r="E185" s="21">
        <f t="shared" si="74"/>
        <v>321656018132.61383</v>
      </c>
      <c r="F185" s="21">
        <f t="shared" si="60"/>
        <v>0</v>
      </c>
      <c r="G185" s="21">
        <f t="shared" si="68"/>
        <v>1380261.977896204</v>
      </c>
      <c r="H185" s="43">
        <f t="shared" si="75"/>
        <v>0.99145874467570128</v>
      </c>
      <c r="I185" s="21">
        <f t="shared" si="76"/>
        <v>287248287.30929387</v>
      </c>
      <c r="J185" s="3">
        <f t="shared" si="61"/>
        <v>1.3426290479811602</v>
      </c>
      <c r="K185" s="3">
        <f t="shared" si="69"/>
        <v>200045375.3365832</v>
      </c>
      <c r="L185" s="41">
        <f t="shared" si="62"/>
        <v>0.66727954622722097</v>
      </c>
      <c r="M185" s="3">
        <f t="shared" si="63"/>
        <v>148995268.37839594</v>
      </c>
      <c r="N185" s="41">
        <f t="shared" si="64"/>
        <v>0.66727954622722097</v>
      </c>
      <c r="O185" s="3">
        <f t="shared" si="65"/>
        <v>3927801419116496</v>
      </c>
      <c r="P185" s="3">
        <f t="shared" si="70"/>
        <v>2.5270013653969542E+17</v>
      </c>
      <c r="Q185">
        <f t="shared" si="71"/>
        <v>26.710511541397086</v>
      </c>
      <c r="R185"/>
    </row>
    <row r="186" spans="1:18">
      <c r="A186">
        <f t="shared" si="66"/>
        <v>0</v>
      </c>
      <c r="B186">
        <f t="shared" si="67"/>
        <v>1</v>
      </c>
      <c r="C186">
        <f t="shared" si="72"/>
        <v>40.585586727585039</v>
      </c>
      <c r="D186" s="4">
        <f t="shared" si="73"/>
        <v>0</v>
      </c>
      <c r="E186" s="21">
        <f t="shared" si="74"/>
        <v>321653257608.65802</v>
      </c>
      <c r="F186" s="21">
        <f t="shared" si="60"/>
        <v>0</v>
      </c>
      <c r="G186" s="21">
        <f t="shared" si="68"/>
        <v>1380261.977896204</v>
      </c>
      <c r="H186" s="43">
        <f t="shared" si="75"/>
        <v>0.99141308311740628</v>
      </c>
      <c r="I186" s="21">
        <f t="shared" si="76"/>
        <v>288628549.28719008</v>
      </c>
      <c r="J186" s="3">
        <f t="shared" si="61"/>
        <v>1.3426290479811602</v>
      </c>
      <c r="K186" s="3">
        <f t="shared" si="69"/>
        <v>200045375.3365832</v>
      </c>
      <c r="L186" s="41">
        <f t="shared" si="62"/>
        <v>0.66727954622722097</v>
      </c>
      <c r="M186" s="3">
        <f t="shared" si="63"/>
        <v>148995268.37839594</v>
      </c>
      <c r="N186" s="41">
        <f t="shared" si="64"/>
        <v>0.66727954622722097</v>
      </c>
      <c r="O186" s="3">
        <f t="shared" si="65"/>
        <v>3927801419116496</v>
      </c>
      <c r="P186" s="3">
        <f t="shared" si="70"/>
        <v>2.5427837452387587E+17</v>
      </c>
      <c r="Q186">
        <f t="shared" si="71"/>
        <v>26.877331965274859</v>
      </c>
      <c r="R186"/>
    </row>
    <row r="187" spans="1:18">
      <c r="A187">
        <f t="shared" si="66"/>
        <v>0</v>
      </c>
      <c r="B187">
        <f t="shared" si="67"/>
        <v>1</v>
      </c>
      <c r="C187">
        <f t="shared" si="72"/>
        <v>40.835586727585039</v>
      </c>
      <c r="D187" s="4">
        <f t="shared" si="73"/>
        <v>0</v>
      </c>
      <c r="E187" s="21">
        <f t="shared" si="74"/>
        <v>321650497084.70221</v>
      </c>
      <c r="F187" s="21">
        <f t="shared" si="60"/>
        <v>0</v>
      </c>
      <c r="G187" s="21">
        <f t="shared" si="68"/>
        <v>1380261.977896204</v>
      </c>
      <c r="H187" s="43">
        <f t="shared" si="75"/>
        <v>0.99136742155911128</v>
      </c>
      <c r="I187" s="21">
        <f t="shared" si="76"/>
        <v>290008811.26508629</v>
      </c>
      <c r="J187" s="3">
        <f t="shared" si="61"/>
        <v>1.3426290479811602</v>
      </c>
      <c r="K187" s="3">
        <f t="shared" si="69"/>
        <v>200045375.3365832</v>
      </c>
      <c r="L187" s="41">
        <f t="shared" si="62"/>
        <v>0.66727954622722097</v>
      </c>
      <c r="M187" s="3">
        <f t="shared" si="63"/>
        <v>148995268.37839594</v>
      </c>
      <c r="N187" s="41">
        <f t="shared" si="64"/>
        <v>0.66727954622722097</v>
      </c>
      <c r="O187" s="3">
        <f t="shared" si="65"/>
        <v>3927801419116496</v>
      </c>
      <c r="P187" s="3">
        <f t="shared" si="70"/>
        <v>2.5585661250805632E+17</v>
      </c>
      <c r="Q187">
        <f t="shared" si="71"/>
        <v>27.044152389152632</v>
      </c>
      <c r="R187"/>
    </row>
    <row r="188" spans="1:18">
      <c r="A188">
        <f t="shared" si="66"/>
        <v>0</v>
      </c>
      <c r="B188">
        <f t="shared" si="67"/>
        <v>1</v>
      </c>
      <c r="C188">
        <f t="shared" si="72"/>
        <v>41.085586727585039</v>
      </c>
      <c r="D188" s="4">
        <f t="shared" si="73"/>
        <v>0</v>
      </c>
      <c r="E188" s="21">
        <f t="shared" si="74"/>
        <v>321647736560.7464</v>
      </c>
      <c r="F188" s="21">
        <f t="shared" si="60"/>
        <v>0</v>
      </c>
      <c r="G188" s="21">
        <f t="shared" si="68"/>
        <v>1380261.977896204</v>
      </c>
      <c r="H188" s="43">
        <f t="shared" si="75"/>
        <v>0.99132176000081629</v>
      </c>
      <c r="I188" s="21">
        <f t="shared" si="76"/>
        <v>291389073.24298251</v>
      </c>
      <c r="J188" s="3">
        <f t="shared" si="61"/>
        <v>1.3426290479811602</v>
      </c>
      <c r="K188" s="3">
        <f t="shared" si="69"/>
        <v>200045375.3365832</v>
      </c>
      <c r="L188" s="41">
        <f t="shared" si="62"/>
        <v>0.66727954622722097</v>
      </c>
      <c r="M188" s="3">
        <f t="shared" si="63"/>
        <v>148995268.37839594</v>
      </c>
      <c r="N188" s="41">
        <f t="shared" si="64"/>
        <v>0.66727954622722097</v>
      </c>
      <c r="O188" s="3">
        <f t="shared" si="65"/>
        <v>3927801419116496</v>
      </c>
      <c r="P188" s="3">
        <f t="shared" si="70"/>
        <v>2.5743485049223677E+17</v>
      </c>
      <c r="Q188">
        <f t="shared" si="71"/>
        <v>27.210972813030406</v>
      </c>
      <c r="R188"/>
    </row>
    <row r="189" spans="1:18">
      <c r="A189">
        <f t="shared" si="66"/>
        <v>0</v>
      </c>
      <c r="B189">
        <f t="shared" si="67"/>
        <v>1</v>
      </c>
      <c r="C189">
        <f t="shared" si="72"/>
        <v>41.335586727585039</v>
      </c>
      <c r="D189" s="4">
        <f t="shared" si="73"/>
        <v>0</v>
      </c>
      <c r="E189" s="21">
        <f t="shared" si="74"/>
        <v>321644976036.79059</v>
      </c>
      <c r="F189" s="21">
        <f t="shared" si="60"/>
        <v>0</v>
      </c>
      <c r="G189" s="21">
        <f t="shared" si="68"/>
        <v>1380261.977896204</v>
      </c>
      <c r="H189" s="43">
        <f t="shared" si="75"/>
        <v>0.99127609844252129</v>
      </c>
      <c r="I189" s="21">
        <f t="shared" si="76"/>
        <v>292769335.22087872</v>
      </c>
      <c r="J189" s="3">
        <f t="shared" si="61"/>
        <v>1.3426290479811602</v>
      </c>
      <c r="K189" s="3">
        <f t="shared" si="69"/>
        <v>200045375.3365832</v>
      </c>
      <c r="L189" s="41">
        <f t="shared" si="62"/>
        <v>0.66727954622722097</v>
      </c>
      <c r="M189" s="3">
        <f t="shared" si="63"/>
        <v>148995268.37839594</v>
      </c>
      <c r="N189" s="41">
        <f t="shared" si="64"/>
        <v>0.66727954622722097</v>
      </c>
      <c r="O189" s="3">
        <f t="shared" si="65"/>
        <v>3927801419116496</v>
      </c>
      <c r="P189" s="3">
        <f t="shared" si="70"/>
        <v>2.5901308847641722E+17</v>
      </c>
      <c r="Q189">
        <f t="shared" si="71"/>
        <v>27.377793236908179</v>
      </c>
      <c r="R189"/>
    </row>
    <row r="190" spans="1:18">
      <c r="A190">
        <f t="shared" si="66"/>
        <v>0</v>
      </c>
      <c r="B190">
        <f t="shared" si="67"/>
        <v>1</v>
      </c>
      <c r="C190">
        <f t="shared" si="72"/>
        <v>41.585586727585039</v>
      </c>
      <c r="D190" s="4">
        <f t="shared" si="73"/>
        <v>0</v>
      </c>
      <c r="E190" s="21">
        <f t="shared" si="74"/>
        <v>321642215512.83478</v>
      </c>
      <c r="F190" s="21">
        <f t="shared" si="60"/>
        <v>0</v>
      </c>
      <c r="G190" s="21">
        <f t="shared" si="68"/>
        <v>1380261.977896204</v>
      </c>
      <c r="H190" s="43">
        <f t="shared" si="75"/>
        <v>0.99123043688422618</v>
      </c>
      <c r="I190" s="21">
        <f t="shared" si="76"/>
        <v>294149597.19877493</v>
      </c>
      <c r="J190" s="3">
        <f t="shared" si="61"/>
        <v>1.3426290479811602</v>
      </c>
      <c r="K190" s="3">
        <f t="shared" si="69"/>
        <v>200045375.3365832</v>
      </c>
      <c r="L190" s="41">
        <f t="shared" si="62"/>
        <v>0.66727954622722097</v>
      </c>
      <c r="M190" s="3">
        <f t="shared" si="63"/>
        <v>148995268.37839594</v>
      </c>
      <c r="N190" s="41">
        <f t="shared" si="64"/>
        <v>0.66727954622722097</v>
      </c>
      <c r="O190" s="3">
        <f t="shared" si="65"/>
        <v>3927801419116496</v>
      </c>
      <c r="P190" s="3">
        <f t="shared" si="70"/>
        <v>2.6059132646059766E+17</v>
      </c>
      <c r="Q190">
        <f t="shared" si="71"/>
        <v>27.544613660785952</v>
      </c>
      <c r="R190"/>
    </row>
    <row r="191" spans="1:18">
      <c r="A191">
        <f t="shared" si="66"/>
        <v>0</v>
      </c>
      <c r="B191">
        <f t="shared" si="67"/>
        <v>1</v>
      </c>
      <c r="C191">
        <f t="shared" si="72"/>
        <v>41.835586727585039</v>
      </c>
      <c r="D191" s="4">
        <f t="shared" si="73"/>
        <v>0</v>
      </c>
      <c r="E191" s="21">
        <f t="shared" si="74"/>
        <v>321639454988.87897</v>
      </c>
      <c r="F191" s="21">
        <f t="shared" si="60"/>
        <v>0</v>
      </c>
      <c r="G191" s="21">
        <f t="shared" si="68"/>
        <v>1380261.977896204</v>
      </c>
      <c r="H191" s="43">
        <f t="shared" si="75"/>
        <v>0.99118477532593119</v>
      </c>
      <c r="I191" s="21">
        <f t="shared" si="76"/>
        <v>295529859.17667115</v>
      </c>
      <c r="J191" s="3">
        <f t="shared" si="61"/>
        <v>1.3426290479811602</v>
      </c>
      <c r="K191" s="3">
        <f t="shared" si="69"/>
        <v>200045375.3365832</v>
      </c>
      <c r="L191" s="41">
        <f t="shared" si="62"/>
        <v>0.66727954622722097</v>
      </c>
      <c r="M191" s="3">
        <f t="shared" si="63"/>
        <v>148995268.37839594</v>
      </c>
      <c r="N191" s="41">
        <f t="shared" si="64"/>
        <v>0.66727954622722097</v>
      </c>
      <c r="O191" s="3">
        <f t="shared" si="65"/>
        <v>3927801419116496</v>
      </c>
      <c r="P191" s="3">
        <f t="shared" si="70"/>
        <v>2.6216956444477811E+17</v>
      </c>
      <c r="Q191">
        <f t="shared" si="71"/>
        <v>27.711434084663725</v>
      </c>
      <c r="R191"/>
    </row>
    <row r="192" spans="1:18">
      <c r="A192">
        <f t="shared" si="66"/>
        <v>0</v>
      </c>
      <c r="B192">
        <f t="shared" si="67"/>
        <v>1</v>
      </c>
      <c r="C192">
        <f t="shared" si="72"/>
        <v>42.085586727585039</v>
      </c>
      <c r="D192" s="4">
        <f t="shared" si="73"/>
        <v>0</v>
      </c>
      <c r="E192" s="21">
        <f t="shared" si="74"/>
        <v>321636694464.92316</v>
      </c>
      <c r="F192" s="21">
        <f t="shared" si="60"/>
        <v>0</v>
      </c>
      <c r="G192" s="21">
        <f t="shared" si="68"/>
        <v>1380261.977896204</v>
      </c>
      <c r="H192" s="43">
        <f t="shared" si="75"/>
        <v>0.99113911376763619</v>
      </c>
      <c r="I192" s="21">
        <f t="shared" si="76"/>
        <v>296910121.15456736</v>
      </c>
      <c r="J192" s="3">
        <f t="shared" si="61"/>
        <v>1.3426290479811602</v>
      </c>
      <c r="K192" s="3">
        <f t="shared" si="69"/>
        <v>200045375.3365832</v>
      </c>
      <c r="L192" s="41">
        <f t="shared" si="62"/>
        <v>0.66727954622722097</v>
      </c>
      <c r="M192" s="3">
        <f t="shared" si="63"/>
        <v>148995268.37839594</v>
      </c>
      <c r="N192" s="41">
        <f t="shared" si="64"/>
        <v>0.66727954622722097</v>
      </c>
      <c r="O192" s="3">
        <f t="shared" si="65"/>
        <v>3927801419116496</v>
      </c>
      <c r="P192" s="3">
        <f t="shared" si="70"/>
        <v>2.6374780242895856E+17</v>
      </c>
      <c r="Q192">
        <f t="shared" si="71"/>
        <v>27.878254508541499</v>
      </c>
      <c r="R192"/>
    </row>
    <row r="193" spans="1:18">
      <c r="A193">
        <f t="shared" si="66"/>
        <v>0</v>
      </c>
      <c r="B193">
        <f t="shared" si="67"/>
        <v>1</v>
      </c>
      <c r="C193">
        <f t="shared" ref="C193:C216" si="77">C192+$D$11</f>
        <v>42.335586727585039</v>
      </c>
      <c r="D193" s="4">
        <f t="shared" ref="D193:D216" si="78">$C$16/$C$5*ASINH($C$5*A193*$C$14/$C$16)/$C$14</f>
        <v>0</v>
      </c>
      <c r="E193" s="21">
        <f t="shared" ref="E193:E216" si="79">E192-G192-$C$12</f>
        <v>321633933940.96735</v>
      </c>
      <c r="F193" s="21">
        <f t="shared" si="60"/>
        <v>0</v>
      </c>
      <c r="G193" s="21">
        <f t="shared" si="68"/>
        <v>1380261.977896204</v>
      </c>
      <c r="H193" s="43">
        <f t="shared" ref="H193:H216" si="80">1-(($E$18-E193)/$C$4)</f>
        <v>0.9910934522093412</v>
      </c>
      <c r="I193" s="21">
        <f t="shared" ref="I193:I216" si="81">I192+G193</f>
        <v>298290383.13246357</v>
      </c>
      <c r="J193" s="3">
        <f t="shared" si="61"/>
        <v>1.3426290479811602</v>
      </c>
      <c r="K193" s="3">
        <f t="shared" si="69"/>
        <v>200045375.3365832</v>
      </c>
      <c r="L193" s="41">
        <f t="shared" si="62"/>
        <v>0.66727954622722097</v>
      </c>
      <c r="M193" s="3">
        <f t="shared" si="63"/>
        <v>148995268.37839594</v>
      </c>
      <c r="N193" s="41">
        <f t="shared" si="64"/>
        <v>0.66727954622722097</v>
      </c>
      <c r="O193" s="3">
        <f t="shared" si="65"/>
        <v>3927801419116496</v>
      </c>
      <c r="P193" s="3">
        <f t="shared" si="70"/>
        <v>2.6532604041313901E+17</v>
      </c>
      <c r="Q193">
        <f t="shared" si="71"/>
        <v>28.045074932419272</v>
      </c>
      <c r="R193"/>
    </row>
    <row r="194" spans="1:18">
      <c r="A194">
        <f t="shared" si="66"/>
        <v>0</v>
      </c>
      <c r="B194">
        <f t="shared" si="67"/>
        <v>1</v>
      </c>
      <c r="C194">
        <f t="shared" si="77"/>
        <v>42.585586727585039</v>
      </c>
      <c r="D194" s="4">
        <f t="shared" si="78"/>
        <v>0</v>
      </c>
      <c r="E194" s="21">
        <f t="shared" si="79"/>
        <v>321631173417.01154</v>
      </c>
      <c r="F194" s="21">
        <f t="shared" si="60"/>
        <v>0</v>
      </c>
      <c r="G194" s="21">
        <f t="shared" si="68"/>
        <v>1380261.977896204</v>
      </c>
      <c r="H194" s="43">
        <f t="shared" si="80"/>
        <v>0.9910477906510462</v>
      </c>
      <c r="I194" s="21">
        <f t="shared" si="81"/>
        <v>299670645.11035979</v>
      </c>
      <c r="J194" s="3">
        <f t="shared" si="61"/>
        <v>1.3426290479811602</v>
      </c>
      <c r="K194" s="3">
        <f t="shared" si="69"/>
        <v>200045375.3365832</v>
      </c>
      <c r="L194" s="41">
        <f t="shared" si="62"/>
        <v>0.66727954622722097</v>
      </c>
      <c r="M194" s="3">
        <f t="shared" si="63"/>
        <v>148995268.37839594</v>
      </c>
      <c r="N194" s="41">
        <f t="shared" si="64"/>
        <v>0.66727954622722097</v>
      </c>
      <c r="O194" s="3">
        <f t="shared" si="65"/>
        <v>3927801419116496</v>
      </c>
      <c r="P194" s="3">
        <f t="shared" si="70"/>
        <v>2.6690427839731946E+17</v>
      </c>
      <c r="Q194">
        <f t="shared" si="71"/>
        <v>28.211895356297045</v>
      </c>
      <c r="R194"/>
    </row>
    <row r="195" spans="1:18">
      <c r="A195">
        <f t="shared" si="66"/>
        <v>0</v>
      </c>
      <c r="B195">
        <f t="shared" si="67"/>
        <v>1</v>
      </c>
      <c r="C195">
        <f t="shared" si="77"/>
        <v>42.835586727585039</v>
      </c>
      <c r="D195" s="4">
        <f t="shared" si="78"/>
        <v>0</v>
      </c>
      <c r="E195" s="21">
        <f t="shared" si="79"/>
        <v>321628412893.05573</v>
      </c>
      <c r="F195" s="21">
        <f t="shared" si="60"/>
        <v>0</v>
      </c>
      <c r="G195" s="21">
        <f t="shared" si="68"/>
        <v>1380261.977896204</v>
      </c>
      <c r="H195" s="43">
        <f t="shared" si="80"/>
        <v>0.9910021290927512</v>
      </c>
      <c r="I195" s="21">
        <f t="shared" si="81"/>
        <v>301050907.088256</v>
      </c>
      <c r="J195" s="3">
        <f t="shared" si="61"/>
        <v>1.3426290479811602</v>
      </c>
      <c r="K195" s="3">
        <f t="shared" si="69"/>
        <v>200045375.3365832</v>
      </c>
      <c r="L195" s="41">
        <f t="shared" si="62"/>
        <v>0.66727954622722097</v>
      </c>
      <c r="M195" s="3">
        <f t="shared" si="63"/>
        <v>148995268.37839594</v>
      </c>
      <c r="N195" s="41">
        <f t="shared" si="64"/>
        <v>0.66727954622722097</v>
      </c>
      <c r="O195" s="3">
        <f t="shared" si="65"/>
        <v>3927801419116496</v>
      </c>
      <c r="P195" s="3">
        <f t="shared" si="70"/>
        <v>2.684825163814999E+17</v>
      </c>
      <c r="Q195">
        <f t="shared" si="71"/>
        <v>28.378715780174819</v>
      </c>
      <c r="R195"/>
    </row>
    <row r="196" spans="1:18">
      <c r="A196">
        <f t="shared" si="66"/>
        <v>0</v>
      </c>
      <c r="B196">
        <f t="shared" si="67"/>
        <v>1</v>
      </c>
      <c r="C196">
        <f t="shared" si="77"/>
        <v>43.085586727585039</v>
      </c>
      <c r="D196" s="4">
        <f t="shared" si="78"/>
        <v>0</v>
      </c>
      <c r="E196" s="21">
        <f t="shared" si="79"/>
        <v>321625652369.09991</v>
      </c>
      <c r="F196" s="21">
        <f t="shared" si="60"/>
        <v>0</v>
      </c>
      <c r="G196" s="21">
        <f t="shared" si="68"/>
        <v>1380261.977896204</v>
      </c>
      <c r="H196" s="43">
        <f t="shared" si="80"/>
        <v>0.9909564675344561</v>
      </c>
      <c r="I196" s="21">
        <f t="shared" si="81"/>
        <v>302431169.06615222</v>
      </c>
      <c r="J196" s="3">
        <f t="shared" si="61"/>
        <v>1.3426290479811602</v>
      </c>
      <c r="K196" s="3">
        <f t="shared" si="69"/>
        <v>200045375.3365832</v>
      </c>
      <c r="L196" s="41">
        <f t="shared" si="62"/>
        <v>0.66727954622722097</v>
      </c>
      <c r="M196" s="3">
        <f t="shared" si="63"/>
        <v>148995268.37839594</v>
      </c>
      <c r="N196" s="41">
        <f t="shared" si="64"/>
        <v>0.66727954622722097</v>
      </c>
      <c r="O196" s="3">
        <f t="shared" si="65"/>
        <v>3927801419116496</v>
      </c>
      <c r="P196" s="3">
        <f t="shared" si="70"/>
        <v>2.7006075436568035E+17</v>
      </c>
      <c r="Q196">
        <f t="shared" si="71"/>
        <v>28.545536204052592</v>
      </c>
      <c r="R196"/>
    </row>
    <row r="197" spans="1:18">
      <c r="A197">
        <f t="shared" si="66"/>
        <v>0</v>
      </c>
      <c r="B197">
        <f t="shared" si="67"/>
        <v>1</v>
      </c>
      <c r="C197">
        <f t="shared" si="77"/>
        <v>43.335586727585039</v>
      </c>
      <c r="D197" s="4">
        <f t="shared" si="78"/>
        <v>0</v>
      </c>
      <c r="E197" s="21">
        <f t="shared" si="79"/>
        <v>321622891845.1441</v>
      </c>
      <c r="F197" s="21">
        <f t="shared" si="60"/>
        <v>0</v>
      </c>
      <c r="G197" s="21">
        <f t="shared" si="68"/>
        <v>1380261.977896204</v>
      </c>
      <c r="H197" s="43">
        <f t="shared" si="80"/>
        <v>0.9909108059761611</v>
      </c>
      <c r="I197" s="21">
        <f t="shared" si="81"/>
        <v>303811431.04404843</v>
      </c>
      <c r="J197" s="3">
        <f t="shared" si="61"/>
        <v>1.3426290479811602</v>
      </c>
      <c r="K197" s="3">
        <f t="shared" si="69"/>
        <v>200045375.3365832</v>
      </c>
      <c r="L197" s="41">
        <f t="shared" si="62"/>
        <v>0.66727954622722097</v>
      </c>
      <c r="M197" s="3">
        <f t="shared" si="63"/>
        <v>148995268.37839594</v>
      </c>
      <c r="N197" s="41">
        <f t="shared" si="64"/>
        <v>0.66727954622722097</v>
      </c>
      <c r="O197" s="3">
        <f t="shared" si="65"/>
        <v>3927801419116496</v>
      </c>
      <c r="P197" s="3">
        <f t="shared" si="70"/>
        <v>2.716389923498608E+17</v>
      </c>
      <c r="Q197">
        <f t="shared" si="71"/>
        <v>28.712356627930365</v>
      </c>
      <c r="R197"/>
    </row>
    <row r="198" spans="1:18">
      <c r="A198">
        <f t="shared" si="66"/>
        <v>0</v>
      </c>
      <c r="B198">
        <f t="shared" si="67"/>
        <v>1</v>
      </c>
      <c r="C198">
        <f t="shared" si="77"/>
        <v>43.585586727585039</v>
      </c>
      <c r="D198" s="4">
        <f t="shared" si="78"/>
        <v>0</v>
      </c>
      <c r="E198" s="21">
        <f t="shared" si="79"/>
        <v>321620131321.18829</v>
      </c>
      <c r="F198" s="21">
        <f t="shared" si="60"/>
        <v>0</v>
      </c>
      <c r="G198" s="21">
        <f t="shared" si="68"/>
        <v>1380261.977896204</v>
      </c>
      <c r="H198" s="43">
        <f t="shared" si="80"/>
        <v>0.99086514441786611</v>
      </c>
      <c r="I198" s="21">
        <f t="shared" si="81"/>
        <v>305191693.02194464</v>
      </c>
      <c r="J198" s="3">
        <f t="shared" si="61"/>
        <v>1.3426290479811602</v>
      </c>
      <c r="K198" s="3">
        <f t="shared" si="69"/>
        <v>200045375.3365832</v>
      </c>
      <c r="L198" s="41">
        <f t="shared" si="62"/>
        <v>0.66727954622722097</v>
      </c>
      <c r="M198" s="3">
        <f t="shared" si="63"/>
        <v>148995268.37839594</v>
      </c>
      <c r="N198" s="41">
        <f t="shared" si="64"/>
        <v>0.66727954622722097</v>
      </c>
      <c r="O198" s="3">
        <f t="shared" si="65"/>
        <v>3927801419116496</v>
      </c>
      <c r="P198" s="3">
        <f t="shared" si="70"/>
        <v>2.7321723033404125E+17</v>
      </c>
      <c r="Q198">
        <f t="shared" si="71"/>
        <v>28.879177051808139</v>
      </c>
      <c r="R198"/>
    </row>
    <row r="199" spans="1:18">
      <c r="A199">
        <f t="shared" si="66"/>
        <v>0</v>
      </c>
      <c r="B199">
        <f t="shared" si="67"/>
        <v>1</v>
      </c>
      <c r="C199">
        <f t="shared" si="77"/>
        <v>43.835586727585039</v>
      </c>
      <c r="D199" s="4">
        <f t="shared" si="78"/>
        <v>0</v>
      </c>
      <c r="E199" s="21">
        <f t="shared" si="79"/>
        <v>321617370797.23248</v>
      </c>
      <c r="F199" s="21">
        <f t="shared" si="60"/>
        <v>0</v>
      </c>
      <c r="G199" s="21">
        <f t="shared" si="68"/>
        <v>1380261.977896204</v>
      </c>
      <c r="H199" s="43">
        <f t="shared" si="80"/>
        <v>0.99081948285957111</v>
      </c>
      <c r="I199" s="21">
        <f t="shared" si="81"/>
        <v>306571954.99984086</v>
      </c>
      <c r="J199" s="3">
        <f t="shared" si="61"/>
        <v>1.3426290479811602</v>
      </c>
      <c r="K199" s="3">
        <f t="shared" si="69"/>
        <v>200045375.3365832</v>
      </c>
      <c r="L199" s="41">
        <f t="shared" si="62"/>
        <v>0.66727954622722097</v>
      </c>
      <c r="M199" s="3">
        <f t="shared" si="63"/>
        <v>148995268.37839594</v>
      </c>
      <c r="N199" s="41">
        <f t="shared" si="64"/>
        <v>0.66727954622722097</v>
      </c>
      <c r="O199" s="3">
        <f t="shared" si="65"/>
        <v>3927801419116496</v>
      </c>
      <c r="P199" s="3">
        <f t="shared" si="70"/>
        <v>2.747954683182217E+17</v>
      </c>
      <c r="Q199">
        <f t="shared" si="71"/>
        <v>29.045997475685912</v>
      </c>
      <c r="R199"/>
    </row>
    <row r="200" spans="1:18">
      <c r="A200">
        <f t="shared" si="66"/>
        <v>0</v>
      </c>
      <c r="B200">
        <f t="shared" si="67"/>
        <v>1</v>
      </c>
      <c r="C200">
        <f t="shared" si="77"/>
        <v>44.085586727585039</v>
      </c>
      <c r="D200" s="4">
        <f t="shared" si="78"/>
        <v>0</v>
      </c>
      <c r="E200" s="21">
        <f t="shared" si="79"/>
        <v>321614610273.27667</v>
      </c>
      <c r="F200" s="21">
        <f t="shared" si="60"/>
        <v>0</v>
      </c>
      <c r="G200" s="21">
        <f t="shared" si="68"/>
        <v>1380261.977896204</v>
      </c>
      <c r="H200" s="43">
        <f t="shared" si="80"/>
        <v>0.99077382130127611</v>
      </c>
      <c r="I200" s="21">
        <f t="shared" si="81"/>
        <v>307952216.97773707</v>
      </c>
      <c r="J200" s="3">
        <f t="shared" si="61"/>
        <v>1.3426290479811602</v>
      </c>
      <c r="K200" s="3">
        <f t="shared" si="69"/>
        <v>200045375.3365832</v>
      </c>
      <c r="L200" s="41">
        <f t="shared" si="62"/>
        <v>0.66727954622722097</v>
      </c>
      <c r="M200" s="3">
        <f t="shared" si="63"/>
        <v>148995268.37839594</v>
      </c>
      <c r="N200" s="41">
        <f t="shared" si="64"/>
        <v>0.66727954622722097</v>
      </c>
      <c r="O200" s="3">
        <f t="shared" si="65"/>
        <v>3927801419116496</v>
      </c>
      <c r="P200" s="3">
        <f t="shared" si="70"/>
        <v>2.7637370630240214E+17</v>
      </c>
      <c r="Q200">
        <f t="shared" si="71"/>
        <v>29.212817899563685</v>
      </c>
      <c r="R200"/>
    </row>
    <row r="201" spans="1:18">
      <c r="A201">
        <f t="shared" si="66"/>
        <v>0</v>
      </c>
      <c r="B201">
        <f t="shared" si="67"/>
        <v>1</v>
      </c>
      <c r="C201">
        <f t="shared" si="77"/>
        <v>44.335586727585039</v>
      </c>
      <c r="D201" s="4">
        <f t="shared" si="78"/>
        <v>0</v>
      </c>
      <c r="E201" s="21">
        <f t="shared" si="79"/>
        <v>321611849749.32086</v>
      </c>
      <c r="F201" s="21">
        <f t="shared" si="60"/>
        <v>0</v>
      </c>
      <c r="G201" s="21">
        <f t="shared" si="68"/>
        <v>1380261.977896204</v>
      </c>
      <c r="H201" s="43">
        <f t="shared" si="80"/>
        <v>0.99072815974298101</v>
      </c>
      <c r="I201" s="21">
        <f t="shared" si="81"/>
        <v>309332478.95563328</v>
      </c>
      <c r="J201" s="3">
        <f t="shared" si="61"/>
        <v>1.3426290479811602</v>
      </c>
      <c r="K201" s="3">
        <f t="shared" si="69"/>
        <v>200045375.3365832</v>
      </c>
      <c r="L201" s="41">
        <f t="shared" si="62"/>
        <v>0.66727954622722097</v>
      </c>
      <c r="M201" s="3">
        <f t="shared" si="63"/>
        <v>148995268.37839594</v>
      </c>
      <c r="N201" s="41">
        <f t="shared" si="64"/>
        <v>0.66727954622722097</v>
      </c>
      <c r="O201" s="3">
        <f t="shared" si="65"/>
        <v>3927801419116496</v>
      </c>
      <c r="P201" s="3">
        <f t="shared" si="70"/>
        <v>2.7795194428658259E+17</v>
      </c>
      <c r="Q201">
        <f t="shared" si="71"/>
        <v>29.379638323441458</v>
      </c>
      <c r="R201"/>
    </row>
    <row r="202" spans="1:18">
      <c r="A202">
        <f t="shared" si="66"/>
        <v>0</v>
      </c>
      <c r="B202">
        <f t="shared" si="67"/>
        <v>1</v>
      </c>
      <c r="C202">
        <f t="shared" si="77"/>
        <v>44.585586727585039</v>
      </c>
      <c r="D202" s="4">
        <f t="shared" si="78"/>
        <v>0</v>
      </c>
      <c r="E202" s="21">
        <f t="shared" si="79"/>
        <v>321609089225.36505</v>
      </c>
      <c r="F202" s="21">
        <f t="shared" si="60"/>
        <v>0</v>
      </c>
      <c r="G202" s="21">
        <f t="shared" si="68"/>
        <v>1380261.977896204</v>
      </c>
      <c r="H202" s="43">
        <f t="shared" si="80"/>
        <v>0.99068249818468601</v>
      </c>
      <c r="I202" s="21">
        <f t="shared" si="81"/>
        <v>310712740.9335295</v>
      </c>
      <c r="J202" s="3">
        <f t="shared" si="61"/>
        <v>1.3426290479811602</v>
      </c>
      <c r="K202" s="3">
        <f t="shared" si="69"/>
        <v>200045375.3365832</v>
      </c>
      <c r="L202" s="41">
        <f t="shared" si="62"/>
        <v>0.66727954622722097</v>
      </c>
      <c r="M202" s="3">
        <f t="shared" si="63"/>
        <v>148995268.37839594</v>
      </c>
      <c r="N202" s="41">
        <f t="shared" si="64"/>
        <v>0.66727954622722097</v>
      </c>
      <c r="O202" s="3">
        <f t="shared" si="65"/>
        <v>3927801419116496</v>
      </c>
      <c r="P202" s="3">
        <f t="shared" si="70"/>
        <v>2.7953018227076304E+17</v>
      </c>
      <c r="Q202">
        <f t="shared" si="71"/>
        <v>29.546458747319232</v>
      </c>
      <c r="R202"/>
    </row>
    <row r="203" spans="1:18">
      <c r="A203">
        <f t="shared" si="66"/>
        <v>0</v>
      </c>
      <c r="B203">
        <f t="shared" si="67"/>
        <v>1</v>
      </c>
      <c r="C203">
        <f t="shared" si="77"/>
        <v>44.835586727585039</v>
      </c>
      <c r="D203" s="4">
        <f t="shared" si="78"/>
        <v>0</v>
      </c>
      <c r="E203" s="21">
        <f t="shared" si="79"/>
        <v>321606328701.40924</v>
      </c>
      <c r="F203" s="21">
        <f t="shared" si="60"/>
        <v>0</v>
      </c>
      <c r="G203" s="21">
        <f t="shared" si="68"/>
        <v>1380261.977896204</v>
      </c>
      <c r="H203" s="43">
        <f t="shared" si="80"/>
        <v>0.99063683662639102</v>
      </c>
      <c r="I203" s="21">
        <f t="shared" si="81"/>
        <v>312093002.91142571</v>
      </c>
      <c r="J203" s="3">
        <f t="shared" si="61"/>
        <v>1.3426290479811602</v>
      </c>
      <c r="K203" s="3">
        <f t="shared" si="69"/>
        <v>200045375.3365832</v>
      </c>
      <c r="L203" s="41">
        <f t="shared" si="62"/>
        <v>0.66727954622722097</v>
      </c>
      <c r="M203" s="3">
        <f t="shared" si="63"/>
        <v>148995268.37839594</v>
      </c>
      <c r="N203" s="41">
        <f t="shared" si="64"/>
        <v>0.66727954622722097</v>
      </c>
      <c r="O203" s="3">
        <f t="shared" si="65"/>
        <v>3927801419116496</v>
      </c>
      <c r="P203" s="3">
        <f t="shared" si="70"/>
        <v>2.8110842025494349E+17</v>
      </c>
      <c r="Q203">
        <f t="shared" si="71"/>
        <v>29.713279171197001</v>
      </c>
      <c r="R203"/>
    </row>
    <row r="204" spans="1:18">
      <c r="A204">
        <f t="shared" si="66"/>
        <v>0</v>
      </c>
      <c r="B204">
        <f t="shared" si="67"/>
        <v>1</v>
      </c>
      <c r="C204">
        <f t="shared" si="77"/>
        <v>45.085586727585039</v>
      </c>
      <c r="D204" s="4">
        <f t="shared" si="78"/>
        <v>0</v>
      </c>
      <c r="E204" s="21">
        <f t="shared" si="79"/>
        <v>321603568177.45343</v>
      </c>
      <c r="F204" s="21">
        <f t="shared" si="60"/>
        <v>0</v>
      </c>
      <c r="G204" s="21">
        <f t="shared" si="68"/>
        <v>1380261.977896204</v>
      </c>
      <c r="H204" s="43">
        <f t="shared" si="80"/>
        <v>0.99059117506809602</v>
      </c>
      <c r="I204" s="21">
        <f t="shared" si="81"/>
        <v>313473264.88932192</v>
      </c>
      <c r="J204" s="3">
        <f t="shared" si="61"/>
        <v>1.3426290479811602</v>
      </c>
      <c r="K204" s="3">
        <f t="shared" si="69"/>
        <v>200045375.3365832</v>
      </c>
      <c r="L204" s="41">
        <f t="shared" si="62"/>
        <v>0.66727954622722097</v>
      </c>
      <c r="M204" s="3">
        <f t="shared" si="63"/>
        <v>148995268.37839594</v>
      </c>
      <c r="N204" s="41">
        <f t="shared" si="64"/>
        <v>0.66727954622722097</v>
      </c>
      <c r="O204" s="3">
        <f t="shared" si="65"/>
        <v>3927801419116496</v>
      </c>
      <c r="P204" s="3">
        <f t="shared" si="70"/>
        <v>2.8268665823912394E+17</v>
      </c>
      <c r="Q204">
        <f t="shared" si="71"/>
        <v>29.880099595074775</v>
      </c>
      <c r="R204"/>
    </row>
    <row r="205" spans="1:18">
      <c r="A205">
        <f t="shared" si="66"/>
        <v>0</v>
      </c>
      <c r="B205">
        <f t="shared" si="67"/>
        <v>1</v>
      </c>
      <c r="C205">
        <f t="shared" si="77"/>
        <v>45.335586727585039</v>
      </c>
      <c r="D205" s="4">
        <f t="shared" si="78"/>
        <v>0</v>
      </c>
      <c r="E205" s="21">
        <f t="shared" si="79"/>
        <v>321600807653.49762</v>
      </c>
      <c r="F205" s="21">
        <f t="shared" si="60"/>
        <v>0</v>
      </c>
      <c r="G205" s="21">
        <f t="shared" si="68"/>
        <v>1380261.977896204</v>
      </c>
      <c r="H205" s="43">
        <f t="shared" si="80"/>
        <v>0.99054551350980102</v>
      </c>
      <c r="I205" s="21">
        <f t="shared" si="81"/>
        <v>314853526.86721814</v>
      </c>
      <c r="J205" s="3">
        <f t="shared" si="61"/>
        <v>1.3426290479811602</v>
      </c>
      <c r="K205" s="3">
        <f t="shared" si="69"/>
        <v>200045375.3365832</v>
      </c>
      <c r="L205" s="41">
        <f t="shared" si="62"/>
        <v>0.66727954622722097</v>
      </c>
      <c r="M205" s="3">
        <f t="shared" si="63"/>
        <v>148995268.37839594</v>
      </c>
      <c r="N205" s="41">
        <f t="shared" si="64"/>
        <v>0.66727954622722097</v>
      </c>
      <c r="O205" s="3">
        <f t="shared" si="65"/>
        <v>3927801419116496</v>
      </c>
      <c r="P205" s="3">
        <f t="shared" si="70"/>
        <v>2.8426489622330438E+17</v>
      </c>
      <c r="Q205">
        <f t="shared" si="71"/>
        <v>30.046920018952548</v>
      </c>
      <c r="R205"/>
    </row>
    <row r="206" spans="1:18">
      <c r="A206">
        <f t="shared" si="66"/>
        <v>0</v>
      </c>
      <c r="B206">
        <f t="shared" si="67"/>
        <v>1</v>
      </c>
      <c r="C206">
        <f t="shared" si="77"/>
        <v>45.585586727585039</v>
      </c>
      <c r="D206" s="4">
        <f t="shared" si="78"/>
        <v>0</v>
      </c>
      <c r="E206" s="21">
        <f t="shared" si="79"/>
        <v>321598047129.54181</v>
      </c>
      <c r="F206" s="21">
        <f t="shared" si="60"/>
        <v>0</v>
      </c>
      <c r="G206" s="21">
        <f t="shared" si="68"/>
        <v>1380261.977896204</v>
      </c>
      <c r="H206" s="43">
        <f t="shared" si="80"/>
        <v>0.99049985195150603</v>
      </c>
      <c r="I206" s="21">
        <f t="shared" si="81"/>
        <v>316233788.84511435</v>
      </c>
      <c r="J206" s="3">
        <f t="shared" si="61"/>
        <v>1.3426290479811602</v>
      </c>
      <c r="K206" s="3">
        <f t="shared" si="69"/>
        <v>200045375.3365832</v>
      </c>
      <c r="L206" s="41">
        <f t="shared" si="62"/>
        <v>0.66727954622722097</v>
      </c>
      <c r="M206" s="3">
        <f t="shared" si="63"/>
        <v>148995268.37839594</v>
      </c>
      <c r="N206" s="41">
        <f t="shared" si="64"/>
        <v>0.66727954622722097</v>
      </c>
      <c r="O206" s="3">
        <f t="shared" si="65"/>
        <v>3927801419116496</v>
      </c>
      <c r="P206" s="3">
        <f t="shared" si="70"/>
        <v>2.8584313420748483E+17</v>
      </c>
      <c r="Q206">
        <f t="shared" si="71"/>
        <v>30.213740442830321</v>
      </c>
      <c r="R206"/>
    </row>
    <row r="207" spans="1:18">
      <c r="A207">
        <f t="shared" si="66"/>
        <v>0</v>
      </c>
      <c r="B207">
        <f t="shared" si="67"/>
        <v>1</v>
      </c>
      <c r="C207">
        <f t="shared" si="77"/>
        <v>45.835586727585039</v>
      </c>
      <c r="D207" s="4">
        <f t="shared" si="78"/>
        <v>0</v>
      </c>
      <c r="E207" s="21">
        <f t="shared" si="79"/>
        <v>321595286605.586</v>
      </c>
      <c r="F207" s="21">
        <f t="shared" si="60"/>
        <v>0</v>
      </c>
      <c r="G207" s="21">
        <f t="shared" si="68"/>
        <v>1380261.977896204</v>
      </c>
      <c r="H207" s="43">
        <f t="shared" si="80"/>
        <v>0.99045419039321092</v>
      </c>
      <c r="I207" s="21">
        <f t="shared" si="81"/>
        <v>317614050.82301056</v>
      </c>
      <c r="J207" s="3">
        <f t="shared" si="61"/>
        <v>1.3426290479811602</v>
      </c>
      <c r="K207" s="3">
        <f t="shared" si="69"/>
        <v>200045375.3365832</v>
      </c>
      <c r="L207" s="41">
        <f t="shared" si="62"/>
        <v>0.66727954622722097</v>
      </c>
      <c r="M207" s="3">
        <f t="shared" si="63"/>
        <v>148995268.37839594</v>
      </c>
      <c r="N207" s="41">
        <f t="shared" si="64"/>
        <v>0.66727954622722097</v>
      </c>
      <c r="O207" s="3">
        <f t="shared" si="65"/>
        <v>3927801419116496</v>
      </c>
      <c r="P207" s="3">
        <f t="shared" si="70"/>
        <v>2.8742137219166528E+17</v>
      </c>
      <c r="Q207">
        <f t="shared" si="71"/>
        <v>30.380560866708095</v>
      </c>
      <c r="R207"/>
    </row>
    <row r="208" spans="1:18">
      <c r="A208">
        <f t="shared" si="66"/>
        <v>0</v>
      </c>
      <c r="B208">
        <f t="shared" si="67"/>
        <v>1</v>
      </c>
      <c r="C208">
        <f t="shared" si="77"/>
        <v>46.085586727585039</v>
      </c>
      <c r="D208" s="4">
        <f t="shared" si="78"/>
        <v>0</v>
      </c>
      <c r="E208" s="21">
        <f t="shared" si="79"/>
        <v>321592526081.63019</v>
      </c>
      <c r="F208" s="21">
        <f t="shared" si="60"/>
        <v>0</v>
      </c>
      <c r="G208" s="21">
        <f t="shared" si="68"/>
        <v>1380261.977896204</v>
      </c>
      <c r="H208" s="43">
        <f t="shared" si="80"/>
        <v>0.99040852883491592</v>
      </c>
      <c r="I208" s="21">
        <f t="shared" si="81"/>
        <v>318994312.80090678</v>
      </c>
      <c r="J208" s="3">
        <f t="shared" si="61"/>
        <v>1.3426290479811602</v>
      </c>
      <c r="K208" s="3">
        <f t="shared" si="69"/>
        <v>200045375.3365832</v>
      </c>
      <c r="L208" s="41">
        <f t="shared" si="62"/>
        <v>0.66727954622722097</v>
      </c>
      <c r="M208" s="3">
        <f t="shared" si="63"/>
        <v>148995268.37839594</v>
      </c>
      <c r="N208" s="41">
        <f t="shared" si="64"/>
        <v>0.66727954622722097</v>
      </c>
      <c r="O208" s="3">
        <f t="shared" si="65"/>
        <v>3927801419116496</v>
      </c>
      <c r="P208" s="3">
        <f t="shared" si="70"/>
        <v>2.889996101758457E+17</v>
      </c>
      <c r="Q208">
        <f t="shared" si="71"/>
        <v>30.547381290585864</v>
      </c>
      <c r="R208"/>
    </row>
    <row r="209" spans="1:18">
      <c r="A209">
        <f t="shared" si="66"/>
        <v>0</v>
      </c>
      <c r="B209">
        <f t="shared" si="67"/>
        <v>1</v>
      </c>
      <c r="C209">
        <f t="shared" si="77"/>
        <v>46.335586727585039</v>
      </c>
      <c r="D209" s="4">
        <f t="shared" si="78"/>
        <v>0</v>
      </c>
      <c r="E209" s="21">
        <f t="shared" si="79"/>
        <v>321589765557.67438</v>
      </c>
      <c r="F209" s="21">
        <f t="shared" si="60"/>
        <v>0</v>
      </c>
      <c r="G209" s="21">
        <f t="shared" si="68"/>
        <v>1380261.977896204</v>
      </c>
      <c r="H209" s="43">
        <f t="shared" si="80"/>
        <v>0.99036286727662093</v>
      </c>
      <c r="I209" s="21">
        <f t="shared" si="81"/>
        <v>320374574.77880299</v>
      </c>
      <c r="J209" s="3">
        <f t="shared" si="61"/>
        <v>1.3426290479811602</v>
      </c>
      <c r="K209" s="3">
        <f t="shared" si="69"/>
        <v>200045375.3365832</v>
      </c>
      <c r="L209" s="41">
        <f t="shared" si="62"/>
        <v>0.66727954622722097</v>
      </c>
      <c r="M209" s="3">
        <f t="shared" si="63"/>
        <v>148995268.37839594</v>
      </c>
      <c r="N209" s="41">
        <f t="shared" si="64"/>
        <v>0.66727954622722097</v>
      </c>
      <c r="O209" s="3">
        <f t="shared" si="65"/>
        <v>3927801419116496</v>
      </c>
      <c r="P209" s="3">
        <f t="shared" si="70"/>
        <v>2.9057784816002611E+17</v>
      </c>
      <c r="Q209">
        <f t="shared" si="71"/>
        <v>30.714201714463634</v>
      </c>
      <c r="R209"/>
    </row>
    <row r="210" spans="1:18">
      <c r="A210">
        <f t="shared" si="66"/>
        <v>0</v>
      </c>
      <c r="B210">
        <f t="shared" si="67"/>
        <v>1</v>
      </c>
      <c r="C210">
        <f t="shared" si="77"/>
        <v>46.585586727585039</v>
      </c>
      <c r="D210" s="4">
        <f t="shared" si="78"/>
        <v>0</v>
      </c>
      <c r="E210" s="21">
        <f t="shared" si="79"/>
        <v>321587005033.71857</v>
      </c>
      <c r="F210" s="21">
        <f t="shared" si="60"/>
        <v>0</v>
      </c>
      <c r="G210" s="21">
        <f t="shared" si="68"/>
        <v>1380261.977896204</v>
      </c>
      <c r="H210" s="43">
        <f t="shared" si="80"/>
        <v>0.99031720571832593</v>
      </c>
      <c r="I210" s="21">
        <f t="shared" si="81"/>
        <v>321754836.7566992</v>
      </c>
      <c r="J210" s="3">
        <f t="shared" si="61"/>
        <v>1.3426290479811602</v>
      </c>
      <c r="K210" s="3">
        <f t="shared" si="69"/>
        <v>200045375.3365832</v>
      </c>
      <c r="L210" s="41">
        <f t="shared" si="62"/>
        <v>0.66727954622722097</v>
      </c>
      <c r="M210" s="3">
        <f t="shared" si="63"/>
        <v>148995268.37839594</v>
      </c>
      <c r="N210" s="41">
        <f t="shared" si="64"/>
        <v>0.66727954622722097</v>
      </c>
      <c r="O210" s="3">
        <f t="shared" si="65"/>
        <v>3927801419116496</v>
      </c>
      <c r="P210" s="3">
        <f t="shared" si="70"/>
        <v>2.9215608614420653E+17</v>
      </c>
      <c r="Q210">
        <f t="shared" si="71"/>
        <v>30.881022138341404</v>
      </c>
      <c r="R210"/>
    </row>
    <row r="211" spans="1:18">
      <c r="A211">
        <f t="shared" si="66"/>
        <v>0</v>
      </c>
      <c r="B211">
        <f t="shared" si="67"/>
        <v>1</v>
      </c>
      <c r="C211">
        <f t="shared" si="77"/>
        <v>46.835586727585039</v>
      </c>
      <c r="D211" s="4">
        <f t="shared" si="78"/>
        <v>0</v>
      </c>
      <c r="E211" s="21">
        <f t="shared" si="79"/>
        <v>321584244509.76276</v>
      </c>
      <c r="F211" s="21">
        <f t="shared" ref="F211:F274" si="82">IF(B211=1,0,IF(B211=3,0,IF(E211&gt;$C$3,E211*$C$5,0)))</f>
        <v>0</v>
      </c>
      <c r="G211" s="21">
        <f t="shared" si="68"/>
        <v>1380261.977896204</v>
      </c>
      <c r="H211" s="43">
        <f t="shared" si="80"/>
        <v>0.99027154416003094</v>
      </c>
      <c r="I211" s="21">
        <f t="shared" si="81"/>
        <v>323135098.73459542</v>
      </c>
      <c r="J211" s="3">
        <f t="shared" ref="J211:J274" si="83">IF(B211=1,$J$9,SQRT(1+($C$5*A211/$C$16)^2))</f>
        <v>1.3426290479811602</v>
      </c>
      <c r="K211" s="3">
        <f t="shared" si="69"/>
        <v>200045375.3365832</v>
      </c>
      <c r="L211" s="41">
        <f t="shared" ref="L211:L274" si="84">K211/$C$16</f>
        <v>0.66727954622722097</v>
      </c>
      <c r="M211" s="3">
        <f t="shared" ref="M211:M274" si="85">K211/J211</f>
        <v>148995268.37839594</v>
      </c>
      <c r="N211" s="41">
        <f t="shared" ref="N211:N274" si="86">K211/$C$16</f>
        <v>0.66727954622722097</v>
      </c>
      <c r="O211" s="3">
        <f t="shared" ref="O211:O274" si="87">$D$16/$C$5*(J211-1)</f>
        <v>3927801419116496</v>
      </c>
      <c r="P211" s="3">
        <f t="shared" si="70"/>
        <v>2.9373432412838694E+17</v>
      </c>
      <c r="Q211">
        <f t="shared" si="71"/>
        <v>31.047842562219174</v>
      </c>
      <c r="R211"/>
    </row>
    <row r="212" spans="1:18">
      <c r="A212">
        <f t="shared" ref="A212:A275" si="88">IF(B212=3,0,IF(B212=1,0,IF(B212=0,C212,$G$8-C212)))*$C$14</f>
        <v>0</v>
      </c>
      <c r="B212">
        <f t="shared" ref="B212:B275" si="89">IF(P211&lt;$E$9,0,IF(P211&gt;$D$8,3,IF(P211&gt;$D$8-$E$9,2,1)))</f>
        <v>1</v>
      </c>
      <c r="C212">
        <f t="shared" si="77"/>
        <v>47.085586727585039</v>
      </c>
      <c r="D212" s="4">
        <f t="shared" si="78"/>
        <v>0</v>
      </c>
      <c r="E212" s="21">
        <f t="shared" si="79"/>
        <v>321581483985.80695</v>
      </c>
      <c r="F212" s="21">
        <f t="shared" si="82"/>
        <v>0</v>
      </c>
      <c r="G212" s="21">
        <f t="shared" ref="G212:G275" si="90">F212*$C$14*$D$11*$C$6/1000+$C$12</f>
        <v>1380261.977896204</v>
      </c>
      <c r="H212" s="43">
        <f t="shared" si="80"/>
        <v>0.99022588260173594</v>
      </c>
      <c r="I212" s="21">
        <f t="shared" si="81"/>
        <v>324515360.71249163</v>
      </c>
      <c r="J212" s="3">
        <f t="shared" si="83"/>
        <v>1.3426290479811602</v>
      </c>
      <c r="K212" s="3">
        <f t="shared" ref="K212:K275" si="91">IF(B212=1,$K$9,$C$5*A212/J212)</f>
        <v>200045375.3365832</v>
      </c>
      <c r="L212" s="41">
        <f t="shared" si="84"/>
        <v>0.66727954622722097</v>
      </c>
      <c r="M212" s="3">
        <f t="shared" si="85"/>
        <v>148995268.37839594</v>
      </c>
      <c r="N212" s="41">
        <f t="shared" si="86"/>
        <v>0.66727954622722097</v>
      </c>
      <c r="O212" s="3">
        <f t="shared" si="87"/>
        <v>3927801419116496</v>
      </c>
      <c r="P212" s="3">
        <f t="shared" ref="P212:P275" si="92">IF(B212=0,O212,IF(B212=2,$D$8-O212,IF(B212=1,P211+$K$9*(C212-C211)*$C$14)))</f>
        <v>2.9531256211256736E+17</v>
      </c>
      <c r="Q212">
        <f t="shared" ref="Q212:Q275" si="93">P212/$C$15</f>
        <v>31.214662986096943</v>
      </c>
      <c r="R212"/>
    </row>
    <row r="213" spans="1:18">
      <c r="A213">
        <f t="shared" si="88"/>
        <v>0</v>
      </c>
      <c r="B213">
        <f t="shared" si="89"/>
        <v>1</v>
      </c>
      <c r="C213">
        <f t="shared" si="77"/>
        <v>47.335586727585039</v>
      </c>
      <c r="D213" s="4">
        <f t="shared" si="78"/>
        <v>0</v>
      </c>
      <c r="E213" s="21">
        <f t="shared" si="79"/>
        <v>321578723461.85114</v>
      </c>
      <c r="F213" s="21">
        <f t="shared" si="82"/>
        <v>0</v>
      </c>
      <c r="G213" s="21">
        <f t="shared" si="90"/>
        <v>1380261.977896204</v>
      </c>
      <c r="H213" s="43">
        <f t="shared" si="80"/>
        <v>0.99018022104344083</v>
      </c>
      <c r="I213" s="21">
        <f t="shared" si="81"/>
        <v>325895622.69038785</v>
      </c>
      <c r="J213" s="3">
        <f t="shared" si="83"/>
        <v>1.3426290479811602</v>
      </c>
      <c r="K213" s="3">
        <f t="shared" si="91"/>
        <v>200045375.3365832</v>
      </c>
      <c r="L213" s="41">
        <f t="shared" si="84"/>
        <v>0.66727954622722097</v>
      </c>
      <c r="M213" s="3">
        <f t="shared" si="85"/>
        <v>148995268.37839594</v>
      </c>
      <c r="N213" s="41">
        <f t="shared" si="86"/>
        <v>0.66727954622722097</v>
      </c>
      <c r="O213" s="3">
        <f t="shared" si="87"/>
        <v>3927801419116496</v>
      </c>
      <c r="P213" s="3">
        <f t="shared" si="92"/>
        <v>2.9689080009674778E+17</v>
      </c>
      <c r="Q213">
        <f t="shared" si="93"/>
        <v>31.381483409974713</v>
      </c>
      <c r="R213"/>
    </row>
    <row r="214" spans="1:18">
      <c r="A214">
        <f t="shared" si="88"/>
        <v>0</v>
      </c>
      <c r="B214">
        <f t="shared" si="89"/>
        <v>1</v>
      </c>
      <c r="C214">
        <f t="shared" si="77"/>
        <v>47.585586727585039</v>
      </c>
      <c r="D214" s="4">
        <f t="shared" si="78"/>
        <v>0</v>
      </c>
      <c r="E214" s="21">
        <f t="shared" si="79"/>
        <v>321575962937.89532</v>
      </c>
      <c r="F214" s="21">
        <f t="shared" si="82"/>
        <v>0</v>
      </c>
      <c r="G214" s="21">
        <f t="shared" si="90"/>
        <v>1380261.977896204</v>
      </c>
      <c r="H214" s="43">
        <f t="shared" si="80"/>
        <v>0.99013455948514584</v>
      </c>
      <c r="I214" s="21">
        <f t="shared" si="81"/>
        <v>327275884.66828406</v>
      </c>
      <c r="J214" s="3">
        <f t="shared" si="83"/>
        <v>1.3426290479811602</v>
      </c>
      <c r="K214" s="3">
        <f t="shared" si="91"/>
        <v>200045375.3365832</v>
      </c>
      <c r="L214" s="41">
        <f t="shared" si="84"/>
        <v>0.66727954622722097</v>
      </c>
      <c r="M214" s="3">
        <f t="shared" si="85"/>
        <v>148995268.37839594</v>
      </c>
      <c r="N214" s="41">
        <f t="shared" si="86"/>
        <v>0.66727954622722097</v>
      </c>
      <c r="O214" s="3">
        <f t="shared" si="87"/>
        <v>3927801419116496</v>
      </c>
      <c r="P214" s="3">
        <f t="shared" si="92"/>
        <v>2.9846903808092819E+17</v>
      </c>
      <c r="Q214">
        <f t="shared" si="93"/>
        <v>31.548303833852483</v>
      </c>
      <c r="R214"/>
    </row>
    <row r="215" spans="1:18">
      <c r="A215">
        <f t="shared" si="88"/>
        <v>0</v>
      </c>
      <c r="B215">
        <f t="shared" si="89"/>
        <v>1</v>
      </c>
      <c r="C215">
        <f t="shared" si="77"/>
        <v>47.835586727585039</v>
      </c>
      <c r="D215" s="4">
        <f t="shared" si="78"/>
        <v>0</v>
      </c>
      <c r="E215" s="21">
        <f t="shared" si="79"/>
        <v>321573202413.93951</v>
      </c>
      <c r="F215" s="21">
        <f t="shared" si="82"/>
        <v>0</v>
      </c>
      <c r="G215" s="21">
        <f t="shared" si="90"/>
        <v>1380261.977896204</v>
      </c>
      <c r="H215" s="43">
        <f t="shared" si="80"/>
        <v>0.99008889792685084</v>
      </c>
      <c r="I215" s="21">
        <f t="shared" si="81"/>
        <v>328656146.64618027</v>
      </c>
      <c r="J215" s="3">
        <f t="shared" si="83"/>
        <v>1.3426290479811602</v>
      </c>
      <c r="K215" s="3">
        <f t="shared" si="91"/>
        <v>200045375.3365832</v>
      </c>
      <c r="L215" s="41">
        <f t="shared" si="84"/>
        <v>0.66727954622722097</v>
      </c>
      <c r="M215" s="3">
        <f t="shared" si="85"/>
        <v>148995268.37839594</v>
      </c>
      <c r="N215" s="41">
        <f t="shared" si="86"/>
        <v>0.66727954622722097</v>
      </c>
      <c r="O215" s="3">
        <f t="shared" si="87"/>
        <v>3927801419116496</v>
      </c>
      <c r="P215" s="3">
        <f t="shared" si="92"/>
        <v>3.0004727606510861E+17</v>
      </c>
      <c r="Q215">
        <f t="shared" si="93"/>
        <v>31.715124257730253</v>
      </c>
      <c r="R215"/>
    </row>
    <row r="216" spans="1:18">
      <c r="A216">
        <f t="shared" si="88"/>
        <v>0</v>
      </c>
      <c r="B216">
        <f t="shared" si="89"/>
        <v>1</v>
      </c>
      <c r="C216">
        <f t="shared" si="77"/>
        <v>48.085586727585039</v>
      </c>
      <c r="D216" s="4">
        <f t="shared" si="78"/>
        <v>0</v>
      </c>
      <c r="E216" s="21">
        <f t="shared" si="79"/>
        <v>321570441889.9837</v>
      </c>
      <c r="F216" s="21">
        <f t="shared" si="82"/>
        <v>0</v>
      </c>
      <c r="G216" s="21">
        <f t="shared" si="90"/>
        <v>1380261.977896204</v>
      </c>
      <c r="H216" s="43">
        <f t="shared" si="80"/>
        <v>0.99004323636855585</v>
      </c>
      <c r="I216" s="21">
        <f t="shared" si="81"/>
        <v>330036408.62407649</v>
      </c>
      <c r="J216" s="3">
        <f t="shared" si="83"/>
        <v>1.3426290479811602</v>
      </c>
      <c r="K216" s="3">
        <f t="shared" si="91"/>
        <v>200045375.3365832</v>
      </c>
      <c r="L216" s="41">
        <f t="shared" si="84"/>
        <v>0.66727954622722097</v>
      </c>
      <c r="M216" s="3">
        <f t="shared" si="85"/>
        <v>148995268.37839594</v>
      </c>
      <c r="N216" s="41">
        <f t="shared" si="86"/>
        <v>0.66727954622722097</v>
      </c>
      <c r="O216" s="3">
        <f t="shared" si="87"/>
        <v>3927801419116496</v>
      </c>
      <c r="P216" s="3">
        <f t="shared" si="92"/>
        <v>3.0162551404928902E+17</v>
      </c>
      <c r="Q216">
        <f t="shared" si="93"/>
        <v>31.881944681608022</v>
      </c>
      <c r="R216"/>
    </row>
    <row r="217" spans="1:18">
      <c r="A217">
        <f t="shared" si="88"/>
        <v>0</v>
      </c>
      <c r="B217">
        <f t="shared" si="89"/>
        <v>1</v>
      </c>
      <c r="C217">
        <f t="shared" ref="C217:C280" si="94">C216+$D$11</f>
        <v>48.335586727585039</v>
      </c>
      <c r="D217" s="4">
        <f t="shared" ref="D217:D280" si="95">$C$16/$C$5*ASINH($C$5*A217*$C$14/$C$16)/$C$14</f>
        <v>0</v>
      </c>
      <c r="E217" s="21">
        <f t="shared" ref="E217:E280" si="96">E216-G216-$C$12</f>
        <v>321567681366.02789</v>
      </c>
      <c r="F217" s="21">
        <f t="shared" si="82"/>
        <v>0</v>
      </c>
      <c r="G217" s="21">
        <f t="shared" si="90"/>
        <v>1380261.977896204</v>
      </c>
      <c r="H217" s="43">
        <f t="shared" ref="H217:H280" si="97">1-(($E$18-E217)/$C$4)</f>
        <v>0.98999757481026085</v>
      </c>
      <c r="I217" s="21">
        <f t="shared" ref="I217:I280" si="98">I216+G217</f>
        <v>331416670.6019727</v>
      </c>
      <c r="J217" s="3">
        <f t="shared" si="83"/>
        <v>1.3426290479811602</v>
      </c>
      <c r="K217" s="3">
        <f t="shared" si="91"/>
        <v>200045375.3365832</v>
      </c>
      <c r="L217" s="41">
        <f t="shared" si="84"/>
        <v>0.66727954622722097</v>
      </c>
      <c r="M217" s="3">
        <f t="shared" si="85"/>
        <v>148995268.37839594</v>
      </c>
      <c r="N217" s="41">
        <f t="shared" si="86"/>
        <v>0.66727954622722097</v>
      </c>
      <c r="O217" s="3">
        <f t="shared" si="87"/>
        <v>3927801419116496</v>
      </c>
      <c r="P217" s="3">
        <f t="shared" si="92"/>
        <v>3.0320375203346944E+17</v>
      </c>
      <c r="Q217">
        <f t="shared" si="93"/>
        <v>32.048765105485792</v>
      </c>
      <c r="R217"/>
    </row>
    <row r="218" spans="1:18">
      <c r="A218">
        <f t="shared" si="88"/>
        <v>0</v>
      </c>
      <c r="B218">
        <f t="shared" si="89"/>
        <v>1</v>
      </c>
      <c r="C218">
        <f t="shared" si="94"/>
        <v>48.585586727585039</v>
      </c>
      <c r="D218" s="4">
        <f t="shared" si="95"/>
        <v>0</v>
      </c>
      <c r="E218" s="21">
        <f t="shared" si="96"/>
        <v>321564920842.07208</v>
      </c>
      <c r="F218" s="21">
        <f t="shared" si="82"/>
        <v>0</v>
      </c>
      <c r="G218" s="21">
        <f t="shared" si="90"/>
        <v>1380261.977896204</v>
      </c>
      <c r="H218" s="43">
        <f t="shared" si="97"/>
        <v>0.98995191325196574</v>
      </c>
      <c r="I218" s="21">
        <f t="shared" si="98"/>
        <v>332796932.57986891</v>
      </c>
      <c r="J218" s="3">
        <f t="shared" si="83"/>
        <v>1.3426290479811602</v>
      </c>
      <c r="K218" s="3">
        <f t="shared" si="91"/>
        <v>200045375.3365832</v>
      </c>
      <c r="L218" s="41">
        <f t="shared" si="84"/>
        <v>0.66727954622722097</v>
      </c>
      <c r="M218" s="3">
        <f t="shared" si="85"/>
        <v>148995268.37839594</v>
      </c>
      <c r="N218" s="41">
        <f t="shared" si="86"/>
        <v>0.66727954622722097</v>
      </c>
      <c r="O218" s="3">
        <f t="shared" si="87"/>
        <v>3927801419116496</v>
      </c>
      <c r="P218" s="3">
        <f t="shared" si="92"/>
        <v>3.0478199001764986E+17</v>
      </c>
      <c r="Q218">
        <f t="shared" si="93"/>
        <v>32.215585529363565</v>
      </c>
      <c r="R218"/>
    </row>
    <row r="219" spans="1:18">
      <c r="A219">
        <f t="shared" si="88"/>
        <v>0</v>
      </c>
      <c r="B219">
        <f t="shared" si="89"/>
        <v>1</v>
      </c>
      <c r="C219">
        <f t="shared" si="94"/>
        <v>48.835586727585039</v>
      </c>
      <c r="D219" s="4">
        <f t="shared" si="95"/>
        <v>0</v>
      </c>
      <c r="E219" s="21">
        <f t="shared" si="96"/>
        <v>321562160318.11627</v>
      </c>
      <c r="F219" s="21">
        <f t="shared" si="82"/>
        <v>0</v>
      </c>
      <c r="G219" s="21">
        <f t="shared" si="90"/>
        <v>1380261.977896204</v>
      </c>
      <c r="H219" s="43">
        <f t="shared" si="97"/>
        <v>0.98990625169367075</v>
      </c>
      <c r="I219" s="21">
        <f t="shared" si="98"/>
        <v>334177194.55776513</v>
      </c>
      <c r="J219" s="3">
        <f t="shared" si="83"/>
        <v>1.3426290479811602</v>
      </c>
      <c r="K219" s="3">
        <f t="shared" si="91"/>
        <v>200045375.3365832</v>
      </c>
      <c r="L219" s="41">
        <f t="shared" si="84"/>
        <v>0.66727954622722097</v>
      </c>
      <c r="M219" s="3">
        <f t="shared" si="85"/>
        <v>148995268.37839594</v>
      </c>
      <c r="N219" s="41">
        <f t="shared" si="86"/>
        <v>0.66727954622722097</v>
      </c>
      <c r="O219" s="3">
        <f t="shared" si="87"/>
        <v>3927801419116496</v>
      </c>
      <c r="P219" s="3">
        <f t="shared" si="92"/>
        <v>3.0636022800183027E+17</v>
      </c>
      <c r="Q219">
        <f t="shared" si="93"/>
        <v>32.382405953241332</v>
      </c>
      <c r="R219"/>
    </row>
    <row r="220" spans="1:18">
      <c r="A220">
        <f t="shared" si="88"/>
        <v>0</v>
      </c>
      <c r="B220">
        <f t="shared" si="89"/>
        <v>1</v>
      </c>
      <c r="C220">
        <f t="shared" si="94"/>
        <v>49.085586727585039</v>
      </c>
      <c r="D220" s="4">
        <f t="shared" si="95"/>
        <v>0</v>
      </c>
      <c r="E220" s="21">
        <f t="shared" si="96"/>
        <v>321559399794.16046</v>
      </c>
      <c r="F220" s="21">
        <f t="shared" si="82"/>
        <v>0</v>
      </c>
      <c r="G220" s="21">
        <f t="shared" si="90"/>
        <v>1380261.977896204</v>
      </c>
      <c r="H220" s="43">
        <f t="shared" si="97"/>
        <v>0.98986059013537575</v>
      </c>
      <c r="I220" s="21">
        <f t="shared" si="98"/>
        <v>335557456.53566134</v>
      </c>
      <c r="J220" s="3">
        <f t="shared" si="83"/>
        <v>1.3426290479811602</v>
      </c>
      <c r="K220" s="3">
        <f t="shared" si="91"/>
        <v>200045375.3365832</v>
      </c>
      <c r="L220" s="41">
        <f t="shared" si="84"/>
        <v>0.66727954622722097</v>
      </c>
      <c r="M220" s="3">
        <f t="shared" si="85"/>
        <v>148995268.37839594</v>
      </c>
      <c r="N220" s="41">
        <f t="shared" si="86"/>
        <v>0.66727954622722097</v>
      </c>
      <c r="O220" s="3">
        <f t="shared" si="87"/>
        <v>3927801419116496</v>
      </c>
      <c r="P220" s="3">
        <f t="shared" si="92"/>
        <v>3.0793846598601069E+17</v>
      </c>
      <c r="Q220">
        <f t="shared" si="93"/>
        <v>32.549226377119105</v>
      </c>
      <c r="R220"/>
    </row>
    <row r="221" spans="1:18">
      <c r="A221">
        <f t="shared" si="88"/>
        <v>0</v>
      </c>
      <c r="B221">
        <f t="shared" si="89"/>
        <v>1</v>
      </c>
      <c r="C221">
        <f t="shared" si="94"/>
        <v>49.335586727585039</v>
      </c>
      <c r="D221" s="4">
        <f t="shared" si="95"/>
        <v>0</v>
      </c>
      <c r="E221" s="21">
        <f t="shared" si="96"/>
        <v>321556639270.20465</v>
      </c>
      <c r="F221" s="21">
        <f t="shared" si="82"/>
        <v>0</v>
      </c>
      <c r="G221" s="21">
        <f t="shared" si="90"/>
        <v>1380261.977896204</v>
      </c>
      <c r="H221" s="43">
        <f t="shared" si="97"/>
        <v>0.98981492857708075</v>
      </c>
      <c r="I221" s="21">
        <f t="shared" si="98"/>
        <v>336937718.51355755</v>
      </c>
      <c r="J221" s="3">
        <f t="shared" si="83"/>
        <v>1.3426290479811602</v>
      </c>
      <c r="K221" s="3">
        <f t="shared" si="91"/>
        <v>200045375.3365832</v>
      </c>
      <c r="L221" s="41">
        <f t="shared" si="84"/>
        <v>0.66727954622722097</v>
      </c>
      <c r="M221" s="3">
        <f t="shared" si="85"/>
        <v>148995268.37839594</v>
      </c>
      <c r="N221" s="41">
        <f t="shared" si="86"/>
        <v>0.66727954622722097</v>
      </c>
      <c r="O221" s="3">
        <f t="shared" si="87"/>
        <v>3927801419116496</v>
      </c>
      <c r="P221" s="3">
        <f t="shared" si="92"/>
        <v>3.095167039701911E+17</v>
      </c>
      <c r="Q221">
        <f t="shared" si="93"/>
        <v>32.716046800996871</v>
      </c>
      <c r="R221"/>
    </row>
    <row r="222" spans="1:18">
      <c r="A222">
        <f t="shared" si="88"/>
        <v>0</v>
      </c>
      <c r="B222">
        <f t="shared" si="89"/>
        <v>1</v>
      </c>
      <c r="C222">
        <f t="shared" si="94"/>
        <v>49.585586727585039</v>
      </c>
      <c r="D222" s="4">
        <f t="shared" si="95"/>
        <v>0</v>
      </c>
      <c r="E222" s="21">
        <f t="shared" si="96"/>
        <v>321553878746.24884</v>
      </c>
      <c r="F222" s="21">
        <f t="shared" si="82"/>
        <v>0</v>
      </c>
      <c r="G222" s="21">
        <f t="shared" si="90"/>
        <v>1380261.977896204</v>
      </c>
      <c r="H222" s="43">
        <f t="shared" si="97"/>
        <v>0.98976926701878576</v>
      </c>
      <c r="I222" s="21">
        <f t="shared" si="98"/>
        <v>338317980.49145377</v>
      </c>
      <c r="J222" s="3">
        <f t="shared" si="83"/>
        <v>1.3426290479811602</v>
      </c>
      <c r="K222" s="3">
        <f t="shared" si="91"/>
        <v>200045375.3365832</v>
      </c>
      <c r="L222" s="41">
        <f t="shared" si="84"/>
        <v>0.66727954622722097</v>
      </c>
      <c r="M222" s="3">
        <f t="shared" si="85"/>
        <v>148995268.37839594</v>
      </c>
      <c r="N222" s="41">
        <f t="shared" si="86"/>
        <v>0.66727954622722097</v>
      </c>
      <c r="O222" s="3">
        <f t="shared" si="87"/>
        <v>3927801419116496</v>
      </c>
      <c r="P222" s="3">
        <f t="shared" si="92"/>
        <v>3.1109494195437152E+17</v>
      </c>
      <c r="Q222">
        <f t="shared" si="93"/>
        <v>32.882867224874644</v>
      </c>
      <c r="R222"/>
    </row>
    <row r="223" spans="1:18">
      <c r="A223">
        <f t="shared" si="88"/>
        <v>0</v>
      </c>
      <c r="B223">
        <f t="shared" si="89"/>
        <v>1</v>
      </c>
      <c r="C223">
        <f t="shared" si="94"/>
        <v>49.835586727585039</v>
      </c>
      <c r="D223" s="4">
        <f t="shared" si="95"/>
        <v>0</v>
      </c>
      <c r="E223" s="21">
        <f t="shared" si="96"/>
        <v>321551118222.29303</v>
      </c>
      <c r="F223" s="21">
        <f t="shared" si="82"/>
        <v>0</v>
      </c>
      <c r="G223" s="21">
        <f t="shared" si="90"/>
        <v>1380261.977896204</v>
      </c>
      <c r="H223" s="43">
        <f t="shared" si="97"/>
        <v>0.98972360546049076</v>
      </c>
      <c r="I223" s="21">
        <f t="shared" si="98"/>
        <v>339698242.46934998</v>
      </c>
      <c r="J223" s="3">
        <f t="shared" si="83"/>
        <v>1.3426290479811602</v>
      </c>
      <c r="K223" s="3">
        <f t="shared" si="91"/>
        <v>200045375.3365832</v>
      </c>
      <c r="L223" s="41">
        <f t="shared" si="84"/>
        <v>0.66727954622722097</v>
      </c>
      <c r="M223" s="3">
        <f t="shared" si="85"/>
        <v>148995268.37839594</v>
      </c>
      <c r="N223" s="41">
        <f t="shared" si="86"/>
        <v>0.66727954622722097</v>
      </c>
      <c r="O223" s="3">
        <f t="shared" si="87"/>
        <v>3927801419116496</v>
      </c>
      <c r="P223" s="3">
        <f t="shared" si="92"/>
        <v>3.1267317993855194E+17</v>
      </c>
      <c r="Q223">
        <f t="shared" si="93"/>
        <v>33.04968764875241</v>
      </c>
      <c r="R223"/>
    </row>
    <row r="224" spans="1:18">
      <c r="A224">
        <f t="shared" si="88"/>
        <v>0</v>
      </c>
      <c r="B224">
        <f t="shared" si="89"/>
        <v>1</v>
      </c>
      <c r="C224">
        <f t="shared" si="94"/>
        <v>50.085586727585039</v>
      </c>
      <c r="D224" s="4">
        <f t="shared" si="95"/>
        <v>0</v>
      </c>
      <c r="E224" s="21">
        <f t="shared" si="96"/>
        <v>321548357698.33722</v>
      </c>
      <c r="F224" s="21">
        <f t="shared" si="82"/>
        <v>0</v>
      </c>
      <c r="G224" s="21">
        <f t="shared" si="90"/>
        <v>1380261.977896204</v>
      </c>
      <c r="H224" s="43">
        <f t="shared" si="97"/>
        <v>0.98967794390219566</v>
      </c>
      <c r="I224" s="21">
        <f t="shared" si="98"/>
        <v>341078504.44724619</v>
      </c>
      <c r="J224" s="3">
        <f t="shared" si="83"/>
        <v>1.3426290479811602</v>
      </c>
      <c r="K224" s="3">
        <f t="shared" si="91"/>
        <v>200045375.3365832</v>
      </c>
      <c r="L224" s="41">
        <f t="shared" si="84"/>
        <v>0.66727954622722097</v>
      </c>
      <c r="M224" s="3">
        <f t="shared" si="85"/>
        <v>148995268.37839594</v>
      </c>
      <c r="N224" s="41">
        <f t="shared" si="86"/>
        <v>0.66727954622722097</v>
      </c>
      <c r="O224" s="3">
        <f t="shared" si="87"/>
        <v>3927801419116496</v>
      </c>
      <c r="P224" s="3">
        <f t="shared" si="92"/>
        <v>3.1425141792273235E+17</v>
      </c>
      <c r="Q224">
        <f t="shared" si="93"/>
        <v>33.216508072630184</v>
      </c>
      <c r="R224"/>
    </row>
    <row r="225" spans="1:18">
      <c r="A225">
        <f t="shared" si="88"/>
        <v>0</v>
      </c>
      <c r="B225">
        <f t="shared" si="89"/>
        <v>1</v>
      </c>
      <c r="C225">
        <f t="shared" si="94"/>
        <v>50.335586727585039</v>
      </c>
      <c r="D225" s="4">
        <f t="shared" si="95"/>
        <v>0</v>
      </c>
      <c r="E225" s="21">
        <f t="shared" si="96"/>
        <v>321545597174.38141</v>
      </c>
      <c r="F225" s="21">
        <f t="shared" si="82"/>
        <v>0</v>
      </c>
      <c r="G225" s="21">
        <f t="shared" si="90"/>
        <v>1380261.977896204</v>
      </c>
      <c r="H225" s="43">
        <f t="shared" si="97"/>
        <v>0.98963228234390066</v>
      </c>
      <c r="I225" s="21">
        <f t="shared" si="98"/>
        <v>342458766.42514241</v>
      </c>
      <c r="J225" s="3">
        <f t="shared" si="83"/>
        <v>1.3426290479811602</v>
      </c>
      <c r="K225" s="3">
        <f t="shared" si="91"/>
        <v>200045375.3365832</v>
      </c>
      <c r="L225" s="41">
        <f t="shared" si="84"/>
        <v>0.66727954622722097</v>
      </c>
      <c r="M225" s="3">
        <f t="shared" si="85"/>
        <v>148995268.37839594</v>
      </c>
      <c r="N225" s="41">
        <f t="shared" si="86"/>
        <v>0.66727954622722097</v>
      </c>
      <c r="O225" s="3">
        <f t="shared" si="87"/>
        <v>3927801419116496</v>
      </c>
      <c r="P225" s="3">
        <f t="shared" si="92"/>
        <v>3.1582965590691277E+17</v>
      </c>
      <c r="Q225">
        <f t="shared" si="93"/>
        <v>33.38332849650795</v>
      </c>
      <c r="R225"/>
    </row>
    <row r="226" spans="1:18">
      <c r="A226">
        <f t="shared" si="88"/>
        <v>0</v>
      </c>
      <c r="B226">
        <f t="shared" si="89"/>
        <v>1</v>
      </c>
      <c r="C226">
        <f t="shared" si="94"/>
        <v>50.585586727585039</v>
      </c>
      <c r="D226" s="4">
        <f t="shared" si="95"/>
        <v>0</v>
      </c>
      <c r="E226" s="21">
        <f t="shared" si="96"/>
        <v>321542836650.4256</v>
      </c>
      <c r="F226" s="21">
        <f t="shared" si="82"/>
        <v>0</v>
      </c>
      <c r="G226" s="21">
        <f t="shared" si="90"/>
        <v>1380261.977896204</v>
      </c>
      <c r="H226" s="43">
        <f t="shared" si="97"/>
        <v>0.98958662078560566</v>
      </c>
      <c r="I226" s="21">
        <f t="shared" si="98"/>
        <v>343839028.40303862</v>
      </c>
      <c r="J226" s="3">
        <f t="shared" si="83"/>
        <v>1.3426290479811602</v>
      </c>
      <c r="K226" s="3">
        <f t="shared" si="91"/>
        <v>200045375.3365832</v>
      </c>
      <c r="L226" s="41">
        <f t="shared" si="84"/>
        <v>0.66727954622722097</v>
      </c>
      <c r="M226" s="3">
        <f t="shared" si="85"/>
        <v>148995268.37839594</v>
      </c>
      <c r="N226" s="41">
        <f t="shared" si="86"/>
        <v>0.66727954622722097</v>
      </c>
      <c r="O226" s="3">
        <f t="shared" si="87"/>
        <v>3927801419116496</v>
      </c>
      <c r="P226" s="3">
        <f t="shared" si="92"/>
        <v>3.1740789389109318E+17</v>
      </c>
      <c r="Q226">
        <f t="shared" si="93"/>
        <v>33.550148920385723</v>
      </c>
      <c r="R226"/>
    </row>
    <row r="227" spans="1:18">
      <c r="A227">
        <f t="shared" si="88"/>
        <v>0</v>
      </c>
      <c r="B227">
        <f t="shared" si="89"/>
        <v>1</v>
      </c>
      <c r="C227">
        <f t="shared" si="94"/>
        <v>50.835586727585039</v>
      </c>
      <c r="D227" s="4">
        <f t="shared" si="95"/>
        <v>0</v>
      </c>
      <c r="E227" s="21">
        <f t="shared" si="96"/>
        <v>321540076126.46979</v>
      </c>
      <c r="F227" s="21">
        <f t="shared" si="82"/>
        <v>0</v>
      </c>
      <c r="G227" s="21">
        <f t="shared" si="90"/>
        <v>1380261.977896204</v>
      </c>
      <c r="H227" s="43">
        <f t="shared" si="97"/>
        <v>0.98954095922731067</v>
      </c>
      <c r="I227" s="21">
        <f t="shared" si="98"/>
        <v>345219290.38093483</v>
      </c>
      <c r="J227" s="3">
        <f t="shared" si="83"/>
        <v>1.3426290479811602</v>
      </c>
      <c r="K227" s="3">
        <f t="shared" si="91"/>
        <v>200045375.3365832</v>
      </c>
      <c r="L227" s="41">
        <f t="shared" si="84"/>
        <v>0.66727954622722097</v>
      </c>
      <c r="M227" s="3">
        <f t="shared" si="85"/>
        <v>148995268.37839594</v>
      </c>
      <c r="N227" s="41">
        <f t="shared" si="86"/>
        <v>0.66727954622722097</v>
      </c>
      <c r="O227" s="3">
        <f t="shared" si="87"/>
        <v>3927801419116496</v>
      </c>
      <c r="P227" s="3">
        <f t="shared" si="92"/>
        <v>3.189861318752736E+17</v>
      </c>
      <c r="Q227">
        <f t="shared" si="93"/>
        <v>33.716969344263489</v>
      </c>
      <c r="R227"/>
    </row>
    <row r="228" spans="1:18">
      <c r="A228">
        <f t="shared" si="88"/>
        <v>0</v>
      </c>
      <c r="B228">
        <f t="shared" si="89"/>
        <v>1</v>
      </c>
      <c r="C228">
        <f t="shared" si="94"/>
        <v>51.085586727585039</v>
      </c>
      <c r="D228" s="4">
        <f t="shared" si="95"/>
        <v>0</v>
      </c>
      <c r="E228" s="21">
        <f t="shared" si="96"/>
        <v>321537315602.51398</v>
      </c>
      <c r="F228" s="21">
        <f t="shared" si="82"/>
        <v>0</v>
      </c>
      <c r="G228" s="21">
        <f t="shared" si="90"/>
        <v>1380261.977896204</v>
      </c>
      <c r="H228" s="43">
        <f t="shared" si="97"/>
        <v>0.98949529766901567</v>
      </c>
      <c r="I228" s="21">
        <f t="shared" si="98"/>
        <v>346599552.35883105</v>
      </c>
      <c r="J228" s="3">
        <f t="shared" si="83"/>
        <v>1.3426290479811602</v>
      </c>
      <c r="K228" s="3">
        <f t="shared" si="91"/>
        <v>200045375.3365832</v>
      </c>
      <c r="L228" s="41">
        <f t="shared" si="84"/>
        <v>0.66727954622722097</v>
      </c>
      <c r="M228" s="3">
        <f t="shared" si="85"/>
        <v>148995268.37839594</v>
      </c>
      <c r="N228" s="41">
        <f t="shared" si="86"/>
        <v>0.66727954622722097</v>
      </c>
      <c r="O228" s="3">
        <f t="shared" si="87"/>
        <v>3927801419116496</v>
      </c>
      <c r="P228" s="3">
        <f t="shared" si="92"/>
        <v>3.2056436985945402E+17</v>
      </c>
      <c r="Q228">
        <f t="shared" si="93"/>
        <v>33.883789768141263</v>
      </c>
      <c r="R228"/>
    </row>
    <row r="229" spans="1:18">
      <c r="A229">
        <f t="shared" si="88"/>
        <v>0</v>
      </c>
      <c r="B229">
        <f t="shared" si="89"/>
        <v>1</v>
      </c>
      <c r="C229">
        <f t="shared" si="94"/>
        <v>51.335586727585039</v>
      </c>
      <c r="D229" s="4">
        <f t="shared" si="95"/>
        <v>0</v>
      </c>
      <c r="E229" s="21">
        <f t="shared" si="96"/>
        <v>321534555078.55817</v>
      </c>
      <c r="F229" s="21">
        <f t="shared" si="82"/>
        <v>0</v>
      </c>
      <c r="G229" s="21">
        <f t="shared" si="90"/>
        <v>1380261.977896204</v>
      </c>
      <c r="H229" s="43">
        <f t="shared" si="97"/>
        <v>0.98944963611072068</v>
      </c>
      <c r="I229" s="21">
        <f t="shared" si="98"/>
        <v>347979814.33672726</v>
      </c>
      <c r="J229" s="3">
        <f t="shared" si="83"/>
        <v>1.3426290479811602</v>
      </c>
      <c r="K229" s="3">
        <f t="shared" si="91"/>
        <v>200045375.3365832</v>
      </c>
      <c r="L229" s="41">
        <f t="shared" si="84"/>
        <v>0.66727954622722097</v>
      </c>
      <c r="M229" s="3">
        <f t="shared" si="85"/>
        <v>148995268.37839594</v>
      </c>
      <c r="N229" s="41">
        <f t="shared" si="86"/>
        <v>0.66727954622722097</v>
      </c>
      <c r="O229" s="3">
        <f t="shared" si="87"/>
        <v>3927801419116496</v>
      </c>
      <c r="P229" s="3">
        <f t="shared" si="92"/>
        <v>3.2214260784363443E+17</v>
      </c>
      <c r="Q229">
        <f t="shared" si="93"/>
        <v>34.050610192019029</v>
      </c>
      <c r="R229"/>
    </row>
    <row r="230" spans="1:18">
      <c r="A230">
        <f t="shared" si="88"/>
        <v>0</v>
      </c>
      <c r="B230">
        <f t="shared" si="89"/>
        <v>1</v>
      </c>
      <c r="C230">
        <f t="shared" si="94"/>
        <v>51.585586727585039</v>
      </c>
      <c r="D230" s="4">
        <f t="shared" si="95"/>
        <v>0</v>
      </c>
      <c r="E230" s="21">
        <f t="shared" si="96"/>
        <v>321531794554.60236</v>
      </c>
      <c r="F230" s="21">
        <f t="shared" si="82"/>
        <v>0</v>
      </c>
      <c r="G230" s="21">
        <f t="shared" si="90"/>
        <v>1380261.977896204</v>
      </c>
      <c r="H230" s="43">
        <f t="shared" si="97"/>
        <v>0.98940397455242557</v>
      </c>
      <c r="I230" s="21">
        <f t="shared" si="98"/>
        <v>349360076.31462348</v>
      </c>
      <c r="J230" s="3">
        <f t="shared" si="83"/>
        <v>1.3426290479811602</v>
      </c>
      <c r="K230" s="3">
        <f t="shared" si="91"/>
        <v>200045375.3365832</v>
      </c>
      <c r="L230" s="41">
        <f t="shared" si="84"/>
        <v>0.66727954622722097</v>
      </c>
      <c r="M230" s="3">
        <f t="shared" si="85"/>
        <v>148995268.37839594</v>
      </c>
      <c r="N230" s="41">
        <f t="shared" si="86"/>
        <v>0.66727954622722097</v>
      </c>
      <c r="O230" s="3">
        <f t="shared" si="87"/>
        <v>3927801419116496</v>
      </c>
      <c r="P230" s="3">
        <f t="shared" si="92"/>
        <v>3.2372084582781485E+17</v>
      </c>
      <c r="Q230">
        <f t="shared" si="93"/>
        <v>34.217430615896802</v>
      </c>
      <c r="R230"/>
    </row>
    <row r="231" spans="1:18">
      <c r="A231">
        <f t="shared" si="88"/>
        <v>0</v>
      </c>
      <c r="B231">
        <f t="shared" si="89"/>
        <v>1</v>
      </c>
      <c r="C231">
        <f t="shared" si="94"/>
        <v>51.835586727585039</v>
      </c>
      <c r="D231" s="4">
        <f t="shared" si="95"/>
        <v>0</v>
      </c>
      <c r="E231" s="21">
        <f t="shared" si="96"/>
        <v>321529034030.64655</v>
      </c>
      <c r="F231" s="21">
        <f t="shared" si="82"/>
        <v>0</v>
      </c>
      <c r="G231" s="21">
        <f t="shared" si="90"/>
        <v>1380261.977896204</v>
      </c>
      <c r="H231" s="43">
        <f t="shared" si="97"/>
        <v>0.98935831299413057</v>
      </c>
      <c r="I231" s="21">
        <f t="shared" si="98"/>
        <v>350740338.29251969</v>
      </c>
      <c r="J231" s="3">
        <f t="shared" si="83"/>
        <v>1.3426290479811602</v>
      </c>
      <c r="K231" s="3">
        <f t="shared" si="91"/>
        <v>200045375.3365832</v>
      </c>
      <c r="L231" s="41">
        <f t="shared" si="84"/>
        <v>0.66727954622722097</v>
      </c>
      <c r="M231" s="3">
        <f t="shared" si="85"/>
        <v>148995268.37839594</v>
      </c>
      <c r="N231" s="41">
        <f t="shared" si="86"/>
        <v>0.66727954622722097</v>
      </c>
      <c r="O231" s="3">
        <f t="shared" si="87"/>
        <v>3927801419116496</v>
      </c>
      <c r="P231" s="3">
        <f t="shared" si="92"/>
        <v>3.2529908381199526E+17</v>
      </c>
      <c r="Q231">
        <f t="shared" si="93"/>
        <v>34.384251039774568</v>
      </c>
      <c r="R231"/>
    </row>
    <row r="232" spans="1:18">
      <c r="A232">
        <f t="shared" si="88"/>
        <v>0</v>
      </c>
      <c r="B232">
        <f t="shared" si="89"/>
        <v>1</v>
      </c>
      <c r="C232">
        <f t="shared" si="94"/>
        <v>52.085586727585039</v>
      </c>
      <c r="D232" s="4">
        <f t="shared" si="95"/>
        <v>0</v>
      </c>
      <c r="E232" s="21">
        <f t="shared" si="96"/>
        <v>321526273506.69073</v>
      </c>
      <c r="F232" s="21">
        <f t="shared" si="82"/>
        <v>0</v>
      </c>
      <c r="G232" s="21">
        <f t="shared" si="90"/>
        <v>1380261.977896204</v>
      </c>
      <c r="H232" s="43">
        <f t="shared" si="97"/>
        <v>0.98931265143583558</v>
      </c>
      <c r="I232" s="21">
        <f t="shared" si="98"/>
        <v>352120600.2704159</v>
      </c>
      <c r="J232" s="3">
        <f t="shared" si="83"/>
        <v>1.3426290479811602</v>
      </c>
      <c r="K232" s="3">
        <f t="shared" si="91"/>
        <v>200045375.3365832</v>
      </c>
      <c r="L232" s="41">
        <f t="shared" si="84"/>
        <v>0.66727954622722097</v>
      </c>
      <c r="M232" s="3">
        <f t="shared" si="85"/>
        <v>148995268.37839594</v>
      </c>
      <c r="N232" s="41">
        <f t="shared" si="86"/>
        <v>0.66727954622722097</v>
      </c>
      <c r="O232" s="3">
        <f t="shared" si="87"/>
        <v>3927801419116496</v>
      </c>
      <c r="P232" s="3">
        <f t="shared" si="92"/>
        <v>3.2687732179617568E+17</v>
      </c>
      <c r="Q232">
        <f t="shared" si="93"/>
        <v>34.551071463652342</v>
      </c>
      <c r="R232"/>
    </row>
    <row r="233" spans="1:18">
      <c r="A233">
        <f t="shared" si="88"/>
        <v>0</v>
      </c>
      <c r="B233">
        <f t="shared" si="89"/>
        <v>1</v>
      </c>
      <c r="C233">
        <f t="shared" si="94"/>
        <v>52.335586727585039</v>
      </c>
      <c r="D233" s="4">
        <f t="shared" si="95"/>
        <v>0</v>
      </c>
      <c r="E233" s="21">
        <f t="shared" si="96"/>
        <v>321523512982.73492</v>
      </c>
      <c r="F233" s="21">
        <f t="shared" si="82"/>
        <v>0</v>
      </c>
      <c r="G233" s="21">
        <f t="shared" si="90"/>
        <v>1380261.977896204</v>
      </c>
      <c r="H233" s="43">
        <f t="shared" si="97"/>
        <v>0.98926698987754058</v>
      </c>
      <c r="I233" s="21">
        <f t="shared" si="98"/>
        <v>353500862.24831212</v>
      </c>
      <c r="J233" s="3">
        <f t="shared" si="83"/>
        <v>1.3426290479811602</v>
      </c>
      <c r="K233" s="3">
        <f t="shared" si="91"/>
        <v>200045375.3365832</v>
      </c>
      <c r="L233" s="41">
        <f t="shared" si="84"/>
        <v>0.66727954622722097</v>
      </c>
      <c r="M233" s="3">
        <f t="shared" si="85"/>
        <v>148995268.37839594</v>
      </c>
      <c r="N233" s="41">
        <f t="shared" si="86"/>
        <v>0.66727954622722097</v>
      </c>
      <c r="O233" s="3">
        <f t="shared" si="87"/>
        <v>3927801419116496</v>
      </c>
      <c r="P233" s="3">
        <f t="shared" si="92"/>
        <v>3.284555597803561E+17</v>
      </c>
      <c r="Q233">
        <f t="shared" si="93"/>
        <v>34.717891887530108</v>
      </c>
      <c r="R233"/>
    </row>
    <row r="234" spans="1:18">
      <c r="A234">
        <f t="shared" si="88"/>
        <v>0</v>
      </c>
      <c r="B234">
        <f t="shared" si="89"/>
        <v>1</v>
      </c>
      <c r="C234">
        <f t="shared" si="94"/>
        <v>52.585586727585039</v>
      </c>
      <c r="D234" s="4">
        <f t="shared" si="95"/>
        <v>0</v>
      </c>
      <c r="E234" s="21">
        <f t="shared" si="96"/>
        <v>321520752458.77911</v>
      </c>
      <c r="F234" s="21">
        <f t="shared" si="82"/>
        <v>0</v>
      </c>
      <c r="G234" s="21">
        <f t="shared" si="90"/>
        <v>1380261.977896204</v>
      </c>
      <c r="H234" s="43">
        <f t="shared" si="97"/>
        <v>0.98922132831924559</v>
      </c>
      <c r="I234" s="21">
        <f t="shared" si="98"/>
        <v>354881124.22620833</v>
      </c>
      <c r="J234" s="3">
        <f t="shared" si="83"/>
        <v>1.3426290479811602</v>
      </c>
      <c r="K234" s="3">
        <f t="shared" si="91"/>
        <v>200045375.3365832</v>
      </c>
      <c r="L234" s="41">
        <f t="shared" si="84"/>
        <v>0.66727954622722097</v>
      </c>
      <c r="M234" s="3">
        <f t="shared" si="85"/>
        <v>148995268.37839594</v>
      </c>
      <c r="N234" s="41">
        <f t="shared" si="86"/>
        <v>0.66727954622722097</v>
      </c>
      <c r="O234" s="3">
        <f t="shared" si="87"/>
        <v>3927801419116496</v>
      </c>
      <c r="P234" s="3">
        <f t="shared" si="92"/>
        <v>3.3003379776453651E+17</v>
      </c>
      <c r="Q234">
        <f t="shared" si="93"/>
        <v>34.884712311407881</v>
      </c>
      <c r="R234"/>
    </row>
    <row r="235" spans="1:18">
      <c r="A235">
        <f t="shared" si="88"/>
        <v>0</v>
      </c>
      <c r="B235">
        <f t="shared" si="89"/>
        <v>1</v>
      </c>
      <c r="C235">
        <f t="shared" si="94"/>
        <v>52.835586727585039</v>
      </c>
      <c r="D235" s="4">
        <f t="shared" si="95"/>
        <v>0</v>
      </c>
      <c r="E235" s="21">
        <f t="shared" si="96"/>
        <v>321517991934.8233</v>
      </c>
      <c r="F235" s="21">
        <f t="shared" si="82"/>
        <v>0</v>
      </c>
      <c r="G235" s="21">
        <f t="shared" si="90"/>
        <v>1380261.977896204</v>
      </c>
      <c r="H235" s="43">
        <f t="shared" si="97"/>
        <v>0.98917566676095059</v>
      </c>
      <c r="I235" s="21">
        <f t="shared" si="98"/>
        <v>356261386.20410454</v>
      </c>
      <c r="J235" s="3">
        <f t="shared" si="83"/>
        <v>1.3426290479811602</v>
      </c>
      <c r="K235" s="3">
        <f t="shared" si="91"/>
        <v>200045375.3365832</v>
      </c>
      <c r="L235" s="41">
        <f t="shared" si="84"/>
        <v>0.66727954622722097</v>
      </c>
      <c r="M235" s="3">
        <f t="shared" si="85"/>
        <v>148995268.37839594</v>
      </c>
      <c r="N235" s="41">
        <f t="shared" si="86"/>
        <v>0.66727954622722097</v>
      </c>
      <c r="O235" s="3">
        <f t="shared" si="87"/>
        <v>3927801419116496</v>
      </c>
      <c r="P235" s="3">
        <f t="shared" si="92"/>
        <v>3.3161203574871693E+17</v>
      </c>
      <c r="Q235">
        <f t="shared" si="93"/>
        <v>35.051532735285647</v>
      </c>
      <c r="R235"/>
    </row>
    <row r="236" spans="1:18">
      <c r="A236">
        <f t="shared" si="88"/>
        <v>0</v>
      </c>
      <c r="B236">
        <f t="shared" si="89"/>
        <v>1</v>
      </c>
      <c r="C236">
        <f t="shared" si="94"/>
        <v>53.085586727585039</v>
      </c>
      <c r="D236" s="4">
        <f t="shared" si="95"/>
        <v>0</v>
      </c>
      <c r="E236" s="21">
        <f t="shared" si="96"/>
        <v>321515231410.86749</v>
      </c>
      <c r="F236" s="21">
        <f t="shared" si="82"/>
        <v>0</v>
      </c>
      <c r="G236" s="21">
        <f t="shared" si="90"/>
        <v>1380261.977896204</v>
      </c>
      <c r="H236" s="43">
        <f t="shared" si="97"/>
        <v>0.98913000520265548</v>
      </c>
      <c r="I236" s="21">
        <f t="shared" si="98"/>
        <v>357641648.18200076</v>
      </c>
      <c r="J236" s="3">
        <f t="shared" si="83"/>
        <v>1.3426290479811602</v>
      </c>
      <c r="K236" s="3">
        <f t="shared" si="91"/>
        <v>200045375.3365832</v>
      </c>
      <c r="L236" s="41">
        <f t="shared" si="84"/>
        <v>0.66727954622722097</v>
      </c>
      <c r="M236" s="3">
        <f t="shared" si="85"/>
        <v>148995268.37839594</v>
      </c>
      <c r="N236" s="41">
        <f t="shared" si="86"/>
        <v>0.66727954622722097</v>
      </c>
      <c r="O236" s="3">
        <f t="shared" si="87"/>
        <v>3927801419116496</v>
      </c>
      <c r="P236" s="3">
        <f t="shared" si="92"/>
        <v>3.3319027373289734E+17</v>
      </c>
      <c r="Q236">
        <f t="shared" si="93"/>
        <v>35.218353159163421</v>
      </c>
      <c r="R236"/>
    </row>
    <row r="237" spans="1:18">
      <c r="A237">
        <f t="shared" si="88"/>
        <v>0</v>
      </c>
      <c r="B237">
        <f t="shared" si="89"/>
        <v>1</v>
      </c>
      <c r="C237">
        <f t="shared" si="94"/>
        <v>53.335586727585039</v>
      </c>
      <c r="D237" s="4">
        <f t="shared" si="95"/>
        <v>0</v>
      </c>
      <c r="E237" s="21">
        <f t="shared" si="96"/>
        <v>321512470886.91168</v>
      </c>
      <c r="F237" s="21">
        <f t="shared" si="82"/>
        <v>0</v>
      </c>
      <c r="G237" s="21">
        <f t="shared" si="90"/>
        <v>1380261.977896204</v>
      </c>
      <c r="H237" s="43">
        <f t="shared" si="97"/>
        <v>0.98908434364436049</v>
      </c>
      <c r="I237" s="21">
        <f t="shared" si="98"/>
        <v>359021910.15989697</v>
      </c>
      <c r="J237" s="3">
        <f t="shared" si="83"/>
        <v>1.3426290479811602</v>
      </c>
      <c r="K237" s="3">
        <f t="shared" si="91"/>
        <v>200045375.3365832</v>
      </c>
      <c r="L237" s="41">
        <f t="shared" si="84"/>
        <v>0.66727954622722097</v>
      </c>
      <c r="M237" s="3">
        <f t="shared" si="85"/>
        <v>148995268.37839594</v>
      </c>
      <c r="N237" s="41">
        <f t="shared" si="86"/>
        <v>0.66727954622722097</v>
      </c>
      <c r="O237" s="3">
        <f t="shared" si="87"/>
        <v>3927801419116496</v>
      </c>
      <c r="P237" s="3">
        <f t="shared" si="92"/>
        <v>3.3476851171707776E+17</v>
      </c>
      <c r="Q237">
        <f t="shared" si="93"/>
        <v>35.385173583041187</v>
      </c>
      <c r="R237"/>
    </row>
    <row r="238" spans="1:18">
      <c r="A238">
        <f t="shared" si="88"/>
        <v>0</v>
      </c>
      <c r="B238">
        <f t="shared" si="89"/>
        <v>1</v>
      </c>
      <c r="C238">
        <f t="shared" si="94"/>
        <v>53.585586727585039</v>
      </c>
      <c r="D238" s="4">
        <f t="shared" si="95"/>
        <v>0</v>
      </c>
      <c r="E238" s="21">
        <f t="shared" si="96"/>
        <v>321509710362.95587</v>
      </c>
      <c r="F238" s="21">
        <f t="shared" si="82"/>
        <v>0</v>
      </c>
      <c r="G238" s="21">
        <f t="shared" si="90"/>
        <v>1380261.977896204</v>
      </c>
      <c r="H238" s="43">
        <f t="shared" si="97"/>
        <v>0.98903868208606549</v>
      </c>
      <c r="I238" s="21">
        <f t="shared" si="98"/>
        <v>360402172.13779318</v>
      </c>
      <c r="J238" s="3">
        <f t="shared" si="83"/>
        <v>1.3426290479811602</v>
      </c>
      <c r="K238" s="3">
        <f t="shared" si="91"/>
        <v>200045375.3365832</v>
      </c>
      <c r="L238" s="41">
        <f t="shared" si="84"/>
        <v>0.66727954622722097</v>
      </c>
      <c r="M238" s="3">
        <f t="shared" si="85"/>
        <v>148995268.37839594</v>
      </c>
      <c r="N238" s="41">
        <f t="shared" si="86"/>
        <v>0.66727954622722097</v>
      </c>
      <c r="O238" s="3">
        <f t="shared" si="87"/>
        <v>3927801419116496</v>
      </c>
      <c r="P238" s="3">
        <f t="shared" si="92"/>
        <v>3.3634674970125818E+17</v>
      </c>
      <c r="Q238">
        <f t="shared" si="93"/>
        <v>35.55199400691896</v>
      </c>
      <c r="R238"/>
    </row>
    <row r="239" spans="1:18">
      <c r="A239">
        <f t="shared" si="88"/>
        <v>0</v>
      </c>
      <c r="B239">
        <f t="shared" si="89"/>
        <v>1</v>
      </c>
      <c r="C239">
        <f t="shared" si="94"/>
        <v>53.835586727585039</v>
      </c>
      <c r="D239" s="4">
        <f t="shared" si="95"/>
        <v>0</v>
      </c>
      <c r="E239" s="21">
        <f t="shared" si="96"/>
        <v>321506949839.00006</v>
      </c>
      <c r="F239" s="21">
        <f t="shared" si="82"/>
        <v>0</v>
      </c>
      <c r="G239" s="21">
        <f t="shared" si="90"/>
        <v>1380261.977896204</v>
      </c>
      <c r="H239" s="43">
        <f t="shared" si="97"/>
        <v>0.98899302052777049</v>
      </c>
      <c r="I239" s="21">
        <f t="shared" si="98"/>
        <v>361782434.1156894</v>
      </c>
      <c r="J239" s="3">
        <f t="shared" si="83"/>
        <v>1.3426290479811602</v>
      </c>
      <c r="K239" s="3">
        <f t="shared" si="91"/>
        <v>200045375.3365832</v>
      </c>
      <c r="L239" s="41">
        <f t="shared" si="84"/>
        <v>0.66727954622722097</v>
      </c>
      <c r="M239" s="3">
        <f t="shared" si="85"/>
        <v>148995268.37839594</v>
      </c>
      <c r="N239" s="41">
        <f t="shared" si="86"/>
        <v>0.66727954622722097</v>
      </c>
      <c r="O239" s="3">
        <f t="shared" si="87"/>
        <v>3927801419116496</v>
      </c>
      <c r="P239" s="3">
        <f t="shared" si="92"/>
        <v>3.3792498768543859E+17</v>
      </c>
      <c r="Q239">
        <f t="shared" si="93"/>
        <v>35.718814430796726</v>
      </c>
      <c r="R239"/>
    </row>
    <row r="240" spans="1:18">
      <c r="A240">
        <f t="shared" si="88"/>
        <v>0</v>
      </c>
      <c r="B240">
        <f t="shared" si="89"/>
        <v>1</v>
      </c>
      <c r="C240">
        <f t="shared" si="94"/>
        <v>54.085586727585039</v>
      </c>
      <c r="D240" s="4">
        <f t="shared" si="95"/>
        <v>0</v>
      </c>
      <c r="E240" s="21">
        <f t="shared" si="96"/>
        <v>321504189315.04425</v>
      </c>
      <c r="F240" s="21">
        <f t="shared" si="82"/>
        <v>0</v>
      </c>
      <c r="G240" s="21">
        <f t="shared" si="90"/>
        <v>1380261.977896204</v>
      </c>
      <c r="H240" s="43">
        <f t="shared" si="97"/>
        <v>0.9889473589694755</v>
      </c>
      <c r="I240" s="21">
        <f t="shared" si="98"/>
        <v>363162696.09358561</v>
      </c>
      <c r="J240" s="3">
        <f t="shared" si="83"/>
        <v>1.3426290479811602</v>
      </c>
      <c r="K240" s="3">
        <f t="shared" si="91"/>
        <v>200045375.3365832</v>
      </c>
      <c r="L240" s="41">
        <f t="shared" si="84"/>
        <v>0.66727954622722097</v>
      </c>
      <c r="M240" s="3">
        <f t="shared" si="85"/>
        <v>148995268.37839594</v>
      </c>
      <c r="N240" s="41">
        <f t="shared" si="86"/>
        <v>0.66727954622722097</v>
      </c>
      <c r="O240" s="3">
        <f t="shared" si="87"/>
        <v>3927801419116496</v>
      </c>
      <c r="P240" s="3">
        <f t="shared" si="92"/>
        <v>3.3950322566961901E+17</v>
      </c>
      <c r="Q240">
        <f t="shared" si="93"/>
        <v>35.8856348546745</v>
      </c>
      <c r="R240"/>
    </row>
    <row r="241" spans="1:18">
      <c r="A241">
        <f t="shared" si="88"/>
        <v>0</v>
      </c>
      <c r="B241">
        <f t="shared" si="89"/>
        <v>1</v>
      </c>
      <c r="C241">
        <f t="shared" si="94"/>
        <v>54.335586727585039</v>
      </c>
      <c r="D241" s="4">
        <f t="shared" si="95"/>
        <v>0</v>
      </c>
      <c r="E241" s="21">
        <f t="shared" si="96"/>
        <v>321501428791.08844</v>
      </c>
      <c r="F241" s="21">
        <f t="shared" si="82"/>
        <v>0</v>
      </c>
      <c r="G241" s="21">
        <f t="shared" si="90"/>
        <v>1380261.977896204</v>
      </c>
      <c r="H241" s="43">
        <f t="shared" si="97"/>
        <v>0.98890169741118039</v>
      </c>
      <c r="I241" s="21">
        <f t="shared" si="98"/>
        <v>364542958.07148182</v>
      </c>
      <c r="J241" s="3">
        <f t="shared" si="83"/>
        <v>1.3426290479811602</v>
      </c>
      <c r="K241" s="3">
        <f t="shared" si="91"/>
        <v>200045375.3365832</v>
      </c>
      <c r="L241" s="41">
        <f t="shared" si="84"/>
        <v>0.66727954622722097</v>
      </c>
      <c r="M241" s="3">
        <f t="shared" si="85"/>
        <v>148995268.37839594</v>
      </c>
      <c r="N241" s="41">
        <f t="shared" si="86"/>
        <v>0.66727954622722097</v>
      </c>
      <c r="O241" s="3">
        <f t="shared" si="87"/>
        <v>3927801419116496</v>
      </c>
      <c r="P241" s="3">
        <f t="shared" si="92"/>
        <v>3.4108146365379942E+17</v>
      </c>
      <c r="Q241">
        <f t="shared" si="93"/>
        <v>36.052455278552266</v>
      </c>
      <c r="R241"/>
    </row>
    <row r="242" spans="1:18">
      <c r="A242">
        <f t="shared" si="88"/>
        <v>0</v>
      </c>
      <c r="B242">
        <f t="shared" si="89"/>
        <v>1</v>
      </c>
      <c r="C242">
        <f t="shared" si="94"/>
        <v>54.585586727585039</v>
      </c>
      <c r="D242" s="4">
        <f t="shared" si="95"/>
        <v>0</v>
      </c>
      <c r="E242" s="21">
        <f t="shared" si="96"/>
        <v>321498668267.13263</v>
      </c>
      <c r="F242" s="21">
        <f t="shared" si="82"/>
        <v>0</v>
      </c>
      <c r="G242" s="21">
        <f t="shared" si="90"/>
        <v>1380261.977896204</v>
      </c>
      <c r="H242" s="43">
        <f t="shared" si="97"/>
        <v>0.9888560358528854</v>
      </c>
      <c r="I242" s="21">
        <f t="shared" si="98"/>
        <v>365923220.04937804</v>
      </c>
      <c r="J242" s="3">
        <f t="shared" si="83"/>
        <v>1.3426290479811602</v>
      </c>
      <c r="K242" s="3">
        <f t="shared" si="91"/>
        <v>200045375.3365832</v>
      </c>
      <c r="L242" s="41">
        <f t="shared" si="84"/>
        <v>0.66727954622722097</v>
      </c>
      <c r="M242" s="3">
        <f t="shared" si="85"/>
        <v>148995268.37839594</v>
      </c>
      <c r="N242" s="41">
        <f t="shared" si="86"/>
        <v>0.66727954622722097</v>
      </c>
      <c r="O242" s="3">
        <f t="shared" si="87"/>
        <v>3927801419116496</v>
      </c>
      <c r="P242" s="3">
        <f t="shared" si="92"/>
        <v>3.4265970163797984E+17</v>
      </c>
      <c r="Q242">
        <f t="shared" si="93"/>
        <v>36.219275702430039</v>
      </c>
      <c r="R242"/>
    </row>
    <row r="243" spans="1:18">
      <c r="A243">
        <f t="shared" si="88"/>
        <v>0</v>
      </c>
      <c r="B243">
        <f t="shared" si="89"/>
        <v>1</v>
      </c>
      <c r="C243">
        <f t="shared" si="94"/>
        <v>54.835586727585039</v>
      </c>
      <c r="D243" s="4">
        <f t="shared" si="95"/>
        <v>0</v>
      </c>
      <c r="E243" s="21">
        <f t="shared" si="96"/>
        <v>321495907743.17682</v>
      </c>
      <c r="F243" s="21">
        <f t="shared" si="82"/>
        <v>0</v>
      </c>
      <c r="G243" s="21">
        <f t="shared" si="90"/>
        <v>1380261.977896204</v>
      </c>
      <c r="H243" s="43">
        <f t="shared" si="97"/>
        <v>0.9888103742945904</v>
      </c>
      <c r="I243" s="21">
        <f t="shared" si="98"/>
        <v>367303482.02727425</v>
      </c>
      <c r="J243" s="3">
        <f t="shared" si="83"/>
        <v>1.3426290479811602</v>
      </c>
      <c r="K243" s="3">
        <f t="shared" si="91"/>
        <v>200045375.3365832</v>
      </c>
      <c r="L243" s="41">
        <f t="shared" si="84"/>
        <v>0.66727954622722097</v>
      </c>
      <c r="M243" s="3">
        <f t="shared" si="85"/>
        <v>148995268.37839594</v>
      </c>
      <c r="N243" s="41">
        <f t="shared" si="86"/>
        <v>0.66727954622722097</v>
      </c>
      <c r="O243" s="3">
        <f t="shared" si="87"/>
        <v>3927801419116496</v>
      </c>
      <c r="P243" s="3">
        <f t="shared" si="92"/>
        <v>3.4423793962216026E+17</v>
      </c>
      <c r="Q243">
        <f t="shared" si="93"/>
        <v>36.386096126307805</v>
      </c>
      <c r="R243"/>
    </row>
    <row r="244" spans="1:18">
      <c r="A244">
        <f t="shared" si="88"/>
        <v>0</v>
      </c>
      <c r="B244">
        <f t="shared" si="89"/>
        <v>1</v>
      </c>
      <c r="C244">
        <f t="shared" si="94"/>
        <v>55.085586727585039</v>
      </c>
      <c r="D244" s="4">
        <f t="shared" si="95"/>
        <v>0</v>
      </c>
      <c r="E244" s="21">
        <f t="shared" si="96"/>
        <v>321493147219.22101</v>
      </c>
      <c r="F244" s="21">
        <f t="shared" si="82"/>
        <v>0</v>
      </c>
      <c r="G244" s="21">
        <f t="shared" si="90"/>
        <v>1380261.977896204</v>
      </c>
      <c r="H244" s="43">
        <f t="shared" si="97"/>
        <v>0.9887647127362954</v>
      </c>
      <c r="I244" s="21">
        <f t="shared" si="98"/>
        <v>368683744.00517046</v>
      </c>
      <c r="J244" s="3">
        <f t="shared" si="83"/>
        <v>1.3426290479811602</v>
      </c>
      <c r="K244" s="3">
        <f t="shared" si="91"/>
        <v>200045375.3365832</v>
      </c>
      <c r="L244" s="41">
        <f t="shared" si="84"/>
        <v>0.66727954622722097</v>
      </c>
      <c r="M244" s="3">
        <f t="shared" si="85"/>
        <v>148995268.37839594</v>
      </c>
      <c r="N244" s="41">
        <f t="shared" si="86"/>
        <v>0.66727954622722097</v>
      </c>
      <c r="O244" s="3">
        <f t="shared" si="87"/>
        <v>3927801419116496</v>
      </c>
      <c r="P244" s="3">
        <f t="shared" si="92"/>
        <v>3.4581617760634067E+17</v>
      </c>
      <c r="Q244">
        <f t="shared" si="93"/>
        <v>36.552916550185579</v>
      </c>
      <c r="R244"/>
    </row>
    <row r="245" spans="1:18">
      <c r="A245">
        <f t="shared" si="88"/>
        <v>0</v>
      </c>
      <c r="B245">
        <f t="shared" si="89"/>
        <v>1</v>
      </c>
      <c r="C245">
        <f t="shared" si="94"/>
        <v>55.335586727585039</v>
      </c>
      <c r="D245" s="4">
        <f t="shared" si="95"/>
        <v>0</v>
      </c>
      <c r="E245" s="21">
        <f t="shared" si="96"/>
        <v>321490386695.2652</v>
      </c>
      <c r="F245" s="21">
        <f t="shared" si="82"/>
        <v>0</v>
      </c>
      <c r="G245" s="21">
        <f t="shared" si="90"/>
        <v>1380261.977896204</v>
      </c>
      <c r="H245" s="43">
        <f t="shared" si="97"/>
        <v>0.98871905117800041</v>
      </c>
      <c r="I245" s="21">
        <f t="shared" si="98"/>
        <v>370064005.98306668</v>
      </c>
      <c r="J245" s="3">
        <f t="shared" si="83"/>
        <v>1.3426290479811602</v>
      </c>
      <c r="K245" s="3">
        <f t="shared" si="91"/>
        <v>200045375.3365832</v>
      </c>
      <c r="L245" s="41">
        <f t="shared" si="84"/>
        <v>0.66727954622722097</v>
      </c>
      <c r="M245" s="3">
        <f t="shared" si="85"/>
        <v>148995268.37839594</v>
      </c>
      <c r="N245" s="41">
        <f t="shared" si="86"/>
        <v>0.66727954622722097</v>
      </c>
      <c r="O245" s="3">
        <f t="shared" si="87"/>
        <v>3927801419116496</v>
      </c>
      <c r="P245" s="3">
        <f t="shared" si="92"/>
        <v>3.4739441559052109E+17</v>
      </c>
      <c r="Q245">
        <f t="shared" si="93"/>
        <v>36.719736974063345</v>
      </c>
      <c r="R245"/>
    </row>
    <row r="246" spans="1:18">
      <c r="A246">
        <f t="shared" si="88"/>
        <v>0</v>
      </c>
      <c r="B246">
        <f t="shared" si="89"/>
        <v>1</v>
      </c>
      <c r="C246">
        <f t="shared" si="94"/>
        <v>55.585586727585039</v>
      </c>
      <c r="D246" s="4">
        <f t="shared" si="95"/>
        <v>0</v>
      </c>
      <c r="E246" s="21">
        <f t="shared" si="96"/>
        <v>321487626171.30939</v>
      </c>
      <c r="F246" s="21">
        <f t="shared" si="82"/>
        <v>0</v>
      </c>
      <c r="G246" s="21">
        <f t="shared" si="90"/>
        <v>1380261.977896204</v>
      </c>
      <c r="H246" s="43">
        <f t="shared" si="97"/>
        <v>0.98867338961970541</v>
      </c>
      <c r="I246" s="21">
        <f t="shared" si="98"/>
        <v>371444267.96096289</v>
      </c>
      <c r="J246" s="3">
        <f t="shared" si="83"/>
        <v>1.3426290479811602</v>
      </c>
      <c r="K246" s="3">
        <f t="shared" si="91"/>
        <v>200045375.3365832</v>
      </c>
      <c r="L246" s="41">
        <f t="shared" si="84"/>
        <v>0.66727954622722097</v>
      </c>
      <c r="M246" s="3">
        <f t="shared" si="85"/>
        <v>148995268.37839594</v>
      </c>
      <c r="N246" s="41">
        <f t="shared" si="86"/>
        <v>0.66727954622722097</v>
      </c>
      <c r="O246" s="3">
        <f t="shared" si="87"/>
        <v>3927801419116496</v>
      </c>
      <c r="P246" s="3">
        <f t="shared" si="92"/>
        <v>3.489726535747015E+17</v>
      </c>
      <c r="Q246">
        <f t="shared" si="93"/>
        <v>36.886557397941118</v>
      </c>
      <c r="R246"/>
    </row>
    <row r="247" spans="1:18">
      <c r="A247">
        <f t="shared" si="88"/>
        <v>0</v>
      </c>
      <c r="B247">
        <f>IF(P246&lt;$E$9,0,IF(P246&gt;$D$8,3,IF(P246&gt;$D$8-$E$9,2,1)))</f>
        <v>1</v>
      </c>
      <c r="C247">
        <f t="shared" si="94"/>
        <v>55.835586727585039</v>
      </c>
      <c r="D247" s="4">
        <f t="shared" si="95"/>
        <v>0</v>
      </c>
      <c r="E247" s="21">
        <f t="shared" si="96"/>
        <v>321484865647.35358</v>
      </c>
      <c r="F247" s="21">
        <f t="shared" si="82"/>
        <v>0</v>
      </c>
      <c r="G247" s="21">
        <f t="shared" si="90"/>
        <v>1380261.977896204</v>
      </c>
      <c r="H247" s="43">
        <f t="shared" si="97"/>
        <v>0.9886277280614103</v>
      </c>
      <c r="I247" s="21">
        <f t="shared" si="98"/>
        <v>372824529.93885911</v>
      </c>
      <c r="J247" s="3">
        <f t="shared" si="83"/>
        <v>1.3426290479811602</v>
      </c>
      <c r="K247" s="3">
        <f t="shared" si="91"/>
        <v>200045375.3365832</v>
      </c>
      <c r="L247" s="41">
        <f t="shared" si="84"/>
        <v>0.66727954622722097</v>
      </c>
      <c r="M247" s="3">
        <f t="shared" si="85"/>
        <v>148995268.37839594</v>
      </c>
      <c r="N247" s="41">
        <f t="shared" si="86"/>
        <v>0.66727954622722097</v>
      </c>
      <c r="O247" s="3">
        <f t="shared" si="87"/>
        <v>3927801419116496</v>
      </c>
      <c r="P247" s="3">
        <f t="shared" si="92"/>
        <v>3.5055089155888192E+17</v>
      </c>
      <c r="Q247">
        <f t="shared" si="93"/>
        <v>37.053377821818884</v>
      </c>
      <c r="R247"/>
    </row>
    <row r="248" spans="1:18">
      <c r="A248">
        <f t="shared" si="88"/>
        <v>0</v>
      </c>
      <c r="B248">
        <f t="shared" si="89"/>
        <v>1</v>
      </c>
      <c r="C248">
        <f t="shared" si="94"/>
        <v>56.085586727585039</v>
      </c>
      <c r="D248" s="4">
        <f t="shared" si="95"/>
        <v>0</v>
      </c>
      <c r="E248" s="21">
        <f t="shared" si="96"/>
        <v>321482105123.39777</v>
      </c>
      <c r="F248" s="21">
        <f t="shared" si="82"/>
        <v>0</v>
      </c>
      <c r="G248" s="21">
        <f t="shared" si="90"/>
        <v>1380261.977896204</v>
      </c>
      <c r="H248" s="43">
        <f t="shared" si="97"/>
        <v>0.98858206650311531</v>
      </c>
      <c r="I248" s="21">
        <f t="shared" si="98"/>
        <v>374204791.91675532</v>
      </c>
      <c r="J248" s="3">
        <f t="shared" si="83"/>
        <v>1.3426290479811602</v>
      </c>
      <c r="K248" s="3">
        <f t="shared" si="91"/>
        <v>200045375.3365832</v>
      </c>
      <c r="L248" s="41">
        <f t="shared" si="84"/>
        <v>0.66727954622722097</v>
      </c>
      <c r="M248" s="3">
        <f t="shared" si="85"/>
        <v>148995268.37839594</v>
      </c>
      <c r="N248" s="41">
        <f t="shared" si="86"/>
        <v>0.66727954622722097</v>
      </c>
      <c r="O248" s="3">
        <f t="shared" si="87"/>
        <v>3927801419116496</v>
      </c>
      <c r="P248" s="3">
        <f t="shared" si="92"/>
        <v>3.5212912954306234E+17</v>
      </c>
      <c r="Q248">
        <f t="shared" si="93"/>
        <v>37.220198245696658</v>
      </c>
      <c r="R248"/>
    </row>
    <row r="249" spans="1:18">
      <c r="A249">
        <f t="shared" si="88"/>
        <v>0</v>
      </c>
      <c r="B249">
        <f t="shared" si="89"/>
        <v>1</v>
      </c>
      <c r="C249">
        <f t="shared" si="94"/>
        <v>56.335586727585039</v>
      </c>
      <c r="D249" s="4">
        <f t="shared" si="95"/>
        <v>0</v>
      </c>
      <c r="E249" s="21">
        <f t="shared" si="96"/>
        <v>321479344599.44196</v>
      </c>
      <c r="F249" s="21">
        <f t="shared" si="82"/>
        <v>0</v>
      </c>
      <c r="G249" s="21">
        <f t="shared" si="90"/>
        <v>1380261.977896204</v>
      </c>
      <c r="H249" s="43">
        <f t="shared" si="97"/>
        <v>0.98853640494482031</v>
      </c>
      <c r="I249" s="21">
        <f t="shared" si="98"/>
        <v>375585053.89465153</v>
      </c>
      <c r="J249" s="3">
        <f t="shared" si="83"/>
        <v>1.3426290479811602</v>
      </c>
      <c r="K249" s="3">
        <f t="shared" si="91"/>
        <v>200045375.3365832</v>
      </c>
      <c r="L249" s="41">
        <f t="shared" si="84"/>
        <v>0.66727954622722097</v>
      </c>
      <c r="M249" s="3">
        <f t="shared" si="85"/>
        <v>148995268.37839594</v>
      </c>
      <c r="N249" s="41">
        <f t="shared" si="86"/>
        <v>0.66727954622722097</v>
      </c>
      <c r="O249" s="3">
        <f t="shared" si="87"/>
        <v>3927801419116496</v>
      </c>
      <c r="P249" s="3">
        <f t="shared" si="92"/>
        <v>3.5370736752724275E+17</v>
      </c>
      <c r="Q249">
        <f t="shared" si="93"/>
        <v>37.387018669574424</v>
      </c>
      <c r="R249"/>
    </row>
    <row r="250" spans="1:18">
      <c r="A250">
        <f t="shared" si="88"/>
        <v>0</v>
      </c>
      <c r="B250">
        <f t="shared" si="89"/>
        <v>1</v>
      </c>
      <c r="C250">
        <f t="shared" si="94"/>
        <v>56.585586727585039</v>
      </c>
      <c r="D250" s="4">
        <f t="shared" si="95"/>
        <v>0</v>
      </c>
      <c r="E250" s="21">
        <f t="shared" si="96"/>
        <v>321476584075.48615</v>
      </c>
      <c r="F250" s="21">
        <f t="shared" si="82"/>
        <v>0</v>
      </c>
      <c r="G250" s="21">
        <f t="shared" si="90"/>
        <v>1380261.977896204</v>
      </c>
      <c r="H250" s="43">
        <f t="shared" si="97"/>
        <v>0.98849074338652532</v>
      </c>
      <c r="I250" s="21">
        <f t="shared" si="98"/>
        <v>376965315.87254775</v>
      </c>
      <c r="J250" s="3">
        <f t="shared" si="83"/>
        <v>1.3426290479811602</v>
      </c>
      <c r="K250" s="3">
        <f t="shared" si="91"/>
        <v>200045375.3365832</v>
      </c>
      <c r="L250" s="41">
        <f t="shared" si="84"/>
        <v>0.66727954622722097</v>
      </c>
      <c r="M250" s="3">
        <f t="shared" si="85"/>
        <v>148995268.37839594</v>
      </c>
      <c r="N250" s="41">
        <f t="shared" si="86"/>
        <v>0.66727954622722097</v>
      </c>
      <c r="O250" s="3">
        <f t="shared" si="87"/>
        <v>3927801419116496</v>
      </c>
      <c r="P250" s="3">
        <f t="shared" si="92"/>
        <v>3.5528560551142317E+17</v>
      </c>
      <c r="Q250">
        <f t="shared" si="93"/>
        <v>37.553839093452197</v>
      </c>
      <c r="R250"/>
    </row>
    <row r="251" spans="1:18">
      <c r="A251">
        <f t="shared" si="88"/>
        <v>0</v>
      </c>
      <c r="B251">
        <f t="shared" si="89"/>
        <v>1</v>
      </c>
      <c r="C251">
        <f t="shared" si="94"/>
        <v>56.835586727585039</v>
      </c>
      <c r="D251" s="4">
        <f t="shared" si="95"/>
        <v>0</v>
      </c>
      <c r="E251" s="21">
        <f t="shared" si="96"/>
        <v>321473823551.53033</v>
      </c>
      <c r="F251" s="21">
        <f t="shared" si="82"/>
        <v>0</v>
      </c>
      <c r="G251" s="21">
        <f t="shared" si="90"/>
        <v>1380261.977896204</v>
      </c>
      <c r="H251" s="43">
        <f t="shared" si="97"/>
        <v>0.98844508182823032</v>
      </c>
      <c r="I251" s="21">
        <f t="shared" si="98"/>
        <v>378345577.85044396</v>
      </c>
      <c r="J251" s="3">
        <f t="shared" si="83"/>
        <v>1.3426290479811602</v>
      </c>
      <c r="K251" s="3">
        <f t="shared" si="91"/>
        <v>200045375.3365832</v>
      </c>
      <c r="L251" s="41">
        <f t="shared" si="84"/>
        <v>0.66727954622722097</v>
      </c>
      <c r="M251" s="3">
        <f t="shared" si="85"/>
        <v>148995268.37839594</v>
      </c>
      <c r="N251" s="41">
        <f t="shared" si="86"/>
        <v>0.66727954622722097</v>
      </c>
      <c r="O251" s="3">
        <f t="shared" si="87"/>
        <v>3927801419116496</v>
      </c>
      <c r="P251" s="3">
        <f t="shared" si="92"/>
        <v>3.5686384349560358E+17</v>
      </c>
      <c r="Q251">
        <f t="shared" si="93"/>
        <v>37.720659517329963</v>
      </c>
      <c r="R251"/>
    </row>
    <row r="252" spans="1:18">
      <c r="A252">
        <f t="shared" si="88"/>
        <v>0</v>
      </c>
      <c r="B252">
        <f t="shared" si="89"/>
        <v>1</v>
      </c>
      <c r="C252">
        <f t="shared" si="94"/>
        <v>57.085586727585039</v>
      </c>
      <c r="D252" s="4">
        <f t="shared" si="95"/>
        <v>0</v>
      </c>
      <c r="E252" s="21">
        <f t="shared" si="96"/>
        <v>321471063027.57452</v>
      </c>
      <c r="F252" s="21">
        <f t="shared" si="82"/>
        <v>0</v>
      </c>
      <c r="G252" s="21">
        <f t="shared" si="90"/>
        <v>1380261.977896204</v>
      </c>
      <c r="H252" s="43">
        <f t="shared" si="97"/>
        <v>0.98839942026993532</v>
      </c>
      <c r="I252" s="21">
        <f t="shared" si="98"/>
        <v>379725839.82834017</v>
      </c>
      <c r="J252" s="3">
        <f t="shared" si="83"/>
        <v>1.3426290479811602</v>
      </c>
      <c r="K252" s="3">
        <f t="shared" si="91"/>
        <v>200045375.3365832</v>
      </c>
      <c r="L252" s="41">
        <f t="shared" si="84"/>
        <v>0.66727954622722097</v>
      </c>
      <c r="M252" s="3">
        <f t="shared" si="85"/>
        <v>148995268.37839594</v>
      </c>
      <c r="N252" s="41">
        <f t="shared" si="86"/>
        <v>0.66727954622722097</v>
      </c>
      <c r="O252" s="3">
        <f t="shared" si="87"/>
        <v>3927801419116496</v>
      </c>
      <c r="P252" s="3">
        <f t="shared" si="92"/>
        <v>3.58442081479784E+17</v>
      </c>
      <c r="Q252">
        <f t="shared" si="93"/>
        <v>37.887479941207737</v>
      </c>
      <c r="R252"/>
    </row>
    <row r="253" spans="1:18">
      <c r="A253">
        <f t="shared" si="88"/>
        <v>0</v>
      </c>
      <c r="B253">
        <f t="shared" si="89"/>
        <v>1</v>
      </c>
      <c r="C253">
        <f t="shared" si="94"/>
        <v>57.335586727585039</v>
      </c>
      <c r="D253" s="4">
        <f t="shared" si="95"/>
        <v>0</v>
      </c>
      <c r="E253" s="21">
        <f t="shared" si="96"/>
        <v>321468302503.61871</v>
      </c>
      <c r="F253" s="21">
        <f t="shared" si="82"/>
        <v>0</v>
      </c>
      <c r="G253" s="21">
        <f t="shared" si="90"/>
        <v>1380261.977896204</v>
      </c>
      <c r="H253" s="43">
        <f t="shared" si="97"/>
        <v>0.98835375871164022</v>
      </c>
      <c r="I253" s="21">
        <f t="shared" si="98"/>
        <v>381106101.80623639</v>
      </c>
      <c r="J253" s="3">
        <f t="shared" si="83"/>
        <v>1.3426290479811602</v>
      </c>
      <c r="K253" s="3">
        <f t="shared" si="91"/>
        <v>200045375.3365832</v>
      </c>
      <c r="L253" s="41">
        <f t="shared" si="84"/>
        <v>0.66727954622722097</v>
      </c>
      <c r="M253" s="3">
        <f t="shared" si="85"/>
        <v>148995268.37839594</v>
      </c>
      <c r="N253" s="41">
        <f t="shared" si="86"/>
        <v>0.66727954622722097</v>
      </c>
      <c r="O253" s="3">
        <f t="shared" si="87"/>
        <v>3927801419116496</v>
      </c>
      <c r="P253" s="3">
        <f t="shared" si="92"/>
        <v>3.6002031946396442E+17</v>
      </c>
      <c r="Q253">
        <f t="shared" si="93"/>
        <v>38.054300365085503</v>
      </c>
      <c r="R253"/>
    </row>
    <row r="254" spans="1:18">
      <c r="A254">
        <f t="shared" si="88"/>
        <v>0</v>
      </c>
      <c r="B254">
        <f t="shared" si="89"/>
        <v>1</v>
      </c>
      <c r="C254">
        <f t="shared" si="94"/>
        <v>57.585586727585039</v>
      </c>
      <c r="D254" s="4">
        <f t="shared" si="95"/>
        <v>0</v>
      </c>
      <c r="E254" s="21">
        <f t="shared" si="96"/>
        <v>321465541979.6629</v>
      </c>
      <c r="F254" s="21">
        <f t="shared" si="82"/>
        <v>0</v>
      </c>
      <c r="G254" s="21">
        <f t="shared" si="90"/>
        <v>1380261.977896204</v>
      </c>
      <c r="H254" s="43">
        <f t="shared" si="97"/>
        <v>0.98830809715334522</v>
      </c>
      <c r="I254" s="21">
        <f t="shared" si="98"/>
        <v>382486363.7841326</v>
      </c>
      <c r="J254" s="3">
        <f t="shared" si="83"/>
        <v>1.3426290479811602</v>
      </c>
      <c r="K254" s="3">
        <f t="shared" si="91"/>
        <v>200045375.3365832</v>
      </c>
      <c r="L254" s="41">
        <f t="shared" si="84"/>
        <v>0.66727954622722097</v>
      </c>
      <c r="M254" s="3">
        <f t="shared" si="85"/>
        <v>148995268.37839594</v>
      </c>
      <c r="N254" s="41">
        <f t="shared" si="86"/>
        <v>0.66727954622722097</v>
      </c>
      <c r="O254" s="3">
        <f t="shared" si="87"/>
        <v>3927801419116496</v>
      </c>
      <c r="P254" s="3">
        <f t="shared" si="92"/>
        <v>3.6159855744814483E+17</v>
      </c>
      <c r="Q254">
        <f t="shared" si="93"/>
        <v>38.221120788963276</v>
      </c>
      <c r="R254"/>
    </row>
    <row r="255" spans="1:18">
      <c r="A255">
        <f t="shared" si="88"/>
        <v>0</v>
      </c>
      <c r="B255">
        <f t="shared" si="89"/>
        <v>1</v>
      </c>
      <c r="C255">
        <f t="shared" si="94"/>
        <v>57.835586727585039</v>
      </c>
      <c r="D255" s="4">
        <f t="shared" si="95"/>
        <v>0</v>
      </c>
      <c r="E255" s="21">
        <f t="shared" si="96"/>
        <v>321462781455.70709</v>
      </c>
      <c r="F255" s="21">
        <f t="shared" si="82"/>
        <v>0</v>
      </c>
      <c r="G255" s="21">
        <f t="shared" si="90"/>
        <v>1380261.977896204</v>
      </c>
      <c r="H255" s="43">
        <f t="shared" si="97"/>
        <v>0.98826243559505023</v>
      </c>
      <c r="I255" s="21">
        <f t="shared" si="98"/>
        <v>383866625.76202881</v>
      </c>
      <c r="J255" s="3">
        <f t="shared" si="83"/>
        <v>1.3426290479811602</v>
      </c>
      <c r="K255" s="3">
        <f t="shared" si="91"/>
        <v>200045375.3365832</v>
      </c>
      <c r="L255" s="41">
        <f t="shared" si="84"/>
        <v>0.66727954622722097</v>
      </c>
      <c r="M255" s="3">
        <f t="shared" si="85"/>
        <v>148995268.37839594</v>
      </c>
      <c r="N255" s="41">
        <f t="shared" si="86"/>
        <v>0.66727954622722097</v>
      </c>
      <c r="O255" s="3">
        <f t="shared" si="87"/>
        <v>3927801419116496</v>
      </c>
      <c r="P255" s="3">
        <f t="shared" si="92"/>
        <v>3.6317679543232525E+17</v>
      </c>
      <c r="Q255">
        <f t="shared" si="93"/>
        <v>38.387941212841042</v>
      </c>
      <c r="R255"/>
    </row>
    <row r="256" spans="1:18">
      <c r="A256">
        <f t="shared" si="88"/>
        <v>0</v>
      </c>
      <c r="B256">
        <f t="shared" si="89"/>
        <v>1</v>
      </c>
      <c r="C256">
        <f t="shared" si="94"/>
        <v>58.085586727585039</v>
      </c>
      <c r="D256" s="4">
        <f t="shared" si="95"/>
        <v>0</v>
      </c>
      <c r="E256" s="21">
        <f t="shared" si="96"/>
        <v>321460020931.75128</v>
      </c>
      <c r="F256" s="21">
        <f t="shared" si="82"/>
        <v>0</v>
      </c>
      <c r="G256" s="21">
        <f t="shared" si="90"/>
        <v>1380261.977896204</v>
      </c>
      <c r="H256" s="43">
        <f t="shared" si="97"/>
        <v>0.98821677403675523</v>
      </c>
      <c r="I256" s="21">
        <f t="shared" si="98"/>
        <v>385246887.73992503</v>
      </c>
      <c r="J256" s="3">
        <f t="shared" si="83"/>
        <v>1.3426290479811602</v>
      </c>
      <c r="K256" s="3">
        <f t="shared" si="91"/>
        <v>200045375.3365832</v>
      </c>
      <c r="L256" s="41">
        <f t="shared" si="84"/>
        <v>0.66727954622722097</v>
      </c>
      <c r="M256" s="3">
        <f t="shared" si="85"/>
        <v>148995268.37839594</v>
      </c>
      <c r="N256" s="41">
        <f t="shared" si="86"/>
        <v>0.66727954622722097</v>
      </c>
      <c r="O256" s="3">
        <f t="shared" si="87"/>
        <v>3927801419116496</v>
      </c>
      <c r="P256" s="3">
        <f t="shared" si="92"/>
        <v>3.6475503341650566E+17</v>
      </c>
      <c r="Q256">
        <f t="shared" si="93"/>
        <v>38.554761636718808</v>
      </c>
      <c r="R256"/>
    </row>
    <row r="257" spans="1:18">
      <c r="A257">
        <f t="shared" si="88"/>
        <v>0</v>
      </c>
      <c r="B257">
        <f t="shared" si="89"/>
        <v>1</v>
      </c>
      <c r="C257">
        <f t="shared" si="94"/>
        <v>58.335586727585039</v>
      </c>
      <c r="D257" s="4">
        <f t="shared" si="95"/>
        <v>0</v>
      </c>
      <c r="E257" s="21">
        <f t="shared" si="96"/>
        <v>321457260407.79547</v>
      </c>
      <c r="F257" s="21">
        <f t="shared" si="82"/>
        <v>0</v>
      </c>
      <c r="G257" s="21">
        <f t="shared" si="90"/>
        <v>1380261.977896204</v>
      </c>
      <c r="H257" s="43">
        <f t="shared" si="97"/>
        <v>0.98817111247846023</v>
      </c>
      <c r="I257" s="21">
        <f t="shared" si="98"/>
        <v>386627149.71782124</v>
      </c>
      <c r="J257" s="3">
        <f t="shared" si="83"/>
        <v>1.3426290479811602</v>
      </c>
      <c r="K257" s="3">
        <f t="shared" si="91"/>
        <v>200045375.3365832</v>
      </c>
      <c r="L257" s="41">
        <f t="shared" si="84"/>
        <v>0.66727954622722097</v>
      </c>
      <c r="M257" s="3">
        <f t="shared" si="85"/>
        <v>148995268.37839594</v>
      </c>
      <c r="N257" s="41">
        <f t="shared" si="86"/>
        <v>0.66727954622722097</v>
      </c>
      <c r="O257" s="3">
        <f t="shared" si="87"/>
        <v>3927801419116496</v>
      </c>
      <c r="P257" s="3">
        <f t="shared" si="92"/>
        <v>3.6633327140068608E+17</v>
      </c>
      <c r="Q257">
        <f t="shared" si="93"/>
        <v>38.721582060596582</v>
      </c>
      <c r="R257"/>
    </row>
    <row r="258" spans="1:18">
      <c r="A258">
        <f t="shared" si="88"/>
        <v>0</v>
      </c>
      <c r="B258">
        <f t="shared" si="89"/>
        <v>1</v>
      </c>
      <c r="C258">
        <f t="shared" si="94"/>
        <v>58.585586727585039</v>
      </c>
      <c r="D258" s="4">
        <f t="shared" si="95"/>
        <v>0</v>
      </c>
      <c r="E258" s="21">
        <f t="shared" si="96"/>
        <v>321454499883.83966</v>
      </c>
      <c r="F258" s="21">
        <f t="shared" si="82"/>
        <v>0</v>
      </c>
      <c r="G258" s="21">
        <f t="shared" si="90"/>
        <v>1380261.977896204</v>
      </c>
      <c r="H258" s="43">
        <f t="shared" si="97"/>
        <v>0.98812545092016513</v>
      </c>
      <c r="I258" s="21">
        <f t="shared" si="98"/>
        <v>388007411.69571745</v>
      </c>
      <c r="J258" s="3">
        <f t="shared" si="83"/>
        <v>1.3426290479811602</v>
      </c>
      <c r="K258" s="3">
        <f t="shared" si="91"/>
        <v>200045375.3365832</v>
      </c>
      <c r="L258" s="41">
        <f t="shared" si="84"/>
        <v>0.66727954622722097</v>
      </c>
      <c r="M258" s="3">
        <f t="shared" si="85"/>
        <v>148995268.37839594</v>
      </c>
      <c r="N258" s="41">
        <f t="shared" si="86"/>
        <v>0.66727954622722097</v>
      </c>
      <c r="O258" s="3">
        <f t="shared" si="87"/>
        <v>3927801419116496</v>
      </c>
      <c r="P258" s="3">
        <f t="shared" si="92"/>
        <v>3.679115093848665E+17</v>
      </c>
      <c r="Q258">
        <f t="shared" si="93"/>
        <v>38.888402484474348</v>
      </c>
      <c r="R258"/>
    </row>
    <row r="259" spans="1:18">
      <c r="A259">
        <f t="shared" si="88"/>
        <v>0</v>
      </c>
      <c r="B259">
        <f t="shared" si="89"/>
        <v>1</v>
      </c>
      <c r="C259">
        <f t="shared" si="94"/>
        <v>58.835586727585039</v>
      </c>
      <c r="D259" s="4">
        <f t="shared" si="95"/>
        <v>0</v>
      </c>
      <c r="E259" s="21">
        <f t="shared" si="96"/>
        <v>321451739359.88385</v>
      </c>
      <c r="F259" s="21">
        <f t="shared" si="82"/>
        <v>0</v>
      </c>
      <c r="G259" s="21">
        <f t="shared" si="90"/>
        <v>1380261.977896204</v>
      </c>
      <c r="H259" s="43">
        <f t="shared" si="97"/>
        <v>0.98807978936187013</v>
      </c>
      <c r="I259" s="21">
        <f t="shared" si="98"/>
        <v>389387673.67361367</v>
      </c>
      <c r="J259" s="3">
        <f t="shared" si="83"/>
        <v>1.3426290479811602</v>
      </c>
      <c r="K259" s="3">
        <f t="shared" si="91"/>
        <v>200045375.3365832</v>
      </c>
      <c r="L259" s="41">
        <f t="shared" si="84"/>
        <v>0.66727954622722097</v>
      </c>
      <c r="M259" s="3">
        <f t="shared" si="85"/>
        <v>148995268.37839594</v>
      </c>
      <c r="N259" s="41">
        <f t="shared" si="86"/>
        <v>0.66727954622722097</v>
      </c>
      <c r="O259" s="3">
        <f t="shared" si="87"/>
        <v>3927801419116496</v>
      </c>
      <c r="P259" s="3">
        <f t="shared" si="92"/>
        <v>3.6948974736904691E+17</v>
      </c>
      <c r="Q259">
        <f t="shared" si="93"/>
        <v>39.055222908352121</v>
      </c>
      <c r="R259"/>
    </row>
    <row r="260" spans="1:18">
      <c r="A260">
        <f t="shared" si="88"/>
        <v>0</v>
      </c>
      <c r="B260">
        <f t="shared" si="89"/>
        <v>1</v>
      </c>
      <c r="C260">
        <f t="shared" si="94"/>
        <v>59.085586727585039</v>
      </c>
      <c r="D260" s="4">
        <f t="shared" si="95"/>
        <v>0</v>
      </c>
      <c r="E260" s="21">
        <f t="shared" si="96"/>
        <v>321448978835.92804</v>
      </c>
      <c r="F260" s="21">
        <f t="shared" si="82"/>
        <v>0</v>
      </c>
      <c r="G260" s="21">
        <f t="shared" si="90"/>
        <v>1380261.977896204</v>
      </c>
      <c r="H260" s="43">
        <f t="shared" si="97"/>
        <v>0.98803412780357514</v>
      </c>
      <c r="I260" s="21">
        <f t="shared" si="98"/>
        <v>390767935.65150988</v>
      </c>
      <c r="J260" s="3">
        <f t="shared" si="83"/>
        <v>1.3426290479811602</v>
      </c>
      <c r="K260" s="3">
        <f t="shared" si="91"/>
        <v>200045375.3365832</v>
      </c>
      <c r="L260" s="41">
        <f t="shared" si="84"/>
        <v>0.66727954622722097</v>
      </c>
      <c r="M260" s="3">
        <f t="shared" si="85"/>
        <v>148995268.37839594</v>
      </c>
      <c r="N260" s="41">
        <f t="shared" si="86"/>
        <v>0.66727954622722097</v>
      </c>
      <c r="O260" s="3">
        <f t="shared" si="87"/>
        <v>3927801419116496</v>
      </c>
      <c r="P260" s="3">
        <f t="shared" si="92"/>
        <v>3.7106798535322733E+17</v>
      </c>
      <c r="Q260">
        <f t="shared" si="93"/>
        <v>39.222043332229887</v>
      </c>
      <c r="R260"/>
    </row>
    <row r="261" spans="1:18">
      <c r="A261">
        <f t="shared" si="88"/>
        <v>0</v>
      </c>
      <c r="B261">
        <f t="shared" si="89"/>
        <v>1</v>
      </c>
      <c r="C261">
        <f t="shared" si="94"/>
        <v>59.335586727585039</v>
      </c>
      <c r="D261" s="4">
        <f t="shared" si="95"/>
        <v>0</v>
      </c>
      <c r="E261" s="21">
        <f t="shared" si="96"/>
        <v>321446218311.97223</v>
      </c>
      <c r="F261" s="21">
        <f t="shared" si="82"/>
        <v>0</v>
      </c>
      <c r="G261" s="21">
        <f t="shared" si="90"/>
        <v>1380261.977896204</v>
      </c>
      <c r="H261" s="43">
        <f t="shared" si="97"/>
        <v>0.98798846624528014</v>
      </c>
      <c r="I261" s="21">
        <f t="shared" si="98"/>
        <v>392148197.62940609</v>
      </c>
      <c r="J261" s="3">
        <f t="shared" si="83"/>
        <v>1.3426290479811602</v>
      </c>
      <c r="K261" s="3">
        <f t="shared" si="91"/>
        <v>200045375.3365832</v>
      </c>
      <c r="L261" s="41">
        <f t="shared" si="84"/>
        <v>0.66727954622722097</v>
      </c>
      <c r="M261" s="3">
        <f t="shared" si="85"/>
        <v>148995268.37839594</v>
      </c>
      <c r="N261" s="41">
        <f t="shared" si="86"/>
        <v>0.66727954622722097</v>
      </c>
      <c r="O261" s="3">
        <f t="shared" si="87"/>
        <v>3927801419116496</v>
      </c>
      <c r="P261" s="3">
        <f t="shared" si="92"/>
        <v>3.7264622333740774E+17</v>
      </c>
      <c r="Q261">
        <f t="shared" si="93"/>
        <v>39.388863756107661</v>
      </c>
      <c r="R261"/>
    </row>
    <row r="262" spans="1:18">
      <c r="A262">
        <f t="shared" si="88"/>
        <v>0</v>
      </c>
      <c r="B262">
        <f t="shared" si="89"/>
        <v>1</v>
      </c>
      <c r="C262">
        <f t="shared" si="94"/>
        <v>59.585586727585039</v>
      </c>
      <c r="D262" s="4">
        <f t="shared" si="95"/>
        <v>0</v>
      </c>
      <c r="E262" s="21">
        <f t="shared" si="96"/>
        <v>321443457788.01642</v>
      </c>
      <c r="F262" s="21">
        <f t="shared" si="82"/>
        <v>0</v>
      </c>
      <c r="G262" s="21">
        <f t="shared" si="90"/>
        <v>1380261.977896204</v>
      </c>
      <c r="H262" s="43">
        <f t="shared" si="97"/>
        <v>0.98794280468698514</v>
      </c>
      <c r="I262" s="21">
        <f t="shared" si="98"/>
        <v>393528459.60730231</v>
      </c>
      <c r="J262" s="3">
        <f t="shared" si="83"/>
        <v>1.3426290479811602</v>
      </c>
      <c r="K262" s="3">
        <f t="shared" si="91"/>
        <v>200045375.3365832</v>
      </c>
      <c r="L262" s="41">
        <f t="shared" si="84"/>
        <v>0.66727954622722097</v>
      </c>
      <c r="M262" s="3">
        <f t="shared" si="85"/>
        <v>148995268.37839594</v>
      </c>
      <c r="N262" s="41">
        <f t="shared" si="86"/>
        <v>0.66727954622722097</v>
      </c>
      <c r="O262" s="3">
        <f t="shared" si="87"/>
        <v>3927801419116496</v>
      </c>
      <c r="P262" s="3">
        <f t="shared" si="92"/>
        <v>3.7422446132158816E+17</v>
      </c>
      <c r="Q262">
        <f t="shared" si="93"/>
        <v>39.555684179985427</v>
      </c>
      <c r="R262"/>
    </row>
    <row r="263" spans="1:18">
      <c r="A263">
        <f t="shared" si="88"/>
        <v>0</v>
      </c>
      <c r="B263">
        <f t="shared" si="89"/>
        <v>1</v>
      </c>
      <c r="C263">
        <f t="shared" si="94"/>
        <v>59.835586727585039</v>
      </c>
      <c r="D263" s="4">
        <f t="shared" si="95"/>
        <v>0</v>
      </c>
      <c r="E263" s="21">
        <f t="shared" si="96"/>
        <v>321440697264.06061</v>
      </c>
      <c r="F263" s="21">
        <f t="shared" si="82"/>
        <v>0</v>
      </c>
      <c r="G263" s="21">
        <f t="shared" si="90"/>
        <v>1380261.977896204</v>
      </c>
      <c r="H263" s="43">
        <f t="shared" si="97"/>
        <v>0.98789714312869015</v>
      </c>
      <c r="I263" s="21">
        <f t="shared" si="98"/>
        <v>394908721.58519852</v>
      </c>
      <c r="J263" s="3">
        <f t="shared" si="83"/>
        <v>1.3426290479811602</v>
      </c>
      <c r="K263" s="3">
        <f t="shared" si="91"/>
        <v>200045375.3365832</v>
      </c>
      <c r="L263" s="41">
        <f t="shared" si="84"/>
        <v>0.66727954622722097</v>
      </c>
      <c r="M263" s="3">
        <f t="shared" si="85"/>
        <v>148995268.37839594</v>
      </c>
      <c r="N263" s="41">
        <f t="shared" si="86"/>
        <v>0.66727954622722097</v>
      </c>
      <c r="O263" s="3">
        <f t="shared" si="87"/>
        <v>3927801419116496</v>
      </c>
      <c r="P263" s="3">
        <f t="shared" si="92"/>
        <v>3.7580269930576858E+17</v>
      </c>
      <c r="Q263">
        <f t="shared" si="93"/>
        <v>39.7225046038632</v>
      </c>
      <c r="R263"/>
    </row>
    <row r="264" spans="1:18">
      <c r="A264">
        <f t="shared" si="88"/>
        <v>0</v>
      </c>
      <c r="B264">
        <f t="shared" si="89"/>
        <v>1</v>
      </c>
      <c r="C264">
        <f t="shared" si="94"/>
        <v>60.085586727585039</v>
      </c>
      <c r="D264" s="4">
        <f t="shared" si="95"/>
        <v>0</v>
      </c>
      <c r="E264" s="21">
        <f t="shared" si="96"/>
        <v>321437936740.1048</v>
      </c>
      <c r="F264" s="21">
        <f t="shared" si="82"/>
        <v>0</v>
      </c>
      <c r="G264" s="21">
        <f t="shared" si="90"/>
        <v>1380261.977896204</v>
      </c>
      <c r="H264" s="43">
        <f t="shared" si="97"/>
        <v>0.98785148157039504</v>
      </c>
      <c r="I264" s="21">
        <f t="shared" si="98"/>
        <v>396288983.56309474</v>
      </c>
      <c r="J264" s="3">
        <f t="shared" si="83"/>
        <v>1.3426290479811602</v>
      </c>
      <c r="K264" s="3">
        <f t="shared" si="91"/>
        <v>200045375.3365832</v>
      </c>
      <c r="L264" s="41">
        <f t="shared" si="84"/>
        <v>0.66727954622722097</v>
      </c>
      <c r="M264" s="3">
        <f t="shared" si="85"/>
        <v>148995268.37839594</v>
      </c>
      <c r="N264" s="41">
        <f t="shared" si="86"/>
        <v>0.66727954622722097</v>
      </c>
      <c r="O264" s="3">
        <f t="shared" si="87"/>
        <v>3927801419116496</v>
      </c>
      <c r="P264" s="3">
        <f t="shared" si="92"/>
        <v>3.7738093728994899E+17</v>
      </c>
      <c r="Q264">
        <f t="shared" si="93"/>
        <v>39.889325027740966</v>
      </c>
      <c r="R264"/>
    </row>
    <row r="265" spans="1:18">
      <c r="A265">
        <f t="shared" si="88"/>
        <v>0</v>
      </c>
      <c r="B265">
        <f t="shared" si="89"/>
        <v>1</v>
      </c>
      <c r="C265">
        <f t="shared" si="94"/>
        <v>60.335586727585039</v>
      </c>
      <c r="D265" s="4">
        <f t="shared" si="95"/>
        <v>0</v>
      </c>
      <c r="E265" s="21">
        <f t="shared" si="96"/>
        <v>321435176216.14899</v>
      </c>
      <c r="F265" s="21">
        <f t="shared" si="82"/>
        <v>0</v>
      </c>
      <c r="G265" s="21">
        <f t="shared" si="90"/>
        <v>1380261.977896204</v>
      </c>
      <c r="H265" s="43">
        <f t="shared" si="97"/>
        <v>0.98780582001210004</v>
      </c>
      <c r="I265" s="21">
        <f t="shared" si="98"/>
        <v>397669245.54099095</v>
      </c>
      <c r="J265" s="3">
        <f t="shared" si="83"/>
        <v>1.3426290479811602</v>
      </c>
      <c r="K265" s="3">
        <f t="shared" si="91"/>
        <v>200045375.3365832</v>
      </c>
      <c r="L265" s="41">
        <f t="shared" si="84"/>
        <v>0.66727954622722097</v>
      </c>
      <c r="M265" s="3">
        <f t="shared" si="85"/>
        <v>148995268.37839594</v>
      </c>
      <c r="N265" s="41">
        <f t="shared" si="86"/>
        <v>0.66727954622722097</v>
      </c>
      <c r="O265" s="3">
        <f t="shared" si="87"/>
        <v>3927801419116496</v>
      </c>
      <c r="P265" s="3">
        <f t="shared" si="92"/>
        <v>3.7895917527412941E+17</v>
      </c>
      <c r="Q265">
        <f t="shared" si="93"/>
        <v>40.05614545161874</v>
      </c>
      <c r="R265"/>
    </row>
    <row r="266" spans="1:18">
      <c r="A266">
        <f t="shared" si="88"/>
        <v>0</v>
      </c>
      <c r="B266">
        <f t="shared" si="89"/>
        <v>1</v>
      </c>
      <c r="C266">
        <f t="shared" si="94"/>
        <v>60.585586727585039</v>
      </c>
      <c r="D266" s="4">
        <f t="shared" si="95"/>
        <v>0</v>
      </c>
      <c r="E266" s="21">
        <f t="shared" si="96"/>
        <v>321432415692.19318</v>
      </c>
      <c r="F266" s="21">
        <f t="shared" si="82"/>
        <v>0</v>
      </c>
      <c r="G266" s="21">
        <f t="shared" si="90"/>
        <v>1380261.977896204</v>
      </c>
      <c r="H266" s="43">
        <f t="shared" si="97"/>
        <v>0.98776015845380505</v>
      </c>
      <c r="I266" s="21">
        <f t="shared" si="98"/>
        <v>399049507.51888716</v>
      </c>
      <c r="J266" s="3">
        <f t="shared" si="83"/>
        <v>1.3426290479811602</v>
      </c>
      <c r="K266" s="3">
        <f t="shared" si="91"/>
        <v>200045375.3365832</v>
      </c>
      <c r="L266" s="41">
        <f t="shared" si="84"/>
        <v>0.66727954622722097</v>
      </c>
      <c r="M266" s="3">
        <f t="shared" si="85"/>
        <v>148995268.37839594</v>
      </c>
      <c r="N266" s="41">
        <f t="shared" si="86"/>
        <v>0.66727954622722097</v>
      </c>
      <c r="O266" s="3">
        <f t="shared" si="87"/>
        <v>3927801419116496</v>
      </c>
      <c r="P266" s="3">
        <f t="shared" si="92"/>
        <v>3.8053741325830982E+17</v>
      </c>
      <c r="Q266">
        <f t="shared" si="93"/>
        <v>40.222965875496506</v>
      </c>
      <c r="R266"/>
    </row>
    <row r="267" spans="1:18">
      <c r="A267">
        <f t="shared" si="88"/>
        <v>0</v>
      </c>
      <c r="B267">
        <f t="shared" si="89"/>
        <v>1</v>
      </c>
      <c r="C267">
        <f t="shared" si="94"/>
        <v>60.835586727585039</v>
      </c>
      <c r="D267" s="4">
        <f t="shared" si="95"/>
        <v>0</v>
      </c>
      <c r="E267" s="21">
        <f t="shared" si="96"/>
        <v>321429655168.23737</v>
      </c>
      <c r="F267" s="21">
        <f t="shared" si="82"/>
        <v>0</v>
      </c>
      <c r="G267" s="21">
        <f t="shared" si="90"/>
        <v>1380261.977896204</v>
      </c>
      <c r="H267" s="43">
        <f t="shared" si="97"/>
        <v>0.98771449689551005</v>
      </c>
      <c r="I267" s="21">
        <f t="shared" si="98"/>
        <v>400429769.49678338</v>
      </c>
      <c r="J267" s="3">
        <f t="shared" si="83"/>
        <v>1.3426290479811602</v>
      </c>
      <c r="K267" s="3">
        <f t="shared" si="91"/>
        <v>200045375.3365832</v>
      </c>
      <c r="L267" s="41">
        <f t="shared" si="84"/>
        <v>0.66727954622722097</v>
      </c>
      <c r="M267" s="3">
        <f t="shared" si="85"/>
        <v>148995268.37839594</v>
      </c>
      <c r="N267" s="41">
        <f t="shared" si="86"/>
        <v>0.66727954622722097</v>
      </c>
      <c r="O267" s="3">
        <f t="shared" si="87"/>
        <v>3927801419116496</v>
      </c>
      <c r="P267" s="3">
        <f t="shared" si="92"/>
        <v>3.8211565124249024E+17</v>
      </c>
      <c r="Q267">
        <f t="shared" si="93"/>
        <v>40.389786299374279</v>
      </c>
      <c r="R267"/>
    </row>
    <row r="268" spans="1:18">
      <c r="A268">
        <f t="shared" si="88"/>
        <v>0</v>
      </c>
      <c r="B268">
        <f t="shared" si="89"/>
        <v>1</v>
      </c>
      <c r="C268">
        <f t="shared" si="94"/>
        <v>61.085586727585039</v>
      </c>
      <c r="D268" s="4">
        <f t="shared" si="95"/>
        <v>0</v>
      </c>
      <c r="E268" s="21">
        <f t="shared" si="96"/>
        <v>321426894644.28156</v>
      </c>
      <c r="F268" s="21">
        <f t="shared" si="82"/>
        <v>0</v>
      </c>
      <c r="G268" s="21">
        <f t="shared" si="90"/>
        <v>1380261.977896204</v>
      </c>
      <c r="H268" s="43">
        <f t="shared" si="97"/>
        <v>0.98766883533721506</v>
      </c>
      <c r="I268" s="21">
        <f t="shared" si="98"/>
        <v>401810031.47467959</v>
      </c>
      <c r="J268" s="3">
        <f t="shared" si="83"/>
        <v>1.3426290479811602</v>
      </c>
      <c r="K268" s="3">
        <f t="shared" si="91"/>
        <v>200045375.3365832</v>
      </c>
      <c r="L268" s="41">
        <f t="shared" si="84"/>
        <v>0.66727954622722097</v>
      </c>
      <c r="M268" s="3">
        <f t="shared" si="85"/>
        <v>148995268.37839594</v>
      </c>
      <c r="N268" s="41">
        <f t="shared" si="86"/>
        <v>0.66727954622722097</v>
      </c>
      <c r="O268" s="3">
        <f t="shared" si="87"/>
        <v>3927801419116496</v>
      </c>
      <c r="P268" s="3">
        <f t="shared" si="92"/>
        <v>3.8369388922667066E+17</v>
      </c>
      <c r="Q268">
        <f t="shared" si="93"/>
        <v>40.556606723252045</v>
      </c>
      <c r="R268"/>
    </row>
    <row r="269" spans="1:18">
      <c r="A269">
        <f t="shared" si="88"/>
        <v>0</v>
      </c>
      <c r="B269">
        <f t="shared" si="89"/>
        <v>1</v>
      </c>
      <c r="C269">
        <f t="shared" si="94"/>
        <v>61.335586727585039</v>
      </c>
      <c r="D269" s="4">
        <f t="shared" si="95"/>
        <v>0</v>
      </c>
      <c r="E269" s="21">
        <f t="shared" si="96"/>
        <v>321424134120.32574</v>
      </c>
      <c r="F269" s="21">
        <f t="shared" si="82"/>
        <v>0</v>
      </c>
      <c r="G269" s="21">
        <f t="shared" si="90"/>
        <v>1380261.977896204</v>
      </c>
      <c r="H269" s="43">
        <f t="shared" si="97"/>
        <v>0.98762317377892006</v>
      </c>
      <c r="I269" s="21">
        <f t="shared" si="98"/>
        <v>403190293.4525758</v>
      </c>
      <c r="J269" s="3">
        <f t="shared" si="83"/>
        <v>1.3426290479811602</v>
      </c>
      <c r="K269" s="3">
        <f t="shared" si="91"/>
        <v>200045375.3365832</v>
      </c>
      <c r="L269" s="41">
        <f t="shared" si="84"/>
        <v>0.66727954622722097</v>
      </c>
      <c r="M269" s="3">
        <f t="shared" si="85"/>
        <v>148995268.37839594</v>
      </c>
      <c r="N269" s="41">
        <f t="shared" si="86"/>
        <v>0.66727954622722097</v>
      </c>
      <c r="O269" s="3">
        <f t="shared" si="87"/>
        <v>3927801419116496</v>
      </c>
      <c r="P269" s="3">
        <f t="shared" si="92"/>
        <v>3.8527212721085107E+17</v>
      </c>
      <c r="Q269">
        <f t="shared" si="93"/>
        <v>40.723427147129819</v>
      </c>
      <c r="R269"/>
    </row>
    <row r="270" spans="1:18">
      <c r="A270">
        <f t="shared" si="88"/>
        <v>0</v>
      </c>
      <c r="B270">
        <f t="shared" si="89"/>
        <v>1</v>
      </c>
      <c r="C270">
        <f t="shared" si="94"/>
        <v>61.585586727585039</v>
      </c>
      <c r="D270" s="4">
        <f t="shared" si="95"/>
        <v>0</v>
      </c>
      <c r="E270" s="21">
        <f t="shared" si="96"/>
        <v>321421373596.36993</v>
      </c>
      <c r="F270" s="21">
        <f t="shared" si="82"/>
        <v>0</v>
      </c>
      <c r="G270" s="21">
        <f t="shared" si="90"/>
        <v>1380261.977896204</v>
      </c>
      <c r="H270" s="43">
        <f t="shared" si="97"/>
        <v>0.98757751222062495</v>
      </c>
      <c r="I270" s="21">
        <f t="shared" si="98"/>
        <v>404570555.43047202</v>
      </c>
      <c r="J270" s="3">
        <f t="shared" si="83"/>
        <v>1.3426290479811602</v>
      </c>
      <c r="K270" s="3">
        <f t="shared" si="91"/>
        <v>200045375.3365832</v>
      </c>
      <c r="L270" s="41">
        <f t="shared" si="84"/>
        <v>0.66727954622722097</v>
      </c>
      <c r="M270" s="3">
        <f t="shared" si="85"/>
        <v>148995268.37839594</v>
      </c>
      <c r="N270" s="41">
        <f t="shared" si="86"/>
        <v>0.66727954622722097</v>
      </c>
      <c r="O270" s="3">
        <f t="shared" si="87"/>
        <v>3927801419116496</v>
      </c>
      <c r="P270" s="3">
        <f t="shared" si="92"/>
        <v>3.8685036519503149E+17</v>
      </c>
      <c r="Q270">
        <f t="shared" si="93"/>
        <v>40.890247571007585</v>
      </c>
      <c r="R270"/>
    </row>
    <row r="271" spans="1:18">
      <c r="A271">
        <f t="shared" si="88"/>
        <v>0</v>
      </c>
      <c r="B271">
        <f t="shared" si="89"/>
        <v>1</v>
      </c>
      <c r="C271">
        <f t="shared" si="94"/>
        <v>61.835586727585039</v>
      </c>
      <c r="D271" s="4">
        <f t="shared" si="95"/>
        <v>0</v>
      </c>
      <c r="E271" s="21">
        <f t="shared" si="96"/>
        <v>321418613072.41412</v>
      </c>
      <c r="F271" s="21">
        <f t="shared" si="82"/>
        <v>0</v>
      </c>
      <c r="G271" s="21">
        <f t="shared" si="90"/>
        <v>1380261.977896204</v>
      </c>
      <c r="H271" s="43">
        <f t="shared" si="97"/>
        <v>0.98753185066232996</v>
      </c>
      <c r="I271" s="21">
        <f t="shared" si="98"/>
        <v>405950817.40836823</v>
      </c>
      <c r="J271" s="3">
        <f t="shared" si="83"/>
        <v>1.3426290479811602</v>
      </c>
      <c r="K271" s="3">
        <f t="shared" si="91"/>
        <v>200045375.3365832</v>
      </c>
      <c r="L271" s="41">
        <f t="shared" si="84"/>
        <v>0.66727954622722097</v>
      </c>
      <c r="M271" s="3">
        <f t="shared" si="85"/>
        <v>148995268.37839594</v>
      </c>
      <c r="N271" s="41">
        <f t="shared" si="86"/>
        <v>0.66727954622722097</v>
      </c>
      <c r="O271" s="3">
        <f t="shared" si="87"/>
        <v>3927801419116496</v>
      </c>
      <c r="P271" s="3">
        <f t="shared" si="92"/>
        <v>3.884286031792119E+17</v>
      </c>
      <c r="Q271">
        <f t="shared" si="93"/>
        <v>41.057067994885358</v>
      </c>
      <c r="R271"/>
    </row>
    <row r="272" spans="1:18">
      <c r="A272">
        <f t="shared" si="88"/>
        <v>0</v>
      </c>
      <c r="B272">
        <f t="shared" si="89"/>
        <v>1</v>
      </c>
      <c r="C272">
        <f t="shared" si="94"/>
        <v>62.085586727585039</v>
      </c>
      <c r="D272" s="4">
        <f t="shared" si="95"/>
        <v>0</v>
      </c>
      <c r="E272" s="21">
        <f t="shared" si="96"/>
        <v>321415852548.45831</v>
      </c>
      <c r="F272" s="21">
        <f t="shared" si="82"/>
        <v>0</v>
      </c>
      <c r="G272" s="21">
        <f t="shared" si="90"/>
        <v>1380261.977896204</v>
      </c>
      <c r="H272" s="43">
        <f t="shared" si="97"/>
        <v>0.98748618910403496</v>
      </c>
      <c r="I272" s="21">
        <f t="shared" si="98"/>
        <v>407331079.38626444</v>
      </c>
      <c r="J272" s="3">
        <f t="shared" si="83"/>
        <v>1.3426290479811602</v>
      </c>
      <c r="K272" s="3">
        <f t="shared" si="91"/>
        <v>200045375.3365832</v>
      </c>
      <c r="L272" s="41">
        <f t="shared" si="84"/>
        <v>0.66727954622722097</v>
      </c>
      <c r="M272" s="3">
        <f t="shared" si="85"/>
        <v>148995268.37839594</v>
      </c>
      <c r="N272" s="41">
        <f t="shared" si="86"/>
        <v>0.66727954622722097</v>
      </c>
      <c r="O272" s="3">
        <f t="shared" si="87"/>
        <v>3927801419116496</v>
      </c>
      <c r="P272" s="3">
        <f t="shared" si="92"/>
        <v>3.9000684116339232E+17</v>
      </c>
      <c r="Q272">
        <f t="shared" si="93"/>
        <v>41.223888418763124</v>
      </c>
      <c r="R272"/>
    </row>
    <row r="273" spans="1:18">
      <c r="A273">
        <f t="shared" si="88"/>
        <v>0</v>
      </c>
      <c r="B273">
        <f t="shared" si="89"/>
        <v>1</v>
      </c>
      <c r="C273">
        <f t="shared" si="94"/>
        <v>62.335586727585039</v>
      </c>
      <c r="D273" s="4">
        <f t="shared" si="95"/>
        <v>0</v>
      </c>
      <c r="E273" s="21">
        <f t="shared" si="96"/>
        <v>321413092024.5025</v>
      </c>
      <c r="F273" s="21">
        <f t="shared" si="82"/>
        <v>0</v>
      </c>
      <c r="G273" s="21">
        <f t="shared" si="90"/>
        <v>1380261.977896204</v>
      </c>
      <c r="H273" s="43">
        <f t="shared" si="97"/>
        <v>0.98744052754573997</v>
      </c>
      <c r="I273" s="21">
        <f t="shared" si="98"/>
        <v>408711341.36416066</v>
      </c>
      <c r="J273" s="3">
        <f t="shared" si="83"/>
        <v>1.3426290479811602</v>
      </c>
      <c r="K273" s="3">
        <f t="shared" si="91"/>
        <v>200045375.3365832</v>
      </c>
      <c r="L273" s="41">
        <f t="shared" si="84"/>
        <v>0.66727954622722097</v>
      </c>
      <c r="M273" s="3">
        <f t="shared" si="85"/>
        <v>148995268.37839594</v>
      </c>
      <c r="N273" s="41">
        <f t="shared" si="86"/>
        <v>0.66727954622722097</v>
      </c>
      <c r="O273" s="3">
        <f t="shared" si="87"/>
        <v>3927801419116496</v>
      </c>
      <c r="P273" s="3">
        <f t="shared" si="92"/>
        <v>3.9158507914757274E+17</v>
      </c>
      <c r="Q273">
        <f t="shared" si="93"/>
        <v>41.390708842640898</v>
      </c>
      <c r="R273"/>
    </row>
    <row r="274" spans="1:18">
      <c r="A274">
        <f t="shared" si="88"/>
        <v>0</v>
      </c>
      <c r="B274">
        <f t="shared" si="89"/>
        <v>1</v>
      </c>
      <c r="C274">
        <f t="shared" si="94"/>
        <v>62.585586727585039</v>
      </c>
      <c r="D274" s="4">
        <f t="shared" si="95"/>
        <v>0</v>
      </c>
      <c r="E274" s="21">
        <f t="shared" si="96"/>
        <v>321410331500.54669</v>
      </c>
      <c r="F274" s="21">
        <f t="shared" si="82"/>
        <v>0</v>
      </c>
      <c r="G274" s="21">
        <f t="shared" si="90"/>
        <v>1380261.977896204</v>
      </c>
      <c r="H274" s="43">
        <f t="shared" si="97"/>
        <v>0.98739486598744497</v>
      </c>
      <c r="I274" s="21">
        <f t="shared" si="98"/>
        <v>410091603.34205687</v>
      </c>
      <c r="J274" s="3">
        <f t="shared" si="83"/>
        <v>1.3426290479811602</v>
      </c>
      <c r="K274" s="3">
        <f t="shared" si="91"/>
        <v>200045375.3365832</v>
      </c>
      <c r="L274" s="41">
        <f t="shared" si="84"/>
        <v>0.66727954622722097</v>
      </c>
      <c r="M274" s="3">
        <f t="shared" si="85"/>
        <v>148995268.37839594</v>
      </c>
      <c r="N274" s="41">
        <f t="shared" si="86"/>
        <v>0.66727954622722097</v>
      </c>
      <c r="O274" s="3">
        <f t="shared" si="87"/>
        <v>3927801419116496</v>
      </c>
      <c r="P274" s="3">
        <f t="shared" si="92"/>
        <v>3.9316331713175315E+17</v>
      </c>
      <c r="Q274">
        <f t="shared" si="93"/>
        <v>41.557529266518664</v>
      </c>
      <c r="R274"/>
    </row>
    <row r="275" spans="1:18">
      <c r="A275">
        <f t="shared" si="88"/>
        <v>0</v>
      </c>
      <c r="B275">
        <f t="shared" si="89"/>
        <v>1</v>
      </c>
      <c r="C275">
        <f t="shared" si="94"/>
        <v>62.835586727585039</v>
      </c>
      <c r="D275" s="4">
        <f t="shared" si="95"/>
        <v>0</v>
      </c>
      <c r="E275" s="21">
        <f t="shared" si="96"/>
        <v>321407570976.59088</v>
      </c>
      <c r="F275" s="21">
        <f t="shared" ref="F275:F338" si="99">IF(B275=1,0,IF(B275=3,0,IF(E275&gt;$C$3,E275*$C$5,0)))</f>
        <v>0</v>
      </c>
      <c r="G275" s="21">
        <f t="shared" si="90"/>
        <v>1380261.977896204</v>
      </c>
      <c r="H275" s="43">
        <f t="shared" si="97"/>
        <v>0.98734920442914986</v>
      </c>
      <c r="I275" s="21">
        <f t="shared" si="98"/>
        <v>411471865.31995308</v>
      </c>
      <c r="J275" s="3">
        <f t="shared" ref="J275:J338" si="100">IF(B275=1,$J$9,SQRT(1+($C$5*A275/$C$16)^2))</f>
        <v>1.3426290479811602</v>
      </c>
      <c r="K275" s="3">
        <f t="shared" si="91"/>
        <v>200045375.3365832</v>
      </c>
      <c r="L275" s="41">
        <f t="shared" ref="L275:L320" si="101">K275/$C$16</f>
        <v>0.66727954622722097</v>
      </c>
      <c r="M275" s="3">
        <f t="shared" ref="M275:M320" si="102">K275/J275</f>
        <v>148995268.37839594</v>
      </c>
      <c r="N275" s="41">
        <f t="shared" ref="N275:N320" si="103">K275/$C$16</f>
        <v>0.66727954622722097</v>
      </c>
      <c r="O275" s="3">
        <f t="shared" ref="O275:O320" si="104">$D$16/$C$5*(J275-1)</f>
        <v>3927801419116496</v>
      </c>
      <c r="P275" s="3">
        <f t="shared" si="92"/>
        <v>3.9474155511593357E+17</v>
      </c>
      <c r="Q275">
        <f t="shared" si="93"/>
        <v>41.724349690396437</v>
      </c>
      <c r="R275"/>
    </row>
    <row r="276" spans="1:18">
      <c r="A276">
        <f t="shared" ref="A276:A339" si="105">IF(B276=3,0,IF(B276=1,0,IF(B276=0,C276,$G$8-C276)))*$C$14</f>
        <v>0</v>
      </c>
      <c r="B276">
        <f t="shared" ref="B276:B320" si="106">IF(P275&lt;$E$9,0,IF(P275&gt;$D$8,3,IF(P275&gt;$D$8-$E$9,2,1)))</f>
        <v>1</v>
      </c>
      <c r="C276">
        <f t="shared" si="94"/>
        <v>63.085586727585039</v>
      </c>
      <c r="D276" s="4">
        <f t="shared" si="95"/>
        <v>0</v>
      </c>
      <c r="E276" s="21">
        <f t="shared" si="96"/>
        <v>321404810452.63507</v>
      </c>
      <c r="F276" s="21">
        <f t="shared" si="99"/>
        <v>0</v>
      </c>
      <c r="G276" s="21">
        <f t="shared" ref="G276:G320" si="107">F276*$C$14*$D$11*$C$6/1000+$C$12</f>
        <v>1380261.977896204</v>
      </c>
      <c r="H276" s="43">
        <f t="shared" si="97"/>
        <v>0.98730354287085487</v>
      </c>
      <c r="I276" s="21">
        <f t="shared" si="98"/>
        <v>412852127.2978493</v>
      </c>
      <c r="J276" s="3">
        <f t="shared" si="100"/>
        <v>1.3426290479811602</v>
      </c>
      <c r="K276" s="3">
        <f t="shared" ref="K276:K339" si="108">IF(B276=1,$K$9,$C$5*A276/J276)</f>
        <v>200045375.3365832</v>
      </c>
      <c r="L276" s="41">
        <f t="shared" si="101"/>
        <v>0.66727954622722097</v>
      </c>
      <c r="M276" s="3">
        <f t="shared" si="102"/>
        <v>148995268.37839594</v>
      </c>
      <c r="N276" s="41">
        <f t="shared" si="103"/>
        <v>0.66727954622722097</v>
      </c>
      <c r="O276" s="3">
        <f t="shared" si="104"/>
        <v>3927801419116496</v>
      </c>
      <c r="P276" s="3">
        <f t="shared" ref="P276:P320" si="109">IF(B276=0,O276,IF(B276=2,$D$8-O276,IF(B276=1,P275+$K$9*(C276-C275)*$C$14)))</f>
        <v>3.9631979310011398E+17</v>
      </c>
      <c r="Q276">
        <f t="shared" ref="Q276:Q320" si="110">P276/$C$15</f>
        <v>41.891170114274203</v>
      </c>
      <c r="R276"/>
    </row>
    <row r="277" spans="1:18">
      <c r="A277">
        <f t="shared" si="105"/>
        <v>0</v>
      </c>
      <c r="B277">
        <f t="shared" si="106"/>
        <v>1</v>
      </c>
      <c r="C277">
        <f t="shared" si="94"/>
        <v>63.335586727585039</v>
      </c>
      <c r="D277" s="4">
        <f t="shared" si="95"/>
        <v>0</v>
      </c>
      <c r="E277" s="21">
        <f t="shared" si="96"/>
        <v>321402049928.67926</v>
      </c>
      <c r="F277" s="21">
        <f t="shared" si="99"/>
        <v>0</v>
      </c>
      <c r="G277" s="21">
        <f t="shared" si="107"/>
        <v>1380261.977896204</v>
      </c>
      <c r="H277" s="43">
        <f t="shared" si="97"/>
        <v>0.98725788131255987</v>
      </c>
      <c r="I277" s="21">
        <f t="shared" si="98"/>
        <v>414232389.27574551</v>
      </c>
      <c r="J277" s="3">
        <f t="shared" si="100"/>
        <v>1.3426290479811602</v>
      </c>
      <c r="K277" s="3">
        <f t="shared" si="108"/>
        <v>200045375.3365832</v>
      </c>
      <c r="L277" s="41">
        <f t="shared" si="101"/>
        <v>0.66727954622722097</v>
      </c>
      <c r="M277" s="3">
        <f t="shared" si="102"/>
        <v>148995268.37839594</v>
      </c>
      <c r="N277" s="41">
        <f t="shared" si="103"/>
        <v>0.66727954622722097</v>
      </c>
      <c r="O277" s="3">
        <f t="shared" si="104"/>
        <v>3927801419116496</v>
      </c>
      <c r="P277" s="3">
        <f t="shared" si="109"/>
        <v>3.978980310842944E+17</v>
      </c>
      <c r="Q277">
        <f t="shared" si="110"/>
        <v>42.057990538151977</v>
      </c>
      <c r="R277"/>
    </row>
    <row r="278" spans="1:18">
      <c r="A278">
        <f t="shared" si="105"/>
        <v>0</v>
      </c>
      <c r="B278">
        <f t="shared" si="106"/>
        <v>1</v>
      </c>
      <c r="C278">
        <f t="shared" si="94"/>
        <v>63.585586727585039</v>
      </c>
      <c r="D278" s="4">
        <f t="shared" si="95"/>
        <v>0</v>
      </c>
      <c r="E278" s="21">
        <f t="shared" si="96"/>
        <v>321399289404.72345</v>
      </c>
      <c r="F278" s="21">
        <f t="shared" si="99"/>
        <v>0</v>
      </c>
      <c r="G278" s="21">
        <f t="shared" si="107"/>
        <v>1380261.977896204</v>
      </c>
      <c r="H278" s="43">
        <f t="shared" si="97"/>
        <v>0.98721221975426487</v>
      </c>
      <c r="I278" s="21">
        <f t="shared" si="98"/>
        <v>415612651.25364172</v>
      </c>
      <c r="J278" s="3">
        <f t="shared" si="100"/>
        <v>1.3426290479811602</v>
      </c>
      <c r="K278" s="3">
        <f t="shared" si="108"/>
        <v>200045375.3365832</v>
      </c>
      <c r="L278" s="41">
        <f t="shared" si="101"/>
        <v>0.66727954622722097</v>
      </c>
      <c r="M278" s="3">
        <f t="shared" si="102"/>
        <v>148995268.37839594</v>
      </c>
      <c r="N278" s="41">
        <f t="shared" si="103"/>
        <v>0.66727954622722097</v>
      </c>
      <c r="O278" s="3">
        <f t="shared" si="104"/>
        <v>3927801419116496</v>
      </c>
      <c r="P278" s="3">
        <f t="shared" si="109"/>
        <v>3.9947626906847482E+17</v>
      </c>
      <c r="Q278">
        <f t="shared" si="110"/>
        <v>42.224810962029743</v>
      </c>
      <c r="R278"/>
    </row>
    <row r="279" spans="1:18">
      <c r="A279">
        <f t="shared" si="105"/>
        <v>0</v>
      </c>
      <c r="B279">
        <f t="shared" si="106"/>
        <v>1</v>
      </c>
      <c r="C279">
        <f t="shared" si="94"/>
        <v>63.835586727585039</v>
      </c>
      <c r="D279" s="4">
        <f t="shared" si="95"/>
        <v>0</v>
      </c>
      <c r="E279" s="21">
        <f t="shared" si="96"/>
        <v>321396528880.76764</v>
      </c>
      <c r="F279" s="21">
        <f t="shared" si="99"/>
        <v>0</v>
      </c>
      <c r="G279" s="21">
        <f t="shared" si="107"/>
        <v>1380261.977896204</v>
      </c>
      <c r="H279" s="43">
        <f t="shared" si="97"/>
        <v>0.98716655819596988</v>
      </c>
      <c r="I279" s="21">
        <f t="shared" si="98"/>
        <v>416992913.23153794</v>
      </c>
      <c r="J279" s="3">
        <f t="shared" si="100"/>
        <v>1.3426290479811602</v>
      </c>
      <c r="K279" s="3">
        <f t="shared" si="108"/>
        <v>200045375.3365832</v>
      </c>
      <c r="L279" s="41">
        <f t="shared" si="101"/>
        <v>0.66727954622722097</v>
      </c>
      <c r="M279" s="3">
        <f t="shared" si="102"/>
        <v>148995268.37839594</v>
      </c>
      <c r="N279" s="41">
        <f t="shared" si="103"/>
        <v>0.66727954622722097</v>
      </c>
      <c r="O279" s="3">
        <f t="shared" si="104"/>
        <v>3927801419116496</v>
      </c>
      <c r="P279" s="3">
        <f t="shared" si="109"/>
        <v>4.0105450705265523E+17</v>
      </c>
      <c r="Q279">
        <f t="shared" si="110"/>
        <v>42.391631385907516</v>
      </c>
      <c r="R279"/>
    </row>
    <row r="280" spans="1:18">
      <c r="A280">
        <f t="shared" si="105"/>
        <v>0</v>
      </c>
      <c r="B280">
        <f t="shared" si="106"/>
        <v>1</v>
      </c>
      <c r="C280">
        <f t="shared" si="94"/>
        <v>64.085586727585039</v>
      </c>
      <c r="D280" s="4">
        <f t="shared" si="95"/>
        <v>0</v>
      </c>
      <c r="E280" s="21">
        <f t="shared" si="96"/>
        <v>321393768356.81183</v>
      </c>
      <c r="F280" s="21">
        <f t="shared" si="99"/>
        <v>0</v>
      </c>
      <c r="G280" s="21">
        <f t="shared" si="107"/>
        <v>1380261.977896204</v>
      </c>
      <c r="H280" s="43">
        <f t="shared" si="97"/>
        <v>0.98712089663767488</v>
      </c>
      <c r="I280" s="21">
        <f t="shared" si="98"/>
        <v>418373175.20943415</v>
      </c>
      <c r="J280" s="3">
        <f t="shared" si="100"/>
        <v>1.3426290479811602</v>
      </c>
      <c r="K280" s="3">
        <f t="shared" si="108"/>
        <v>200045375.3365832</v>
      </c>
      <c r="L280" s="41">
        <f t="shared" si="101"/>
        <v>0.66727954622722097</v>
      </c>
      <c r="M280" s="3">
        <f t="shared" si="102"/>
        <v>148995268.37839594</v>
      </c>
      <c r="N280" s="41">
        <f t="shared" si="103"/>
        <v>0.66727954622722097</v>
      </c>
      <c r="O280" s="3">
        <f t="shared" si="104"/>
        <v>3927801419116496</v>
      </c>
      <c r="P280" s="3">
        <f t="shared" si="109"/>
        <v>4.0263274503683565E+17</v>
      </c>
      <c r="Q280">
        <f t="shared" si="110"/>
        <v>42.558451809785282</v>
      </c>
      <c r="R280"/>
    </row>
    <row r="281" spans="1:18">
      <c r="A281">
        <f t="shared" si="105"/>
        <v>0</v>
      </c>
      <c r="B281">
        <f t="shared" si="106"/>
        <v>1</v>
      </c>
      <c r="C281">
        <f t="shared" ref="C281:C282" si="111">C280+$D$11</f>
        <v>64.335586727585039</v>
      </c>
      <c r="D281" s="4">
        <f t="shared" ref="D281:D282" si="112">$C$16/$C$5*ASINH($C$5*A281*$C$14/$C$16)/$C$14</f>
        <v>0</v>
      </c>
      <c r="E281" s="21">
        <f t="shared" ref="E281:E282" si="113">E280-G280-$C$12</f>
        <v>321391007832.85602</v>
      </c>
      <c r="F281" s="21">
        <f t="shared" si="99"/>
        <v>0</v>
      </c>
      <c r="G281" s="21">
        <f t="shared" si="107"/>
        <v>1380261.977896204</v>
      </c>
      <c r="H281" s="43">
        <f t="shared" ref="H281:H282" si="114">1-(($E$18-E281)/$C$4)</f>
        <v>0.98707523507937978</v>
      </c>
      <c r="I281" s="21">
        <f t="shared" ref="I281:I282" si="115">I280+G281</f>
        <v>419753437.18733037</v>
      </c>
      <c r="J281" s="3">
        <f t="shared" si="100"/>
        <v>1.3426290479811602</v>
      </c>
      <c r="K281" s="3">
        <f t="shared" si="108"/>
        <v>200045375.3365832</v>
      </c>
      <c r="L281" s="41">
        <f t="shared" si="101"/>
        <v>0.66727954622722097</v>
      </c>
      <c r="M281" s="3">
        <f t="shared" si="102"/>
        <v>148995268.37839594</v>
      </c>
      <c r="N281" s="41">
        <f t="shared" si="103"/>
        <v>0.66727954622722097</v>
      </c>
      <c r="O281" s="3">
        <f t="shared" si="104"/>
        <v>3927801419116496</v>
      </c>
      <c r="P281" s="3">
        <f t="shared" si="109"/>
        <v>4.0421098302101606E+17</v>
      </c>
      <c r="Q281">
        <f t="shared" si="110"/>
        <v>42.725272233663055</v>
      </c>
      <c r="R281"/>
    </row>
    <row r="282" spans="1:18">
      <c r="A282">
        <f t="shared" si="105"/>
        <v>0</v>
      </c>
      <c r="B282">
        <f t="shared" si="106"/>
        <v>1</v>
      </c>
      <c r="C282">
        <f t="shared" si="111"/>
        <v>64.585586727585039</v>
      </c>
      <c r="D282" s="4">
        <f t="shared" si="112"/>
        <v>0</v>
      </c>
      <c r="E282" s="21">
        <f t="shared" si="113"/>
        <v>321388247308.90021</v>
      </c>
      <c r="F282" s="21">
        <f t="shared" si="99"/>
        <v>0</v>
      </c>
      <c r="G282" s="21">
        <f t="shared" si="107"/>
        <v>1380261.977896204</v>
      </c>
      <c r="H282" s="43">
        <f t="shared" si="114"/>
        <v>0.98702957352108478</v>
      </c>
      <c r="I282" s="21">
        <f t="shared" si="115"/>
        <v>421133699.16522658</v>
      </c>
      <c r="J282" s="3">
        <f t="shared" si="100"/>
        <v>1.3426290479811602</v>
      </c>
      <c r="K282" s="3">
        <f t="shared" si="108"/>
        <v>200045375.3365832</v>
      </c>
      <c r="L282" s="41">
        <f t="shared" si="101"/>
        <v>0.66727954622722097</v>
      </c>
      <c r="M282" s="3">
        <f t="shared" si="102"/>
        <v>148995268.37839594</v>
      </c>
      <c r="N282" s="41">
        <f t="shared" si="103"/>
        <v>0.66727954622722097</v>
      </c>
      <c r="O282" s="3">
        <f t="shared" si="104"/>
        <v>3927801419116496</v>
      </c>
      <c r="P282" s="3">
        <f t="shared" si="109"/>
        <v>4.0578922100519648E+17</v>
      </c>
      <c r="Q282">
        <f t="shared" si="110"/>
        <v>42.892092657540822</v>
      </c>
      <c r="R282"/>
    </row>
    <row r="283" spans="1:18">
      <c r="A283">
        <f t="shared" si="105"/>
        <v>0</v>
      </c>
      <c r="B283">
        <f t="shared" si="106"/>
        <v>1</v>
      </c>
      <c r="C283">
        <f t="shared" ref="C283:C346" si="116">C282+$D$11</f>
        <v>64.835586727585039</v>
      </c>
      <c r="D283" s="4">
        <f t="shared" ref="D283:D320" si="117">$C$16/$C$5*ASINH($C$5*A283*$C$14/$C$16)/$C$14</f>
        <v>0</v>
      </c>
      <c r="E283" s="21">
        <f t="shared" ref="E283:E320" si="118">E282-G282-$C$12</f>
        <v>321385486784.9444</v>
      </c>
      <c r="F283" s="21">
        <f t="shared" si="99"/>
        <v>0</v>
      </c>
      <c r="G283" s="21">
        <f t="shared" si="107"/>
        <v>1380261.977896204</v>
      </c>
      <c r="H283" s="43">
        <f t="shared" ref="H283:H320" si="119">1-(($E$18-E283)/$C$4)</f>
        <v>0.98698391196278978</v>
      </c>
      <c r="I283" s="21">
        <f t="shared" ref="I283:I320" si="120">I282+G283</f>
        <v>422513961.14312279</v>
      </c>
      <c r="J283" s="3">
        <f t="shared" si="100"/>
        <v>1.3426290479811602</v>
      </c>
      <c r="K283" s="3">
        <f t="shared" si="108"/>
        <v>200045375.3365832</v>
      </c>
      <c r="L283" s="41">
        <f t="shared" si="101"/>
        <v>0.66727954622722097</v>
      </c>
      <c r="M283" s="3">
        <f t="shared" si="102"/>
        <v>148995268.37839594</v>
      </c>
      <c r="N283" s="41">
        <f t="shared" si="103"/>
        <v>0.66727954622722097</v>
      </c>
      <c r="O283" s="3">
        <f t="shared" si="104"/>
        <v>3927801419116496</v>
      </c>
      <c r="P283" s="3">
        <f t="shared" si="109"/>
        <v>4.073674589893769E+17</v>
      </c>
      <c r="Q283">
        <f t="shared" si="110"/>
        <v>43.058913081418595</v>
      </c>
      <c r="R283"/>
    </row>
    <row r="284" spans="1:18">
      <c r="A284">
        <f t="shared" si="105"/>
        <v>0</v>
      </c>
      <c r="B284">
        <f t="shared" si="106"/>
        <v>1</v>
      </c>
      <c r="C284">
        <f t="shared" si="116"/>
        <v>65.085586727585039</v>
      </c>
      <c r="D284" s="4">
        <f t="shared" si="117"/>
        <v>0</v>
      </c>
      <c r="E284" s="21">
        <f t="shared" si="118"/>
        <v>321382726260.98859</v>
      </c>
      <c r="F284" s="21">
        <f t="shared" si="99"/>
        <v>0</v>
      </c>
      <c r="G284" s="21">
        <f t="shared" si="107"/>
        <v>1380261.977896204</v>
      </c>
      <c r="H284" s="43">
        <f t="shared" si="119"/>
        <v>0.98693825040449479</v>
      </c>
      <c r="I284" s="21">
        <f t="shared" si="120"/>
        <v>423894223.12101901</v>
      </c>
      <c r="J284" s="3">
        <f t="shared" si="100"/>
        <v>1.3426290479811602</v>
      </c>
      <c r="K284" s="3">
        <f t="shared" si="108"/>
        <v>200045375.3365832</v>
      </c>
      <c r="L284" s="41">
        <f t="shared" si="101"/>
        <v>0.66727954622722097</v>
      </c>
      <c r="M284" s="3">
        <f t="shared" si="102"/>
        <v>148995268.37839594</v>
      </c>
      <c r="N284" s="41">
        <f t="shared" si="103"/>
        <v>0.66727954622722097</v>
      </c>
      <c r="O284" s="3">
        <f t="shared" si="104"/>
        <v>3927801419116496</v>
      </c>
      <c r="P284" s="3">
        <f t="shared" si="109"/>
        <v>4.0894569697355731E+17</v>
      </c>
      <c r="Q284">
        <f t="shared" si="110"/>
        <v>43.225733505296361</v>
      </c>
      <c r="R284"/>
    </row>
    <row r="285" spans="1:18">
      <c r="A285">
        <f t="shared" si="105"/>
        <v>0</v>
      </c>
      <c r="B285">
        <f t="shared" si="106"/>
        <v>1</v>
      </c>
      <c r="C285">
        <f t="shared" si="116"/>
        <v>65.335586727585039</v>
      </c>
      <c r="D285" s="4">
        <f t="shared" si="117"/>
        <v>0</v>
      </c>
      <c r="E285" s="21">
        <f t="shared" si="118"/>
        <v>321379965737.03278</v>
      </c>
      <c r="F285" s="21">
        <f t="shared" si="99"/>
        <v>0</v>
      </c>
      <c r="G285" s="21">
        <f t="shared" si="107"/>
        <v>1380261.977896204</v>
      </c>
      <c r="H285" s="43">
        <f t="shared" si="119"/>
        <v>0.98689258884619979</v>
      </c>
      <c r="I285" s="21">
        <f t="shared" si="120"/>
        <v>425274485.09891522</v>
      </c>
      <c r="J285" s="3">
        <f t="shared" si="100"/>
        <v>1.3426290479811602</v>
      </c>
      <c r="K285" s="3">
        <f t="shared" si="108"/>
        <v>200045375.3365832</v>
      </c>
      <c r="L285" s="41">
        <f t="shared" si="101"/>
        <v>0.66727954622722097</v>
      </c>
      <c r="M285" s="3">
        <f t="shared" si="102"/>
        <v>148995268.37839594</v>
      </c>
      <c r="N285" s="41">
        <f t="shared" si="103"/>
        <v>0.66727954622722097</v>
      </c>
      <c r="O285" s="3">
        <f t="shared" si="104"/>
        <v>3927801419116496</v>
      </c>
      <c r="P285" s="3">
        <f t="shared" si="109"/>
        <v>4.1052393495773773E+17</v>
      </c>
      <c r="Q285">
        <f t="shared" si="110"/>
        <v>43.392553929174134</v>
      </c>
      <c r="R285"/>
    </row>
    <row r="286" spans="1:18">
      <c r="A286">
        <f t="shared" si="105"/>
        <v>0</v>
      </c>
      <c r="B286">
        <f t="shared" si="106"/>
        <v>1</v>
      </c>
      <c r="C286">
        <f t="shared" si="116"/>
        <v>65.585586727585039</v>
      </c>
      <c r="D286" s="4">
        <f t="shared" si="117"/>
        <v>0</v>
      </c>
      <c r="E286" s="21">
        <f t="shared" si="118"/>
        <v>321377205213.07697</v>
      </c>
      <c r="F286" s="21">
        <f t="shared" si="99"/>
        <v>0</v>
      </c>
      <c r="G286" s="21">
        <f t="shared" si="107"/>
        <v>1380261.977896204</v>
      </c>
      <c r="H286" s="43">
        <f t="shared" si="119"/>
        <v>0.9868469272879048</v>
      </c>
      <c r="I286" s="21">
        <f t="shared" si="120"/>
        <v>426654747.07681143</v>
      </c>
      <c r="J286" s="3">
        <f t="shared" si="100"/>
        <v>1.3426290479811602</v>
      </c>
      <c r="K286" s="3">
        <f t="shared" si="108"/>
        <v>200045375.3365832</v>
      </c>
      <c r="L286" s="41">
        <f t="shared" si="101"/>
        <v>0.66727954622722097</v>
      </c>
      <c r="M286" s="3">
        <f t="shared" si="102"/>
        <v>148995268.37839594</v>
      </c>
      <c r="N286" s="41">
        <f t="shared" si="103"/>
        <v>0.66727954622722097</v>
      </c>
      <c r="O286" s="3">
        <f t="shared" si="104"/>
        <v>3927801419116496</v>
      </c>
      <c r="P286" s="3">
        <f t="shared" si="109"/>
        <v>4.1210217294191814E+17</v>
      </c>
      <c r="Q286">
        <f t="shared" si="110"/>
        <v>43.559374353051901</v>
      </c>
      <c r="R286"/>
    </row>
    <row r="287" spans="1:18">
      <c r="A287">
        <f t="shared" si="105"/>
        <v>0</v>
      </c>
      <c r="B287">
        <f t="shared" si="106"/>
        <v>1</v>
      </c>
      <c r="C287">
        <f t="shared" si="116"/>
        <v>65.835586727585039</v>
      </c>
      <c r="D287" s="4">
        <f t="shared" si="117"/>
        <v>0</v>
      </c>
      <c r="E287" s="21">
        <f t="shared" si="118"/>
        <v>321374444689.12115</v>
      </c>
      <c r="F287" s="21">
        <f t="shared" si="99"/>
        <v>0</v>
      </c>
      <c r="G287" s="21">
        <f t="shared" si="107"/>
        <v>1380261.977896204</v>
      </c>
      <c r="H287" s="43">
        <f t="shared" si="119"/>
        <v>0.98680126572960969</v>
      </c>
      <c r="I287" s="21">
        <f t="shared" si="120"/>
        <v>428035009.05470765</v>
      </c>
      <c r="J287" s="3">
        <f t="shared" si="100"/>
        <v>1.3426290479811602</v>
      </c>
      <c r="K287" s="3">
        <f t="shared" si="108"/>
        <v>200045375.3365832</v>
      </c>
      <c r="L287" s="41">
        <f t="shared" si="101"/>
        <v>0.66727954622722097</v>
      </c>
      <c r="M287" s="3">
        <f t="shared" si="102"/>
        <v>148995268.37839594</v>
      </c>
      <c r="N287" s="41">
        <f t="shared" si="103"/>
        <v>0.66727954622722097</v>
      </c>
      <c r="O287" s="3">
        <f t="shared" si="104"/>
        <v>3927801419116496</v>
      </c>
      <c r="P287" s="3">
        <f t="shared" si="109"/>
        <v>4.1368041092609856E+17</v>
      </c>
      <c r="Q287">
        <f t="shared" si="110"/>
        <v>43.726194776929674</v>
      </c>
      <c r="R287"/>
    </row>
    <row r="288" spans="1:18">
      <c r="A288">
        <f t="shared" si="105"/>
        <v>0</v>
      </c>
      <c r="B288">
        <f t="shared" si="106"/>
        <v>1</v>
      </c>
      <c r="C288">
        <f t="shared" si="116"/>
        <v>66.085586727585039</v>
      </c>
      <c r="D288" s="4">
        <f t="shared" si="117"/>
        <v>0</v>
      </c>
      <c r="E288" s="21">
        <f t="shared" si="118"/>
        <v>321371684165.16534</v>
      </c>
      <c r="F288" s="21">
        <f t="shared" si="99"/>
        <v>0</v>
      </c>
      <c r="G288" s="21">
        <f t="shared" si="107"/>
        <v>1380261.977896204</v>
      </c>
      <c r="H288" s="43">
        <f t="shared" si="119"/>
        <v>0.98675560417131469</v>
      </c>
      <c r="I288" s="21">
        <f t="shared" si="120"/>
        <v>429415271.03260386</v>
      </c>
      <c r="J288" s="3">
        <f t="shared" si="100"/>
        <v>1.3426290479811602</v>
      </c>
      <c r="K288" s="3">
        <f t="shared" si="108"/>
        <v>200045375.3365832</v>
      </c>
      <c r="L288" s="41">
        <f t="shared" si="101"/>
        <v>0.66727954622722097</v>
      </c>
      <c r="M288" s="3">
        <f t="shared" si="102"/>
        <v>148995268.37839594</v>
      </c>
      <c r="N288" s="41">
        <f t="shared" si="103"/>
        <v>0.66727954622722097</v>
      </c>
      <c r="O288" s="3">
        <f t="shared" si="104"/>
        <v>3927801419116496</v>
      </c>
      <c r="P288" s="3">
        <f t="shared" si="109"/>
        <v>4.1525864891027898E+17</v>
      </c>
      <c r="Q288">
        <f t="shared" si="110"/>
        <v>43.89301520080744</v>
      </c>
      <c r="R288"/>
    </row>
    <row r="289" spans="1:18">
      <c r="A289">
        <f t="shared" si="105"/>
        <v>0</v>
      </c>
      <c r="B289">
        <f t="shared" si="106"/>
        <v>1</v>
      </c>
      <c r="C289">
        <f t="shared" si="116"/>
        <v>66.335586727585039</v>
      </c>
      <c r="D289" s="4">
        <f t="shared" si="117"/>
        <v>0</v>
      </c>
      <c r="E289" s="21">
        <f t="shared" si="118"/>
        <v>321368923641.20953</v>
      </c>
      <c r="F289" s="21">
        <f t="shared" si="99"/>
        <v>0</v>
      </c>
      <c r="G289" s="21">
        <f t="shared" si="107"/>
        <v>1380261.977896204</v>
      </c>
      <c r="H289" s="43">
        <f t="shared" si="119"/>
        <v>0.9867099426130197</v>
      </c>
      <c r="I289" s="21">
        <f t="shared" si="120"/>
        <v>430795533.01050007</v>
      </c>
      <c r="J289" s="3">
        <f t="shared" si="100"/>
        <v>1.3426290479811602</v>
      </c>
      <c r="K289" s="3">
        <f t="shared" si="108"/>
        <v>200045375.3365832</v>
      </c>
      <c r="L289" s="41">
        <f t="shared" si="101"/>
        <v>0.66727954622722097</v>
      </c>
      <c r="M289" s="3">
        <f t="shared" si="102"/>
        <v>148995268.37839594</v>
      </c>
      <c r="N289" s="41">
        <f t="shared" si="103"/>
        <v>0.66727954622722097</v>
      </c>
      <c r="O289" s="3">
        <f t="shared" si="104"/>
        <v>3927801419116496</v>
      </c>
      <c r="P289" s="3">
        <f t="shared" si="109"/>
        <v>4.1683688689445939E+17</v>
      </c>
      <c r="Q289">
        <f t="shared" si="110"/>
        <v>44.059835624685213</v>
      </c>
      <c r="R289"/>
    </row>
    <row r="290" spans="1:18">
      <c r="A290">
        <f t="shared" si="105"/>
        <v>0</v>
      </c>
      <c r="B290">
        <f t="shared" si="106"/>
        <v>1</v>
      </c>
      <c r="C290">
        <f t="shared" si="116"/>
        <v>66.585586727585039</v>
      </c>
      <c r="D290" s="4">
        <f t="shared" si="117"/>
        <v>0</v>
      </c>
      <c r="E290" s="21">
        <f t="shared" si="118"/>
        <v>321366163117.25372</v>
      </c>
      <c r="F290" s="21">
        <f t="shared" si="99"/>
        <v>0</v>
      </c>
      <c r="G290" s="21">
        <f t="shared" si="107"/>
        <v>1380261.977896204</v>
      </c>
      <c r="H290" s="43">
        <f t="shared" si="119"/>
        <v>0.9866642810547247</v>
      </c>
      <c r="I290" s="21">
        <f t="shared" si="120"/>
        <v>432175794.98839629</v>
      </c>
      <c r="J290" s="3">
        <f t="shared" si="100"/>
        <v>1.3426290479811602</v>
      </c>
      <c r="K290" s="3">
        <f t="shared" si="108"/>
        <v>200045375.3365832</v>
      </c>
      <c r="L290" s="41">
        <f t="shared" si="101"/>
        <v>0.66727954622722097</v>
      </c>
      <c r="M290" s="3">
        <f t="shared" si="102"/>
        <v>148995268.37839594</v>
      </c>
      <c r="N290" s="41">
        <f t="shared" si="103"/>
        <v>0.66727954622722097</v>
      </c>
      <c r="O290" s="3">
        <f t="shared" si="104"/>
        <v>3927801419116496</v>
      </c>
      <c r="P290" s="3">
        <f t="shared" si="109"/>
        <v>4.1841512487863981E+17</v>
      </c>
      <c r="Q290">
        <f t="shared" si="110"/>
        <v>44.22665604856298</v>
      </c>
      <c r="R290"/>
    </row>
    <row r="291" spans="1:18">
      <c r="A291">
        <f t="shared" si="105"/>
        <v>0</v>
      </c>
      <c r="B291">
        <f t="shared" si="106"/>
        <v>1</v>
      </c>
      <c r="C291">
        <f t="shared" si="116"/>
        <v>66.835586727585039</v>
      </c>
      <c r="D291" s="4">
        <f t="shared" si="117"/>
        <v>0</v>
      </c>
      <c r="E291" s="21">
        <f t="shared" si="118"/>
        <v>321363402593.29791</v>
      </c>
      <c r="F291" s="21">
        <f t="shared" si="99"/>
        <v>0</v>
      </c>
      <c r="G291" s="21">
        <f t="shared" si="107"/>
        <v>1380261.977896204</v>
      </c>
      <c r="H291" s="43">
        <f t="shared" si="119"/>
        <v>0.98661861949642971</v>
      </c>
      <c r="I291" s="21">
        <f t="shared" si="120"/>
        <v>433556056.9662925</v>
      </c>
      <c r="J291" s="3">
        <f t="shared" si="100"/>
        <v>1.3426290479811602</v>
      </c>
      <c r="K291" s="3">
        <f t="shared" si="108"/>
        <v>200045375.3365832</v>
      </c>
      <c r="L291" s="41">
        <f t="shared" si="101"/>
        <v>0.66727954622722097</v>
      </c>
      <c r="M291" s="3">
        <f t="shared" si="102"/>
        <v>148995268.37839594</v>
      </c>
      <c r="N291" s="41">
        <f t="shared" si="103"/>
        <v>0.66727954622722097</v>
      </c>
      <c r="O291" s="3">
        <f t="shared" si="104"/>
        <v>3927801419116496</v>
      </c>
      <c r="P291" s="3">
        <f t="shared" si="109"/>
        <v>4.1999336286282022E+17</v>
      </c>
      <c r="Q291">
        <f t="shared" si="110"/>
        <v>44.393476472440753</v>
      </c>
      <c r="R291"/>
    </row>
    <row r="292" spans="1:18">
      <c r="A292">
        <f t="shared" si="105"/>
        <v>0</v>
      </c>
      <c r="B292">
        <f t="shared" si="106"/>
        <v>1</v>
      </c>
      <c r="C292">
        <f t="shared" si="116"/>
        <v>67.085586727585039</v>
      </c>
      <c r="D292" s="4">
        <f t="shared" si="117"/>
        <v>0</v>
      </c>
      <c r="E292" s="21">
        <f t="shared" si="118"/>
        <v>321360642069.3421</v>
      </c>
      <c r="F292" s="21">
        <f t="shared" si="99"/>
        <v>0</v>
      </c>
      <c r="G292" s="21">
        <f t="shared" si="107"/>
        <v>1380261.977896204</v>
      </c>
      <c r="H292" s="43">
        <f t="shared" si="119"/>
        <v>0.98657295793813471</v>
      </c>
      <c r="I292" s="21">
        <f t="shared" si="120"/>
        <v>434936318.94418871</v>
      </c>
      <c r="J292" s="3">
        <f t="shared" si="100"/>
        <v>1.3426290479811602</v>
      </c>
      <c r="K292" s="3">
        <f t="shared" si="108"/>
        <v>200045375.3365832</v>
      </c>
      <c r="L292" s="41">
        <f t="shared" si="101"/>
        <v>0.66727954622722097</v>
      </c>
      <c r="M292" s="3">
        <f t="shared" si="102"/>
        <v>148995268.37839594</v>
      </c>
      <c r="N292" s="41">
        <f t="shared" si="103"/>
        <v>0.66727954622722097</v>
      </c>
      <c r="O292" s="3">
        <f t="shared" si="104"/>
        <v>3927801419116496</v>
      </c>
      <c r="P292" s="3">
        <f t="shared" si="109"/>
        <v>4.2157160084700064E+17</v>
      </c>
      <c r="Q292">
        <f t="shared" si="110"/>
        <v>44.560296896318519</v>
      </c>
      <c r="R292"/>
    </row>
    <row r="293" spans="1:18">
      <c r="A293">
        <f t="shared" si="105"/>
        <v>0</v>
      </c>
      <c r="B293">
        <f t="shared" si="106"/>
        <v>1</v>
      </c>
      <c r="C293">
        <f t="shared" si="116"/>
        <v>67.335586727585039</v>
      </c>
      <c r="D293" s="4">
        <f t="shared" si="117"/>
        <v>0</v>
      </c>
      <c r="E293" s="21">
        <f t="shared" si="118"/>
        <v>321357881545.38629</v>
      </c>
      <c r="F293" s="21">
        <f t="shared" si="99"/>
        <v>0</v>
      </c>
      <c r="G293" s="21">
        <f t="shared" si="107"/>
        <v>1380261.977896204</v>
      </c>
      <c r="H293" s="43">
        <f t="shared" si="119"/>
        <v>0.9865272963798396</v>
      </c>
      <c r="I293" s="21">
        <f t="shared" si="120"/>
        <v>436316580.92208493</v>
      </c>
      <c r="J293" s="3">
        <f t="shared" si="100"/>
        <v>1.3426290479811602</v>
      </c>
      <c r="K293" s="3">
        <f t="shared" si="108"/>
        <v>200045375.3365832</v>
      </c>
      <c r="L293" s="41">
        <f t="shared" si="101"/>
        <v>0.66727954622722097</v>
      </c>
      <c r="M293" s="3">
        <f t="shared" si="102"/>
        <v>148995268.37839594</v>
      </c>
      <c r="N293" s="41">
        <f t="shared" si="103"/>
        <v>0.66727954622722097</v>
      </c>
      <c r="O293" s="3">
        <f t="shared" si="104"/>
        <v>3927801419116496</v>
      </c>
      <c r="P293" s="3">
        <f t="shared" si="109"/>
        <v>4.2314983883118106E+17</v>
      </c>
      <c r="Q293">
        <f t="shared" si="110"/>
        <v>44.727117320196292</v>
      </c>
      <c r="R293"/>
    </row>
    <row r="294" spans="1:18">
      <c r="A294">
        <f t="shared" si="105"/>
        <v>0</v>
      </c>
      <c r="B294">
        <f t="shared" si="106"/>
        <v>1</v>
      </c>
      <c r="C294">
        <f t="shared" si="116"/>
        <v>67.585586727585039</v>
      </c>
      <c r="D294" s="4">
        <f t="shared" si="117"/>
        <v>0</v>
      </c>
      <c r="E294" s="21">
        <f t="shared" si="118"/>
        <v>321355121021.43048</v>
      </c>
      <c r="F294" s="21">
        <f t="shared" si="99"/>
        <v>0</v>
      </c>
      <c r="G294" s="21">
        <f t="shared" si="107"/>
        <v>1380261.977896204</v>
      </c>
      <c r="H294" s="43">
        <f t="shared" si="119"/>
        <v>0.98648163482154461</v>
      </c>
      <c r="I294" s="21">
        <f t="shared" si="120"/>
        <v>437696842.89998114</v>
      </c>
      <c r="J294" s="3">
        <f t="shared" si="100"/>
        <v>1.3426290479811602</v>
      </c>
      <c r="K294" s="3">
        <f t="shared" si="108"/>
        <v>200045375.3365832</v>
      </c>
      <c r="L294" s="41">
        <f t="shared" si="101"/>
        <v>0.66727954622722097</v>
      </c>
      <c r="M294" s="3">
        <f t="shared" si="102"/>
        <v>148995268.37839594</v>
      </c>
      <c r="N294" s="41">
        <f t="shared" si="103"/>
        <v>0.66727954622722097</v>
      </c>
      <c r="O294" s="3">
        <f t="shared" si="104"/>
        <v>3927801419116496</v>
      </c>
      <c r="P294" s="3">
        <f t="shared" si="109"/>
        <v>4.2472807681536147E+17</v>
      </c>
      <c r="Q294">
        <f t="shared" si="110"/>
        <v>44.893937744074059</v>
      </c>
      <c r="R294"/>
    </row>
    <row r="295" spans="1:18">
      <c r="A295">
        <f t="shared" si="105"/>
        <v>0</v>
      </c>
      <c r="B295">
        <f t="shared" si="106"/>
        <v>1</v>
      </c>
      <c r="C295">
        <f t="shared" si="116"/>
        <v>67.835586727585039</v>
      </c>
      <c r="D295" s="4">
        <f t="shared" si="117"/>
        <v>0</v>
      </c>
      <c r="E295" s="21">
        <f t="shared" si="118"/>
        <v>321352360497.47467</v>
      </c>
      <c r="F295" s="21">
        <f t="shared" si="99"/>
        <v>0</v>
      </c>
      <c r="G295" s="21">
        <f t="shared" si="107"/>
        <v>1380261.977896204</v>
      </c>
      <c r="H295" s="43">
        <f t="shared" si="119"/>
        <v>0.98643597326324961</v>
      </c>
      <c r="I295" s="21">
        <f t="shared" si="120"/>
        <v>439077104.87787735</v>
      </c>
      <c r="J295" s="3">
        <f t="shared" si="100"/>
        <v>1.3426290479811602</v>
      </c>
      <c r="K295" s="3">
        <f t="shared" si="108"/>
        <v>200045375.3365832</v>
      </c>
      <c r="L295" s="41">
        <f t="shared" si="101"/>
        <v>0.66727954622722097</v>
      </c>
      <c r="M295" s="3">
        <f t="shared" si="102"/>
        <v>148995268.37839594</v>
      </c>
      <c r="N295" s="41">
        <f t="shared" si="103"/>
        <v>0.66727954622722097</v>
      </c>
      <c r="O295" s="3">
        <f t="shared" si="104"/>
        <v>3927801419116496</v>
      </c>
      <c r="P295" s="3">
        <f t="shared" si="109"/>
        <v>4.2630631479954189E+17</v>
      </c>
      <c r="Q295">
        <f t="shared" si="110"/>
        <v>45.060758167951832</v>
      </c>
      <c r="R295"/>
    </row>
    <row r="296" spans="1:18">
      <c r="A296">
        <f t="shared" si="105"/>
        <v>-2080099281.3362737</v>
      </c>
      <c r="B296">
        <f t="shared" si="106"/>
        <v>2</v>
      </c>
      <c r="C296">
        <f t="shared" si="116"/>
        <v>68.085586727585039</v>
      </c>
      <c r="D296" s="4">
        <f t="shared" si="117"/>
        <v>-26.605385186811944</v>
      </c>
      <c r="E296" s="21">
        <f t="shared" si="118"/>
        <v>321349599973.51886</v>
      </c>
      <c r="F296" s="21">
        <f t="shared" si="99"/>
        <v>2519380863792.3882</v>
      </c>
      <c r="G296" s="21">
        <f t="shared" si="107"/>
        <v>6401131.225813631</v>
      </c>
      <c r="H296" s="43">
        <f t="shared" si="119"/>
        <v>0.98639031170495461</v>
      </c>
      <c r="I296" s="21">
        <f t="shared" si="120"/>
        <v>445478236.10369098</v>
      </c>
      <c r="J296" s="3">
        <f t="shared" si="100"/>
        <v>54.406751292815045</v>
      </c>
      <c r="K296" s="3">
        <f t="shared" si="108"/>
        <v>-299741814.72272575</v>
      </c>
      <c r="L296" s="41">
        <f t="shared" si="101"/>
        <v>-0.99983107221038148</v>
      </c>
      <c r="M296" s="3">
        <f t="shared" si="102"/>
        <v>-5509276.1026940718</v>
      </c>
      <c r="N296" s="41">
        <f t="shared" si="103"/>
        <v>-0.99983107221038148</v>
      </c>
      <c r="O296" s="3">
        <f t="shared" si="104"/>
        <v>6.1223972326437184E+17</v>
      </c>
      <c r="P296" s="3">
        <f t="shared" si="109"/>
        <v>-1.8177787326437184E+17</v>
      </c>
      <c r="Q296">
        <f t="shared" si="110"/>
        <v>-19.213998252177095</v>
      </c>
      <c r="R296"/>
    </row>
    <row r="297" spans="1:18">
      <c r="A297">
        <f t="shared" si="105"/>
        <v>2156507111.7144375</v>
      </c>
      <c r="B297">
        <f t="shared" si="106"/>
        <v>0</v>
      </c>
      <c r="C297">
        <f t="shared" si="116"/>
        <v>68.335586727585039</v>
      </c>
      <c r="D297" s="4">
        <f t="shared" si="117"/>
        <v>26.649096868321948</v>
      </c>
      <c r="E297" s="21">
        <f t="shared" si="118"/>
        <v>321341818580.31512</v>
      </c>
      <c r="F297" s="21">
        <f t="shared" si="99"/>
        <v>2519319857669.6709</v>
      </c>
      <c r="G297" s="21">
        <f t="shared" si="107"/>
        <v>6401009.646829728</v>
      </c>
      <c r="H297" s="43">
        <f t="shared" si="119"/>
        <v>0.98626160043670386</v>
      </c>
      <c r="I297" s="21">
        <f t="shared" si="120"/>
        <v>451879245.75052071</v>
      </c>
      <c r="J297" s="3">
        <f t="shared" si="100"/>
        <v>56.404599352998325</v>
      </c>
      <c r="K297" s="3">
        <f t="shared" si="108"/>
        <v>299745339.02867723</v>
      </c>
      <c r="L297" s="41">
        <f t="shared" si="101"/>
        <v>0.99984282802964053</v>
      </c>
      <c r="M297" s="3">
        <f t="shared" si="102"/>
        <v>5314200.3039995627</v>
      </c>
      <c r="N297" s="41">
        <f t="shared" si="103"/>
        <v>0.99984282802964053</v>
      </c>
      <c r="O297" s="3">
        <f t="shared" si="104"/>
        <v>6.351424820707369E+17</v>
      </c>
      <c r="P297" s="3">
        <f t="shared" si="109"/>
        <v>6.351424820707369E+17</v>
      </c>
      <c r="Q297">
        <f t="shared" si="110"/>
        <v>67.134829565543441</v>
      </c>
      <c r="R297"/>
    </row>
    <row r="298" spans="1:18">
      <c r="A298">
        <f t="shared" si="105"/>
        <v>0</v>
      </c>
      <c r="B298">
        <f t="shared" si="106"/>
        <v>3</v>
      </c>
      <c r="C298">
        <f t="shared" si="116"/>
        <v>68.585586727585039</v>
      </c>
      <c r="D298" s="4">
        <f t="shared" si="117"/>
        <v>0</v>
      </c>
      <c r="E298" s="21">
        <f t="shared" si="118"/>
        <v>321334037308.69037</v>
      </c>
      <c r="F298" s="21">
        <f t="shared" si="99"/>
        <v>0</v>
      </c>
      <c r="G298" s="21">
        <f t="shared" si="107"/>
        <v>1380261.977896204</v>
      </c>
      <c r="H298" s="43">
        <f t="shared" si="119"/>
        <v>0.98613289117947933</v>
      </c>
      <c r="I298" s="21">
        <f t="shared" si="120"/>
        <v>453259507.72841692</v>
      </c>
      <c r="J298" s="3">
        <f t="shared" si="100"/>
        <v>1</v>
      </c>
      <c r="K298" s="3">
        <f t="shared" si="108"/>
        <v>0</v>
      </c>
      <c r="L298" s="41">
        <f t="shared" si="101"/>
        <v>0</v>
      </c>
      <c r="M298" s="3">
        <f t="shared" si="102"/>
        <v>0</v>
      </c>
      <c r="N298" s="41">
        <f t="shared" si="103"/>
        <v>0</v>
      </c>
      <c r="O298" s="3">
        <f t="shared" si="104"/>
        <v>0</v>
      </c>
      <c r="P298" s="3" t="b">
        <f t="shared" si="109"/>
        <v>0</v>
      </c>
      <c r="Q298">
        <f t="shared" si="110"/>
        <v>0</v>
      </c>
      <c r="R298"/>
    </row>
    <row r="299" spans="1:18">
      <c r="A299">
        <f t="shared" si="105"/>
        <v>0</v>
      </c>
      <c r="B299">
        <f t="shared" si="106"/>
        <v>3</v>
      </c>
      <c r="C299">
        <f t="shared" si="116"/>
        <v>68.835586727585039</v>
      </c>
      <c r="D299" s="4">
        <f t="shared" si="117"/>
        <v>0</v>
      </c>
      <c r="E299" s="21">
        <f t="shared" si="118"/>
        <v>321331276784.73456</v>
      </c>
      <c r="F299" s="21">
        <f t="shared" si="99"/>
        <v>0</v>
      </c>
      <c r="G299" s="21">
        <f t="shared" si="107"/>
        <v>1380261.977896204</v>
      </c>
      <c r="H299" s="43">
        <f t="shared" si="119"/>
        <v>0.98608722962118422</v>
      </c>
      <c r="I299" s="21">
        <f t="shared" si="120"/>
        <v>454639769.70631313</v>
      </c>
      <c r="J299" s="3">
        <f t="shared" si="100"/>
        <v>1</v>
      </c>
      <c r="K299" s="3">
        <f t="shared" si="108"/>
        <v>0</v>
      </c>
      <c r="L299" s="41">
        <f t="shared" si="101"/>
        <v>0</v>
      </c>
      <c r="M299" s="3">
        <f t="shared" si="102"/>
        <v>0</v>
      </c>
      <c r="N299" s="41">
        <f t="shared" si="103"/>
        <v>0</v>
      </c>
      <c r="O299" s="3">
        <f t="shared" si="104"/>
        <v>0</v>
      </c>
      <c r="P299" s="3" t="b">
        <f t="shared" si="109"/>
        <v>0</v>
      </c>
      <c r="Q299">
        <f t="shared" si="110"/>
        <v>0</v>
      </c>
      <c r="R299"/>
    </row>
    <row r="300" spans="1:18">
      <c r="A300">
        <f t="shared" si="105"/>
        <v>0</v>
      </c>
      <c r="B300">
        <f t="shared" si="106"/>
        <v>3</v>
      </c>
      <c r="C300">
        <f t="shared" si="116"/>
        <v>69.085586727585039</v>
      </c>
      <c r="D300" s="4">
        <f t="shared" si="117"/>
        <v>0</v>
      </c>
      <c r="E300" s="21">
        <f t="shared" si="118"/>
        <v>321328516260.77875</v>
      </c>
      <c r="F300" s="21">
        <f t="shared" si="99"/>
        <v>0</v>
      </c>
      <c r="G300" s="21">
        <f t="shared" si="107"/>
        <v>1380261.977896204</v>
      </c>
      <c r="H300" s="43">
        <f t="shared" si="119"/>
        <v>0.98604156806288923</v>
      </c>
      <c r="I300" s="21">
        <f t="shared" si="120"/>
        <v>456020031.68420935</v>
      </c>
      <c r="J300" s="3">
        <f t="shared" si="100"/>
        <v>1</v>
      </c>
      <c r="K300" s="3">
        <f t="shared" si="108"/>
        <v>0</v>
      </c>
      <c r="L300" s="41">
        <f t="shared" si="101"/>
        <v>0</v>
      </c>
      <c r="M300" s="3">
        <f t="shared" si="102"/>
        <v>0</v>
      </c>
      <c r="N300" s="41">
        <f t="shared" si="103"/>
        <v>0</v>
      </c>
      <c r="O300" s="3">
        <f t="shared" si="104"/>
        <v>0</v>
      </c>
      <c r="P300" s="3" t="b">
        <f t="shared" si="109"/>
        <v>0</v>
      </c>
      <c r="Q300">
        <f t="shared" si="110"/>
        <v>0</v>
      </c>
      <c r="R300"/>
    </row>
    <row r="301" spans="1:18">
      <c r="A301">
        <f t="shared" si="105"/>
        <v>0</v>
      </c>
      <c r="B301">
        <f t="shared" si="106"/>
        <v>3</v>
      </c>
      <c r="C301">
        <f t="shared" si="116"/>
        <v>69.335586727585039</v>
      </c>
      <c r="D301" s="4">
        <f t="shared" si="117"/>
        <v>0</v>
      </c>
      <c r="E301" s="21">
        <f t="shared" si="118"/>
        <v>321325755736.82294</v>
      </c>
      <c r="F301" s="21">
        <f t="shared" si="99"/>
        <v>0</v>
      </c>
      <c r="G301" s="21">
        <f t="shared" si="107"/>
        <v>1380261.977896204</v>
      </c>
      <c r="H301" s="43">
        <f t="shared" si="119"/>
        <v>0.98599590650459423</v>
      </c>
      <c r="I301" s="21">
        <f t="shared" si="120"/>
        <v>457400293.66210556</v>
      </c>
      <c r="J301" s="3">
        <f t="shared" si="100"/>
        <v>1</v>
      </c>
      <c r="K301" s="3">
        <f t="shared" si="108"/>
        <v>0</v>
      </c>
      <c r="L301" s="41">
        <f t="shared" si="101"/>
        <v>0</v>
      </c>
      <c r="M301" s="3">
        <f t="shared" si="102"/>
        <v>0</v>
      </c>
      <c r="N301" s="41">
        <f t="shared" si="103"/>
        <v>0</v>
      </c>
      <c r="O301" s="3">
        <f t="shared" si="104"/>
        <v>0</v>
      </c>
      <c r="P301" s="3" t="b">
        <f t="shared" si="109"/>
        <v>0</v>
      </c>
      <c r="Q301">
        <f t="shared" si="110"/>
        <v>0</v>
      </c>
      <c r="R301"/>
    </row>
    <row r="302" spans="1:18">
      <c r="A302">
        <f t="shared" si="105"/>
        <v>0</v>
      </c>
      <c r="B302">
        <f t="shared" si="106"/>
        <v>3</v>
      </c>
      <c r="C302">
        <f t="shared" si="116"/>
        <v>69.585586727585039</v>
      </c>
      <c r="D302" s="4">
        <f t="shared" si="117"/>
        <v>0</v>
      </c>
      <c r="E302" s="21">
        <f t="shared" si="118"/>
        <v>321322995212.86713</v>
      </c>
      <c r="F302" s="21">
        <f t="shared" si="99"/>
        <v>0</v>
      </c>
      <c r="G302" s="21">
        <f t="shared" si="107"/>
        <v>1380261.977896204</v>
      </c>
      <c r="H302" s="43">
        <f t="shared" si="119"/>
        <v>0.98595024494629924</v>
      </c>
      <c r="I302" s="21">
        <f t="shared" si="120"/>
        <v>458780555.64000177</v>
      </c>
      <c r="J302" s="3">
        <f t="shared" si="100"/>
        <v>1</v>
      </c>
      <c r="K302" s="3">
        <f t="shared" si="108"/>
        <v>0</v>
      </c>
      <c r="L302" s="41">
        <f t="shared" si="101"/>
        <v>0</v>
      </c>
      <c r="M302" s="3">
        <f t="shared" si="102"/>
        <v>0</v>
      </c>
      <c r="N302" s="41">
        <f t="shared" si="103"/>
        <v>0</v>
      </c>
      <c r="O302" s="3">
        <f t="shared" si="104"/>
        <v>0</v>
      </c>
      <c r="P302" s="3" t="b">
        <f t="shared" si="109"/>
        <v>0</v>
      </c>
      <c r="Q302">
        <f t="shared" si="110"/>
        <v>0</v>
      </c>
      <c r="R302"/>
    </row>
    <row r="303" spans="1:18">
      <c r="A303">
        <f t="shared" si="105"/>
        <v>0</v>
      </c>
      <c r="B303">
        <f t="shared" si="106"/>
        <v>3</v>
      </c>
      <c r="C303">
        <f t="shared" si="116"/>
        <v>69.835586727585039</v>
      </c>
      <c r="D303" s="4">
        <f t="shared" si="117"/>
        <v>0</v>
      </c>
      <c r="E303" s="21">
        <f t="shared" si="118"/>
        <v>321320234688.91132</v>
      </c>
      <c r="F303" s="21">
        <f t="shared" si="99"/>
        <v>0</v>
      </c>
      <c r="G303" s="21">
        <f t="shared" si="107"/>
        <v>1380261.977896204</v>
      </c>
      <c r="H303" s="43">
        <f t="shared" si="119"/>
        <v>0.98590458338800424</v>
      </c>
      <c r="I303" s="21">
        <f t="shared" si="120"/>
        <v>460160817.61789799</v>
      </c>
      <c r="J303" s="3">
        <f t="shared" si="100"/>
        <v>1</v>
      </c>
      <c r="K303" s="3">
        <f t="shared" si="108"/>
        <v>0</v>
      </c>
      <c r="L303" s="41">
        <f t="shared" si="101"/>
        <v>0</v>
      </c>
      <c r="M303" s="3">
        <f t="shared" si="102"/>
        <v>0</v>
      </c>
      <c r="N303" s="41">
        <f t="shared" si="103"/>
        <v>0</v>
      </c>
      <c r="O303" s="3">
        <f t="shared" si="104"/>
        <v>0</v>
      </c>
      <c r="P303" s="3" t="b">
        <f t="shared" si="109"/>
        <v>0</v>
      </c>
      <c r="Q303">
        <f t="shared" si="110"/>
        <v>0</v>
      </c>
      <c r="R303"/>
    </row>
    <row r="304" spans="1:18">
      <c r="A304">
        <f t="shared" si="105"/>
        <v>0</v>
      </c>
      <c r="B304">
        <f t="shared" si="106"/>
        <v>3</v>
      </c>
      <c r="C304">
        <f t="shared" si="116"/>
        <v>70.085586727585039</v>
      </c>
      <c r="D304" s="4">
        <f t="shared" si="117"/>
        <v>0</v>
      </c>
      <c r="E304" s="21">
        <f t="shared" si="118"/>
        <v>321317474164.95551</v>
      </c>
      <c r="F304" s="21">
        <f t="shared" si="99"/>
        <v>0</v>
      </c>
      <c r="G304" s="21">
        <f t="shared" si="107"/>
        <v>1380261.977896204</v>
      </c>
      <c r="H304" s="43">
        <f t="shared" si="119"/>
        <v>0.98585892182970913</v>
      </c>
      <c r="I304" s="21">
        <f t="shared" si="120"/>
        <v>461541079.5957942</v>
      </c>
      <c r="J304" s="3">
        <f t="shared" si="100"/>
        <v>1</v>
      </c>
      <c r="K304" s="3">
        <f t="shared" si="108"/>
        <v>0</v>
      </c>
      <c r="L304" s="41">
        <f t="shared" si="101"/>
        <v>0</v>
      </c>
      <c r="M304" s="3">
        <f t="shared" si="102"/>
        <v>0</v>
      </c>
      <c r="N304" s="41">
        <f t="shared" si="103"/>
        <v>0</v>
      </c>
      <c r="O304" s="3">
        <f t="shared" si="104"/>
        <v>0</v>
      </c>
      <c r="P304" s="3" t="b">
        <f t="shared" si="109"/>
        <v>0</v>
      </c>
      <c r="Q304">
        <f t="shared" si="110"/>
        <v>0</v>
      </c>
      <c r="R304"/>
    </row>
    <row r="305" spans="1:18">
      <c r="A305">
        <f t="shared" si="105"/>
        <v>0</v>
      </c>
      <c r="B305">
        <f t="shared" si="106"/>
        <v>3</v>
      </c>
      <c r="C305">
        <f t="shared" si="116"/>
        <v>70.335586727585039</v>
      </c>
      <c r="D305" s="4">
        <f t="shared" si="117"/>
        <v>0</v>
      </c>
      <c r="E305" s="21">
        <f t="shared" si="118"/>
        <v>321314713640.99969</v>
      </c>
      <c r="F305" s="21">
        <f t="shared" si="99"/>
        <v>0</v>
      </c>
      <c r="G305" s="21">
        <f t="shared" si="107"/>
        <v>1380261.977896204</v>
      </c>
      <c r="H305" s="43">
        <f t="shared" si="119"/>
        <v>0.98581326027141414</v>
      </c>
      <c r="I305" s="21">
        <f t="shared" si="120"/>
        <v>462921341.57369041</v>
      </c>
      <c r="J305" s="3">
        <f t="shared" si="100"/>
        <v>1</v>
      </c>
      <c r="K305" s="3">
        <f t="shared" si="108"/>
        <v>0</v>
      </c>
      <c r="L305" s="41">
        <f t="shared" si="101"/>
        <v>0</v>
      </c>
      <c r="M305" s="3">
        <f t="shared" si="102"/>
        <v>0</v>
      </c>
      <c r="N305" s="41">
        <f t="shared" si="103"/>
        <v>0</v>
      </c>
      <c r="O305" s="3">
        <f t="shared" si="104"/>
        <v>0</v>
      </c>
      <c r="P305" s="3" t="b">
        <f t="shared" si="109"/>
        <v>0</v>
      </c>
      <c r="Q305">
        <f t="shared" si="110"/>
        <v>0</v>
      </c>
      <c r="R305"/>
    </row>
    <row r="306" spans="1:18">
      <c r="A306">
        <f t="shared" si="105"/>
        <v>0</v>
      </c>
      <c r="B306">
        <f t="shared" si="106"/>
        <v>3</v>
      </c>
      <c r="C306">
        <f t="shared" si="116"/>
        <v>70.585586727585039</v>
      </c>
      <c r="D306" s="4">
        <f t="shared" si="117"/>
        <v>0</v>
      </c>
      <c r="E306" s="21">
        <f t="shared" si="118"/>
        <v>321311953117.04388</v>
      </c>
      <c r="F306" s="21">
        <f t="shared" si="99"/>
        <v>0</v>
      </c>
      <c r="G306" s="21">
        <f t="shared" si="107"/>
        <v>1380261.977896204</v>
      </c>
      <c r="H306" s="43">
        <f t="shared" si="119"/>
        <v>0.98576759871311914</v>
      </c>
      <c r="I306" s="21">
        <f t="shared" si="120"/>
        <v>464301603.55158663</v>
      </c>
      <c r="J306" s="3">
        <f t="shared" si="100"/>
        <v>1</v>
      </c>
      <c r="K306" s="3">
        <f t="shared" si="108"/>
        <v>0</v>
      </c>
      <c r="L306" s="41">
        <f t="shared" si="101"/>
        <v>0</v>
      </c>
      <c r="M306" s="3">
        <f t="shared" si="102"/>
        <v>0</v>
      </c>
      <c r="N306" s="41">
        <f t="shared" si="103"/>
        <v>0</v>
      </c>
      <c r="O306" s="3">
        <f t="shared" si="104"/>
        <v>0</v>
      </c>
      <c r="P306" s="3" t="b">
        <f t="shared" si="109"/>
        <v>0</v>
      </c>
      <c r="Q306">
        <f t="shared" si="110"/>
        <v>0</v>
      </c>
      <c r="R306"/>
    </row>
    <row r="307" spans="1:18">
      <c r="A307">
        <f t="shared" si="105"/>
        <v>0</v>
      </c>
      <c r="B307">
        <f t="shared" si="106"/>
        <v>3</v>
      </c>
      <c r="C307">
        <f t="shared" si="116"/>
        <v>70.835586727585039</v>
      </c>
      <c r="D307" s="4">
        <f t="shared" si="117"/>
        <v>0</v>
      </c>
      <c r="E307" s="21">
        <f t="shared" si="118"/>
        <v>321309192593.08807</v>
      </c>
      <c r="F307" s="21">
        <f t="shared" si="99"/>
        <v>0</v>
      </c>
      <c r="G307" s="21">
        <f t="shared" si="107"/>
        <v>1380261.977896204</v>
      </c>
      <c r="H307" s="43">
        <f t="shared" si="119"/>
        <v>0.98572193715482415</v>
      </c>
      <c r="I307" s="21">
        <f t="shared" si="120"/>
        <v>465681865.52948284</v>
      </c>
      <c r="J307" s="3">
        <f t="shared" si="100"/>
        <v>1</v>
      </c>
      <c r="K307" s="3">
        <f t="shared" si="108"/>
        <v>0</v>
      </c>
      <c r="L307" s="41">
        <f t="shared" si="101"/>
        <v>0</v>
      </c>
      <c r="M307" s="3">
        <f t="shared" si="102"/>
        <v>0</v>
      </c>
      <c r="N307" s="41">
        <f t="shared" si="103"/>
        <v>0</v>
      </c>
      <c r="O307" s="3">
        <f t="shared" si="104"/>
        <v>0</v>
      </c>
      <c r="P307" s="3" t="b">
        <f t="shared" si="109"/>
        <v>0</v>
      </c>
      <c r="Q307">
        <f t="shared" si="110"/>
        <v>0</v>
      </c>
      <c r="R307"/>
    </row>
    <row r="308" spans="1:18">
      <c r="A308">
        <f t="shared" si="105"/>
        <v>0</v>
      </c>
      <c r="B308">
        <f t="shared" si="106"/>
        <v>3</v>
      </c>
      <c r="C308">
        <f t="shared" si="116"/>
        <v>71.085586727585039</v>
      </c>
      <c r="D308" s="4">
        <f t="shared" si="117"/>
        <v>0</v>
      </c>
      <c r="E308" s="21">
        <f t="shared" si="118"/>
        <v>321306432069.13226</v>
      </c>
      <c r="F308" s="21">
        <f t="shared" si="99"/>
        <v>0</v>
      </c>
      <c r="G308" s="21">
        <f t="shared" si="107"/>
        <v>1380261.977896204</v>
      </c>
      <c r="H308" s="43">
        <f t="shared" si="119"/>
        <v>0.98567627559652915</v>
      </c>
      <c r="I308" s="21">
        <f t="shared" si="120"/>
        <v>467062127.50737906</v>
      </c>
      <c r="J308" s="3">
        <f t="shared" si="100"/>
        <v>1</v>
      </c>
      <c r="K308" s="3">
        <f t="shared" si="108"/>
        <v>0</v>
      </c>
      <c r="L308" s="41">
        <f t="shared" si="101"/>
        <v>0</v>
      </c>
      <c r="M308" s="3">
        <f t="shared" si="102"/>
        <v>0</v>
      </c>
      <c r="N308" s="41">
        <f t="shared" si="103"/>
        <v>0</v>
      </c>
      <c r="O308" s="3">
        <f t="shared" si="104"/>
        <v>0</v>
      </c>
      <c r="P308" s="3" t="b">
        <f t="shared" si="109"/>
        <v>0</v>
      </c>
      <c r="Q308">
        <f t="shared" si="110"/>
        <v>0</v>
      </c>
      <c r="R308"/>
    </row>
    <row r="309" spans="1:18">
      <c r="A309">
        <f t="shared" si="105"/>
        <v>0</v>
      </c>
      <c r="B309">
        <f t="shared" si="106"/>
        <v>3</v>
      </c>
      <c r="C309">
        <f t="shared" si="116"/>
        <v>71.335586727585039</v>
      </c>
      <c r="D309" s="4">
        <f t="shared" si="117"/>
        <v>0</v>
      </c>
      <c r="E309" s="21">
        <f t="shared" si="118"/>
        <v>321303671545.17645</v>
      </c>
      <c r="F309" s="21">
        <f t="shared" si="99"/>
        <v>0</v>
      </c>
      <c r="G309" s="21">
        <f t="shared" si="107"/>
        <v>1380261.977896204</v>
      </c>
      <c r="H309" s="43">
        <f t="shared" si="119"/>
        <v>0.98563061403823415</v>
      </c>
      <c r="I309" s="21">
        <f t="shared" si="120"/>
        <v>468442389.48527527</v>
      </c>
      <c r="J309" s="3">
        <f t="shared" si="100"/>
        <v>1</v>
      </c>
      <c r="K309" s="3">
        <f t="shared" si="108"/>
        <v>0</v>
      </c>
      <c r="L309" s="41">
        <f t="shared" si="101"/>
        <v>0</v>
      </c>
      <c r="M309" s="3">
        <f t="shared" si="102"/>
        <v>0</v>
      </c>
      <c r="N309" s="41">
        <f t="shared" si="103"/>
        <v>0</v>
      </c>
      <c r="O309" s="3">
        <f t="shared" si="104"/>
        <v>0</v>
      </c>
      <c r="P309" s="3" t="b">
        <f t="shared" si="109"/>
        <v>0</v>
      </c>
      <c r="Q309">
        <f t="shared" si="110"/>
        <v>0</v>
      </c>
      <c r="R309"/>
    </row>
    <row r="310" spans="1:18">
      <c r="A310">
        <f t="shared" si="105"/>
        <v>0</v>
      </c>
      <c r="B310">
        <f t="shared" si="106"/>
        <v>3</v>
      </c>
      <c r="C310">
        <f t="shared" si="116"/>
        <v>71.585586727585039</v>
      </c>
      <c r="D310" s="4">
        <f t="shared" si="117"/>
        <v>0</v>
      </c>
      <c r="E310" s="21">
        <f t="shared" si="118"/>
        <v>321300911021.22064</v>
      </c>
      <c r="F310" s="21">
        <f t="shared" si="99"/>
        <v>0</v>
      </c>
      <c r="G310" s="21">
        <f t="shared" si="107"/>
        <v>1380261.977896204</v>
      </c>
      <c r="H310" s="43">
        <f t="shared" si="119"/>
        <v>0.98558495247993905</v>
      </c>
      <c r="I310" s="21">
        <f t="shared" si="120"/>
        <v>469822651.46317148</v>
      </c>
      <c r="J310" s="3">
        <f t="shared" si="100"/>
        <v>1</v>
      </c>
      <c r="K310" s="3">
        <f t="shared" si="108"/>
        <v>0</v>
      </c>
      <c r="L310" s="41">
        <f t="shared" si="101"/>
        <v>0</v>
      </c>
      <c r="M310" s="3">
        <f t="shared" si="102"/>
        <v>0</v>
      </c>
      <c r="N310" s="41">
        <f t="shared" si="103"/>
        <v>0</v>
      </c>
      <c r="O310" s="3">
        <f t="shared" si="104"/>
        <v>0</v>
      </c>
      <c r="P310" s="3" t="b">
        <f t="shared" si="109"/>
        <v>0</v>
      </c>
      <c r="Q310">
        <f t="shared" si="110"/>
        <v>0</v>
      </c>
      <c r="R310"/>
    </row>
    <row r="311" spans="1:18">
      <c r="A311">
        <f t="shared" si="105"/>
        <v>0</v>
      </c>
      <c r="B311">
        <f t="shared" si="106"/>
        <v>3</v>
      </c>
      <c r="C311">
        <f t="shared" si="116"/>
        <v>71.835586727585039</v>
      </c>
      <c r="D311" s="4">
        <f t="shared" si="117"/>
        <v>0</v>
      </c>
      <c r="E311" s="21">
        <f t="shared" si="118"/>
        <v>321298150497.26483</v>
      </c>
      <c r="F311" s="21">
        <f t="shared" si="99"/>
        <v>0</v>
      </c>
      <c r="G311" s="21">
        <f t="shared" si="107"/>
        <v>1380261.977896204</v>
      </c>
      <c r="H311" s="43">
        <f t="shared" si="119"/>
        <v>0.98553929092164405</v>
      </c>
      <c r="I311" s="21">
        <f t="shared" si="120"/>
        <v>471202913.4410677</v>
      </c>
      <c r="J311" s="3">
        <f t="shared" si="100"/>
        <v>1</v>
      </c>
      <c r="K311" s="3">
        <f t="shared" si="108"/>
        <v>0</v>
      </c>
      <c r="L311" s="41">
        <f t="shared" si="101"/>
        <v>0</v>
      </c>
      <c r="M311" s="3">
        <f t="shared" si="102"/>
        <v>0</v>
      </c>
      <c r="N311" s="41">
        <f t="shared" si="103"/>
        <v>0</v>
      </c>
      <c r="O311" s="3">
        <f t="shared" si="104"/>
        <v>0</v>
      </c>
      <c r="P311" s="3" t="b">
        <f t="shared" si="109"/>
        <v>0</v>
      </c>
      <c r="Q311">
        <f t="shared" si="110"/>
        <v>0</v>
      </c>
      <c r="R311"/>
    </row>
    <row r="312" spans="1:18">
      <c r="A312">
        <f t="shared" si="105"/>
        <v>0</v>
      </c>
      <c r="B312">
        <f t="shared" si="106"/>
        <v>3</v>
      </c>
      <c r="C312">
        <f t="shared" si="116"/>
        <v>72.085586727585039</v>
      </c>
      <c r="D312" s="4">
        <f t="shared" si="117"/>
        <v>0</v>
      </c>
      <c r="E312" s="21">
        <f t="shared" si="118"/>
        <v>321295389973.30902</v>
      </c>
      <c r="F312" s="21">
        <f t="shared" si="99"/>
        <v>0</v>
      </c>
      <c r="G312" s="21">
        <f t="shared" si="107"/>
        <v>1380261.977896204</v>
      </c>
      <c r="H312" s="43">
        <f t="shared" si="119"/>
        <v>0.98549362936334906</v>
      </c>
      <c r="I312" s="21">
        <f t="shared" si="120"/>
        <v>472583175.41896391</v>
      </c>
      <c r="J312" s="3">
        <f t="shared" si="100"/>
        <v>1</v>
      </c>
      <c r="K312" s="3">
        <f t="shared" si="108"/>
        <v>0</v>
      </c>
      <c r="L312" s="41">
        <f t="shared" si="101"/>
        <v>0</v>
      </c>
      <c r="M312" s="3">
        <f t="shared" si="102"/>
        <v>0</v>
      </c>
      <c r="N312" s="41">
        <f t="shared" si="103"/>
        <v>0</v>
      </c>
      <c r="O312" s="3">
        <f t="shared" si="104"/>
        <v>0</v>
      </c>
      <c r="P312" s="3" t="b">
        <f t="shared" si="109"/>
        <v>0</v>
      </c>
      <c r="Q312">
        <f t="shared" si="110"/>
        <v>0</v>
      </c>
      <c r="R312"/>
    </row>
    <row r="313" spans="1:18">
      <c r="A313">
        <f t="shared" si="105"/>
        <v>0</v>
      </c>
      <c r="B313">
        <f t="shared" si="106"/>
        <v>3</v>
      </c>
      <c r="C313">
        <f t="shared" si="116"/>
        <v>72.335586727585039</v>
      </c>
      <c r="D313" s="4">
        <f t="shared" si="117"/>
        <v>0</v>
      </c>
      <c r="E313" s="21">
        <f t="shared" si="118"/>
        <v>321292629449.35321</v>
      </c>
      <c r="F313" s="21">
        <f t="shared" si="99"/>
        <v>0</v>
      </c>
      <c r="G313" s="21">
        <f t="shared" si="107"/>
        <v>1380261.977896204</v>
      </c>
      <c r="H313" s="43">
        <f t="shared" si="119"/>
        <v>0.98544796780505406</v>
      </c>
      <c r="I313" s="21">
        <f t="shared" si="120"/>
        <v>473963437.39686012</v>
      </c>
      <c r="J313" s="3">
        <f t="shared" si="100"/>
        <v>1</v>
      </c>
      <c r="K313" s="3">
        <f t="shared" si="108"/>
        <v>0</v>
      </c>
      <c r="L313" s="41">
        <f t="shared" si="101"/>
        <v>0</v>
      </c>
      <c r="M313" s="3">
        <f t="shared" si="102"/>
        <v>0</v>
      </c>
      <c r="N313" s="41">
        <f t="shared" si="103"/>
        <v>0</v>
      </c>
      <c r="O313" s="3">
        <f t="shared" si="104"/>
        <v>0</v>
      </c>
      <c r="P313" s="3" t="b">
        <f t="shared" si="109"/>
        <v>0</v>
      </c>
      <c r="Q313">
        <f t="shared" si="110"/>
        <v>0</v>
      </c>
      <c r="R313"/>
    </row>
    <row r="314" spans="1:18">
      <c r="A314">
        <f t="shared" si="105"/>
        <v>0</v>
      </c>
      <c r="B314">
        <f t="shared" si="106"/>
        <v>3</v>
      </c>
      <c r="C314">
        <f t="shared" si="116"/>
        <v>72.585586727585039</v>
      </c>
      <c r="D314" s="4">
        <f t="shared" si="117"/>
        <v>0</v>
      </c>
      <c r="E314" s="21">
        <f t="shared" si="118"/>
        <v>321289868925.3974</v>
      </c>
      <c r="F314" s="21">
        <f t="shared" si="99"/>
        <v>0</v>
      </c>
      <c r="G314" s="21">
        <f t="shared" si="107"/>
        <v>1380261.977896204</v>
      </c>
      <c r="H314" s="43">
        <f t="shared" si="119"/>
        <v>0.98540230624675906</v>
      </c>
      <c r="I314" s="21">
        <f t="shared" si="120"/>
        <v>475343699.37475634</v>
      </c>
      <c r="J314" s="3">
        <f t="shared" si="100"/>
        <v>1</v>
      </c>
      <c r="K314" s="3">
        <f t="shared" si="108"/>
        <v>0</v>
      </c>
      <c r="L314" s="41">
        <f t="shared" si="101"/>
        <v>0</v>
      </c>
      <c r="M314" s="3">
        <f t="shared" si="102"/>
        <v>0</v>
      </c>
      <c r="N314" s="41">
        <f t="shared" si="103"/>
        <v>0</v>
      </c>
      <c r="O314" s="3">
        <f t="shared" si="104"/>
        <v>0</v>
      </c>
      <c r="P314" s="3" t="b">
        <f t="shared" si="109"/>
        <v>0</v>
      </c>
      <c r="Q314">
        <f t="shared" si="110"/>
        <v>0</v>
      </c>
      <c r="R314"/>
    </row>
    <row r="315" spans="1:18">
      <c r="A315">
        <f t="shared" si="105"/>
        <v>0</v>
      </c>
      <c r="B315">
        <f t="shared" si="106"/>
        <v>3</v>
      </c>
      <c r="C315">
        <f t="shared" si="116"/>
        <v>72.835586727585039</v>
      </c>
      <c r="D315" s="4">
        <f t="shared" si="117"/>
        <v>0</v>
      </c>
      <c r="E315" s="21">
        <f t="shared" si="118"/>
        <v>321287108401.44159</v>
      </c>
      <c r="F315" s="21">
        <f t="shared" si="99"/>
        <v>0</v>
      </c>
      <c r="G315" s="21">
        <f t="shared" si="107"/>
        <v>1380261.977896204</v>
      </c>
      <c r="H315" s="43">
        <f t="shared" si="119"/>
        <v>0.98535664468846407</v>
      </c>
      <c r="I315" s="21">
        <f t="shared" si="120"/>
        <v>476723961.35265255</v>
      </c>
      <c r="J315" s="3">
        <f t="shared" si="100"/>
        <v>1</v>
      </c>
      <c r="K315" s="3">
        <f t="shared" si="108"/>
        <v>0</v>
      </c>
      <c r="L315" s="41">
        <f t="shared" si="101"/>
        <v>0</v>
      </c>
      <c r="M315" s="3">
        <f t="shared" si="102"/>
        <v>0</v>
      </c>
      <c r="N315" s="41">
        <f t="shared" si="103"/>
        <v>0</v>
      </c>
      <c r="O315" s="3">
        <f t="shared" si="104"/>
        <v>0</v>
      </c>
      <c r="P315" s="3" t="b">
        <f t="shared" si="109"/>
        <v>0</v>
      </c>
      <c r="Q315">
        <f t="shared" si="110"/>
        <v>0</v>
      </c>
      <c r="R315"/>
    </row>
    <row r="316" spans="1:18">
      <c r="A316">
        <f t="shared" si="105"/>
        <v>0</v>
      </c>
      <c r="B316">
        <f t="shared" si="106"/>
        <v>3</v>
      </c>
      <c r="C316">
        <f t="shared" si="116"/>
        <v>73.085586727585039</v>
      </c>
      <c r="D316" s="4">
        <f t="shared" si="117"/>
        <v>0</v>
      </c>
      <c r="E316" s="21">
        <f t="shared" si="118"/>
        <v>321284347877.48578</v>
      </c>
      <c r="F316" s="21">
        <f t="shared" si="99"/>
        <v>0</v>
      </c>
      <c r="G316" s="21">
        <f t="shared" si="107"/>
        <v>1380261.977896204</v>
      </c>
      <c r="H316" s="43">
        <f t="shared" si="119"/>
        <v>0.98531098313016896</v>
      </c>
      <c r="I316" s="21">
        <f t="shared" si="120"/>
        <v>478104223.33054876</v>
      </c>
      <c r="J316" s="3">
        <f t="shared" si="100"/>
        <v>1</v>
      </c>
      <c r="K316" s="3">
        <f t="shared" si="108"/>
        <v>0</v>
      </c>
      <c r="L316" s="41">
        <f t="shared" si="101"/>
        <v>0</v>
      </c>
      <c r="M316" s="3">
        <f t="shared" si="102"/>
        <v>0</v>
      </c>
      <c r="N316" s="41">
        <f t="shared" si="103"/>
        <v>0</v>
      </c>
      <c r="O316" s="3">
        <f t="shared" si="104"/>
        <v>0</v>
      </c>
      <c r="P316" s="3" t="b">
        <f t="shared" si="109"/>
        <v>0</v>
      </c>
      <c r="Q316">
        <f t="shared" si="110"/>
        <v>0</v>
      </c>
      <c r="R316"/>
    </row>
    <row r="317" spans="1:18">
      <c r="A317">
        <f t="shared" si="105"/>
        <v>0</v>
      </c>
      <c r="B317">
        <f t="shared" si="106"/>
        <v>3</v>
      </c>
      <c r="C317">
        <f t="shared" si="116"/>
        <v>73.335586727585039</v>
      </c>
      <c r="D317" s="4">
        <f t="shared" si="117"/>
        <v>0</v>
      </c>
      <c r="E317" s="21">
        <f t="shared" si="118"/>
        <v>321281587353.52997</v>
      </c>
      <c r="F317" s="21">
        <f t="shared" si="99"/>
        <v>0</v>
      </c>
      <c r="G317" s="21">
        <f t="shared" si="107"/>
        <v>1380261.977896204</v>
      </c>
      <c r="H317" s="43">
        <f t="shared" si="119"/>
        <v>0.98526532157187396</v>
      </c>
      <c r="I317" s="21">
        <f t="shared" si="120"/>
        <v>479484485.30844498</v>
      </c>
      <c r="J317" s="3">
        <f t="shared" si="100"/>
        <v>1</v>
      </c>
      <c r="K317" s="3">
        <f t="shared" si="108"/>
        <v>0</v>
      </c>
      <c r="L317" s="41">
        <f t="shared" si="101"/>
        <v>0</v>
      </c>
      <c r="M317" s="3">
        <f t="shared" si="102"/>
        <v>0</v>
      </c>
      <c r="N317" s="41">
        <f t="shared" si="103"/>
        <v>0</v>
      </c>
      <c r="O317" s="3">
        <f t="shared" si="104"/>
        <v>0</v>
      </c>
      <c r="P317" s="3" t="b">
        <f t="shared" si="109"/>
        <v>0</v>
      </c>
      <c r="Q317">
        <f t="shared" si="110"/>
        <v>0</v>
      </c>
      <c r="R317"/>
    </row>
    <row r="318" spans="1:18">
      <c r="A318">
        <f t="shared" si="105"/>
        <v>0</v>
      </c>
      <c r="B318">
        <f t="shared" si="106"/>
        <v>3</v>
      </c>
      <c r="C318">
        <f t="shared" si="116"/>
        <v>73.585586727585039</v>
      </c>
      <c r="D318" s="4">
        <f t="shared" si="117"/>
        <v>0</v>
      </c>
      <c r="E318" s="21">
        <f t="shared" si="118"/>
        <v>321278826829.57416</v>
      </c>
      <c r="F318" s="21">
        <f t="shared" si="99"/>
        <v>0</v>
      </c>
      <c r="G318" s="21">
        <f t="shared" si="107"/>
        <v>1380261.977896204</v>
      </c>
      <c r="H318" s="43">
        <f t="shared" si="119"/>
        <v>0.98521966001357897</v>
      </c>
      <c r="I318" s="21">
        <f t="shared" si="120"/>
        <v>480864747.28634119</v>
      </c>
      <c r="J318" s="3">
        <f t="shared" si="100"/>
        <v>1</v>
      </c>
      <c r="K318" s="3">
        <f t="shared" si="108"/>
        <v>0</v>
      </c>
      <c r="L318" s="41">
        <f t="shared" si="101"/>
        <v>0</v>
      </c>
      <c r="M318" s="3">
        <f t="shared" si="102"/>
        <v>0</v>
      </c>
      <c r="N318" s="41">
        <f t="shared" si="103"/>
        <v>0</v>
      </c>
      <c r="O318" s="3">
        <f t="shared" si="104"/>
        <v>0</v>
      </c>
      <c r="P318" s="3" t="b">
        <f t="shared" si="109"/>
        <v>0</v>
      </c>
      <c r="Q318">
        <f t="shared" si="110"/>
        <v>0</v>
      </c>
      <c r="R318"/>
    </row>
    <row r="319" spans="1:18">
      <c r="A319">
        <f t="shared" si="105"/>
        <v>0</v>
      </c>
      <c r="B319">
        <f t="shared" si="106"/>
        <v>3</v>
      </c>
      <c r="C319">
        <f t="shared" si="116"/>
        <v>73.835586727585039</v>
      </c>
      <c r="D319" s="4">
        <f t="shared" si="117"/>
        <v>0</v>
      </c>
      <c r="E319" s="21">
        <f t="shared" si="118"/>
        <v>321276066305.61835</v>
      </c>
      <c r="F319" s="21">
        <f t="shared" si="99"/>
        <v>0</v>
      </c>
      <c r="G319" s="21">
        <f t="shared" si="107"/>
        <v>1380261.977896204</v>
      </c>
      <c r="H319" s="43">
        <f t="shared" si="119"/>
        <v>0.98517399845528397</v>
      </c>
      <c r="I319" s="21">
        <f t="shared" si="120"/>
        <v>482245009.2642374</v>
      </c>
      <c r="J319" s="3">
        <f t="shared" si="100"/>
        <v>1</v>
      </c>
      <c r="K319" s="3">
        <f t="shared" si="108"/>
        <v>0</v>
      </c>
      <c r="L319" s="41">
        <f t="shared" si="101"/>
        <v>0</v>
      </c>
      <c r="M319" s="3">
        <f t="shared" si="102"/>
        <v>0</v>
      </c>
      <c r="N319" s="41">
        <f t="shared" si="103"/>
        <v>0</v>
      </c>
      <c r="O319" s="3">
        <f t="shared" si="104"/>
        <v>0</v>
      </c>
      <c r="P319" s="3" t="b">
        <f t="shared" si="109"/>
        <v>0</v>
      </c>
      <c r="Q319">
        <f t="shared" si="110"/>
        <v>0</v>
      </c>
      <c r="R319"/>
    </row>
    <row r="320" spans="1:18">
      <c r="A320">
        <f t="shared" si="105"/>
        <v>0</v>
      </c>
      <c r="B320">
        <f t="shared" si="106"/>
        <v>3</v>
      </c>
      <c r="C320">
        <f t="shared" si="116"/>
        <v>74.085586727585039</v>
      </c>
      <c r="D320" s="4">
        <f t="shared" si="117"/>
        <v>0</v>
      </c>
      <c r="E320" s="21">
        <f t="shared" si="118"/>
        <v>321273305781.66254</v>
      </c>
      <c r="F320" s="21">
        <f t="shared" si="99"/>
        <v>0</v>
      </c>
      <c r="G320" s="21">
        <f t="shared" si="107"/>
        <v>1380261.977896204</v>
      </c>
      <c r="H320" s="43">
        <f t="shared" si="119"/>
        <v>0.98512833689698898</v>
      </c>
      <c r="I320" s="21">
        <f t="shared" si="120"/>
        <v>483625271.24213362</v>
      </c>
      <c r="J320" s="3">
        <f t="shared" si="100"/>
        <v>1</v>
      </c>
      <c r="K320" s="3">
        <f t="shared" si="108"/>
        <v>0</v>
      </c>
      <c r="L320" s="41">
        <f t="shared" si="101"/>
        <v>0</v>
      </c>
      <c r="M320" s="3">
        <f t="shared" si="102"/>
        <v>0</v>
      </c>
      <c r="N320" s="41">
        <f t="shared" si="103"/>
        <v>0</v>
      </c>
      <c r="O320" s="3">
        <f t="shared" si="104"/>
        <v>0</v>
      </c>
      <c r="P320" s="3" t="b">
        <f t="shared" si="109"/>
        <v>0</v>
      </c>
      <c r="Q320">
        <f t="shared" si="110"/>
        <v>0</v>
      </c>
      <c r="R320"/>
    </row>
    <row r="321" spans="1:18">
      <c r="A321">
        <f t="shared" si="105"/>
        <v>0</v>
      </c>
      <c r="B321">
        <f t="shared" ref="B321:B333" si="121">IF(P320&lt;$E$9,0,IF(P320&gt;$D$8,3,IF(P320&gt;$D$8-$E$9,2,1)))</f>
        <v>3</v>
      </c>
      <c r="C321">
        <f t="shared" si="116"/>
        <v>74.335586727585039</v>
      </c>
      <c r="D321" s="4">
        <f t="shared" ref="D321:D333" si="122">$C$16/$C$5*ASINH($C$5*A321*$C$14/$C$16)/$C$14</f>
        <v>0</v>
      </c>
      <c r="E321" s="21">
        <f t="shared" ref="E321:E333" si="123">E320-G320-$C$12</f>
        <v>321270545257.70673</v>
      </c>
      <c r="F321" s="21">
        <f t="shared" si="99"/>
        <v>0</v>
      </c>
      <c r="G321" s="21">
        <f t="shared" ref="G321:G333" si="124">F321*$C$14*$D$11*$C$6/1000+$C$12</f>
        <v>1380261.977896204</v>
      </c>
      <c r="H321" s="43">
        <f t="shared" ref="H321:H333" si="125">1-(($E$18-E321)/$C$4)</f>
        <v>0.98508267533869398</v>
      </c>
      <c r="I321" s="21">
        <f t="shared" ref="I321:I333" si="126">I320+G321</f>
        <v>485005533.22002983</v>
      </c>
      <c r="J321" s="3">
        <f t="shared" si="100"/>
        <v>1</v>
      </c>
      <c r="K321" s="3">
        <f t="shared" si="108"/>
        <v>0</v>
      </c>
      <c r="L321" s="41">
        <f t="shared" ref="L321:L333" si="127">K321/$C$16</f>
        <v>0</v>
      </c>
      <c r="M321" s="3">
        <f t="shared" ref="M321:M333" si="128">K321/J321</f>
        <v>0</v>
      </c>
      <c r="N321" s="41">
        <f t="shared" ref="N321:N333" si="129">K321/$C$16</f>
        <v>0</v>
      </c>
      <c r="O321" s="3">
        <f t="shared" ref="O321:O333" si="130">$D$16/$C$5*(J321-1)</f>
        <v>0</v>
      </c>
      <c r="P321" s="3" t="b">
        <f t="shared" ref="P321:P333" si="131">IF(B321=0,O321,IF(B321=2,$D$8-O321,IF(B321=1,P320+$K$9*(C321-C320)*$C$14)))</f>
        <v>0</v>
      </c>
      <c r="Q321">
        <f t="shared" ref="Q321:Q333" si="132">P321/$C$15</f>
        <v>0</v>
      </c>
      <c r="R321"/>
    </row>
    <row r="322" spans="1:18">
      <c r="A322">
        <f t="shared" si="105"/>
        <v>0</v>
      </c>
      <c r="B322">
        <f t="shared" si="121"/>
        <v>3</v>
      </c>
      <c r="C322">
        <f t="shared" si="116"/>
        <v>74.585586727585039</v>
      </c>
      <c r="D322" s="4">
        <f t="shared" si="122"/>
        <v>0</v>
      </c>
      <c r="E322" s="21">
        <f t="shared" si="123"/>
        <v>321267784733.75092</v>
      </c>
      <c r="F322" s="21">
        <f t="shared" si="99"/>
        <v>0</v>
      </c>
      <c r="G322" s="21">
        <f t="shared" si="124"/>
        <v>1380261.977896204</v>
      </c>
      <c r="H322" s="43">
        <f t="shared" si="125"/>
        <v>0.98503701378039887</v>
      </c>
      <c r="I322" s="21">
        <f t="shared" si="126"/>
        <v>486385795.19792604</v>
      </c>
      <c r="J322" s="3">
        <f t="shared" si="100"/>
        <v>1</v>
      </c>
      <c r="K322" s="3">
        <f t="shared" si="108"/>
        <v>0</v>
      </c>
      <c r="L322" s="41">
        <f t="shared" si="127"/>
        <v>0</v>
      </c>
      <c r="M322" s="3">
        <f t="shared" si="128"/>
        <v>0</v>
      </c>
      <c r="N322" s="41">
        <f t="shared" si="129"/>
        <v>0</v>
      </c>
      <c r="O322" s="3">
        <f t="shared" si="130"/>
        <v>0</v>
      </c>
      <c r="P322" s="3" t="b">
        <f t="shared" si="131"/>
        <v>0</v>
      </c>
      <c r="Q322">
        <f t="shared" si="132"/>
        <v>0</v>
      </c>
      <c r="R322"/>
    </row>
    <row r="323" spans="1:18">
      <c r="A323">
        <f t="shared" si="105"/>
        <v>0</v>
      </c>
      <c r="B323">
        <f t="shared" si="121"/>
        <v>3</v>
      </c>
      <c r="C323">
        <f t="shared" si="116"/>
        <v>74.835586727585039</v>
      </c>
      <c r="D323" s="4">
        <f t="shared" si="122"/>
        <v>0</v>
      </c>
      <c r="E323" s="21">
        <f t="shared" si="123"/>
        <v>321265024209.7951</v>
      </c>
      <c r="F323" s="21">
        <f t="shared" si="99"/>
        <v>0</v>
      </c>
      <c r="G323" s="21">
        <f t="shared" si="124"/>
        <v>1380261.977896204</v>
      </c>
      <c r="H323" s="43">
        <f t="shared" si="125"/>
        <v>0.98499135222210388</v>
      </c>
      <c r="I323" s="21">
        <f t="shared" si="126"/>
        <v>487766057.17582226</v>
      </c>
      <c r="J323" s="3">
        <f t="shared" si="100"/>
        <v>1</v>
      </c>
      <c r="K323" s="3">
        <f t="shared" si="108"/>
        <v>0</v>
      </c>
      <c r="L323" s="41">
        <f t="shared" si="127"/>
        <v>0</v>
      </c>
      <c r="M323" s="3">
        <f t="shared" si="128"/>
        <v>0</v>
      </c>
      <c r="N323" s="41">
        <f t="shared" si="129"/>
        <v>0</v>
      </c>
      <c r="O323" s="3">
        <f t="shared" si="130"/>
        <v>0</v>
      </c>
      <c r="P323" s="3" t="b">
        <f t="shared" si="131"/>
        <v>0</v>
      </c>
      <c r="Q323">
        <f t="shared" si="132"/>
        <v>0</v>
      </c>
      <c r="R323"/>
    </row>
    <row r="324" spans="1:18">
      <c r="A324">
        <f t="shared" si="105"/>
        <v>0</v>
      </c>
      <c r="B324">
        <f t="shared" si="121"/>
        <v>3</v>
      </c>
      <c r="C324">
        <f t="shared" si="116"/>
        <v>75.085586727585039</v>
      </c>
      <c r="D324" s="4">
        <f t="shared" si="122"/>
        <v>0</v>
      </c>
      <c r="E324" s="21">
        <f t="shared" si="123"/>
        <v>321262263685.83929</v>
      </c>
      <c r="F324" s="21">
        <f t="shared" si="99"/>
        <v>0</v>
      </c>
      <c r="G324" s="21">
        <f t="shared" si="124"/>
        <v>1380261.977896204</v>
      </c>
      <c r="H324" s="43">
        <f t="shared" si="125"/>
        <v>0.98494569066380888</v>
      </c>
      <c r="I324" s="21">
        <f t="shared" si="126"/>
        <v>489146319.15371847</v>
      </c>
      <c r="J324" s="3">
        <f t="shared" si="100"/>
        <v>1</v>
      </c>
      <c r="K324" s="3">
        <f t="shared" si="108"/>
        <v>0</v>
      </c>
      <c r="L324" s="41">
        <f t="shared" si="127"/>
        <v>0</v>
      </c>
      <c r="M324" s="3">
        <f t="shared" si="128"/>
        <v>0</v>
      </c>
      <c r="N324" s="41">
        <f t="shared" si="129"/>
        <v>0</v>
      </c>
      <c r="O324" s="3">
        <f t="shared" si="130"/>
        <v>0</v>
      </c>
      <c r="P324" s="3" t="b">
        <f t="shared" si="131"/>
        <v>0</v>
      </c>
      <c r="Q324">
        <f t="shared" si="132"/>
        <v>0</v>
      </c>
      <c r="R324"/>
    </row>
    <row r="325" spans="1:18">
      <c r="A325">
        <f t="shared" si="105"/>
        <v>0</v>
      </c>
      <c r="B325">
        <f t="shared" si="121"/>
        <v>3</v>
      </c>
      <c r="C325">
        <f t="shared" si="116"/>
        <v>75.335586727585039</v>
      </c>
      <c r="D325" s="4">
        <f t="shared" si="122"/>
        <v>0</v>
      </c>
      <c r="E325" s="21">
        <f t="shared" si="123"/>
        <v>321259503161.88348</v>
      </c>
      <c r="F325" s="21">
        <f t="shared" si="99"/>
        <v>0</v>
      </c>
      <c r="G325" s="21">
        <f t="shared" si="124"/>
        <v>1380261.977896204</v>
      </c>
      <c r="H325" s="43">
        <f t="shared" si="125"/>
        <v>0.98490002910551389</v>
      </c>
      <c r="I325" s="21">
        <f t="shared" si="126"/>
        <v>490526581.13161469</v>
      </c>
      <c r="J325" s="3">
        <f t="shared" si="100"/>
        <v>1</v>
      </c>
      <c r="K325" s="3">
        <f t="shared" si="108"/>
        <v>0</v>
      </c>
      <c r="L325" s="41">
        <f t="shared" si="127"/>
        <v>0</v>
      </c>
      <c r="M325" s="3">
        <f t="shared" si="128"/>
        <v>0</v>
      </c>
      <c r="N325" s="41">
        <f t="shared" si="129"/>
        <v>0</v>
      </c>
      <c r="O325" s="3">
        <f t="shared" si="130"/>
        <v>0</v>
      </c>
      <c r="P325" s="3" t="b">
        <f t="shared" si="131"/>
        <v>0</v>
      </c>
      <c r="Q325">
        <f t="shared" si="132"/>
        <v>0</v>
      </c>
      <c r="R325"/>
    </row>
    <row r="326" spans="1:18">
      <c r="A326">
        <f t="shared" si="105"/>
        <v>0</v>
      </c>
      <c r="B326">
        <f t="shared" si="121"/>
        <v>3</v>
      </c>
      <c r="C326">
        <f t="shared" si="116"/>
        <v>75.585586727585039</v>
      </c>
      <c r="D326" s="4">
        <f t="shared" si="122"/>
        <v>0</v>
      </c>
      <c r="E326" s="21">
        <f t="shared" si="123"/>
        <v>321256742637.92767</v>
      </c>
      <c r="F326" s="21">
        <f t="shared" si="99"/>
        <v>0</v>
      </c>
      <c r="G326" s="21">
        <f t="shared" si="124"/>
        <v>1380261.977896204</v>
      </c>
      <c r="H326" s="43">
        <f t="shared" si="125"/>
        <v>0.98485436754721889</v>
      </c>
      <c r="I326" s="21">
        <f t="shared" si="126"/>
        <v>491906843.1095109</v>
      </c>
      <c r="J326" s="3">
        <f t="shared" si="100"/>
        <v>1</v>
      </c>
      <c r="K326" s="3">
        <f t="shared" si="108"/>
        <v>0</v>
      </c>
      <c r="L326" s="41">
        <f t="shared" si="127"/>
        <v>0</v>
      </c>
      <c r="M326" s="3">
        <f t="shared" si="128"/>
        <v>0</v>
      </c>
      <c r="N326" s="41">
        <f t="shared" si="129"/>
        <v>0</v>
      </c>
      <c r="O326" s="3">
        <f t="shared" si="130"/>
        <v>0</v>
      </c>
      <c r="P326" s="3" t="b">
        <f t="shared" si="131"/>
        <v>0</v>
      </c>
      <c r="Q326">
        <f t="shared" si="132"/>
        <v>0</v>
      </c>
      <c r="R326"/>
    </row>
    <row r="327" spans="1:18">
      <c r="A327">
        <f t="shared" si="105"/>
        <v>0</v>
      </c>
      <c r="B327">
        <f t="shared" si="121"/>
        <v>3</v>
      </c>
      <c r="C327">
        <f t="shared" si="116"/>
        <v>75.835586727585039</v>
      </c>
      <c r="D327" s="4">
        <f t="shared" si="122"/>
        <v>0</v>
      </c>
      <c r="E327" s="21">
        <f t="shared" si="123"/>
        <v>321253982113.97186</v>
      </c>
      <c r="F327" s="21">
        <f t="shared" si="99"/>
        <v>0</v>
      </c>
      <c r="G327" s="21">
        <f t="shared" si="124"/>
        <v>1380261.977896204</v>
      </c>
      <c r="H327" s="43">
        <f t="shared" si="125"/>
        <v>0.98480870598892378</v>
      </c>
      <c r="I327" s="21">
        <f t="shared" si="126"/>
        <v>493287105.08740711</v>
      </c>
      <c r="J327" s="3">
        <f t="shared" si="100"/>
        <v>1</v>
      </c>
      <c r="K327" s="3">
        <f t="shared" si="108"/>
        <v>0</v>
      </c>
      <c r="L327" s="41">
        <f t="shared" si="127"/>
        <v>0</v>
      </c>
      <c r="M327" s="3">
        <f t="shared" si="128"/>
        <v>0</v>
      </c>
      <c r="N327" s="41">
        <f t="shared" si="129"/>
        <v>0</v>
      </c>
      <c r="O327" s="3">
        <f t="shared" si="130"/>
        <v>0</v>
      </c>
      <c r="P327" s="3" t="b">
        <f t="shared" si="131"/>
        <v>0</v>
      </c>
      <c r="Q327">
        <f t="shared" si="132"/>
        <v>0</v>
      </c>
      <c r="R327"/>
    </row>
    <row r="328" spans="1:18">
      <c r="A328">
        <f t="shared" si="105"/>
        <v>0</v>
      </c>
      <c r="B328">
        <f t="shared" si="121"/>
        <v>3</v>
      </c>
      <c r="C328">
        <f t="shared" si="116"/>
        <v>76.085586727585039</v>
      </c>
      <c r="D328" s="4">
        <f t="shared" si="122"/>
        <v>0</v>
      </c>
      <c r="E328" s="21">
        <f t="shared" si="123"/>
        <v>321251221590.01605</v>
      </c>
      <c r="F328" s="21">
        <f t="shared" si="99"/>
        <v>0</v>
      </c>
      <c r="G328" s="21">
        <f t="shared" si="124"/>
        <v>1380261.977896204</v>
      </c>
      <c r="H328" s="43">
        <f t="shared" si="125"/>
        <v>0.98476304443062879</v>
      </c>
      <c r="I328" s="21">
        <f t="shared" si="126"/>
        <v>494667367.06530333</v>
      </c>
      <c r="J328" s="3">
        <f t="shared" si="100"/>
        <v>1</v>
      </c>
      <c r="K328" s="3">
        <f t="shared" si="108"/>
        <v>0</v>
      </c>
      <c r="L328" s="41">
        <f t="shared" si="127"/>
        <v>0</v>
      </c>
      <c r="M328" s="3">
        <f t="shared" si="128"/>
        <v>0</v>
      </c>
      <c r="N328" s="41">
        <f t="shared" si="129"/>
        <v>0</v>
      </c>
      <c r="O328" s="3">
        <f t="shared" si="130"/>
        <v>0</v>
      </c>
      <c r="P328" s="3" t="b">
        <f t="shared" si="131"/>
        <v>0</v>
      </c>
      <c r="Q328">
        <f t="shared" si="132"/>
        <v>0</v>
      </c>
      <c r="R328"/>
    </row>
    <row r="329" spans="1:18">
      <c r="A329">
        <f t="shared" si="105"/>
        <v>0</v>
      </c>
      <c r="B329">
        <f t="shared" si="121"/>
        <v>3</v>
      </c>
      <c r="C329">
        <f t="shared" si="116"/>
        <v>76.335586727585039</v>
      </c>
      <c r="D329" s="4">
        <f t="shared" si="122"/>
        <v>0</v>
      </c>
      <c r="E329" s="21">
        <f t="shared" si="123"/>
        <v>321248461066.06024</v>
      </c>
      <c r="F329" s="21">
        <f t="shared" si="99"/>
        <v>0</v>
      </c>
      <c r="G329" s="21">
        <f t="shared" si="124"/>
        <v>1380261.977896204</v>
      </c>
      <c r="H329" s="43">
        <f t="shared" si="125"/>
        <v>0.98471738287233379</v>
      </c>
      <c r="I329" s="21">
        <f t="shared" si="126"/>
        <v>496047629.04319954</v>
      </c>
      <c r="J329" s="3">
        <f t="shared" si="100"/>
        <v>1</v>
      </c>
      <c r="K329" s="3">
        <f t="shared" si="108"/>
        <v>0</v>
      </c>
      <c r="L329" s="41">
        <f t="shared" si="127"/>
        <v>0</v>
      </c>
      <c r="M329" s="3">
        <f t="shared" si="128"/>
        <v>0</v>
      </c>
      <c r="N329" s="41">
        <f t="shared" si="129"/>
        <v>0</v>
      </c>
      <c r="O329" s="3">
        <f t="shared" si="130"/>
        <v>0</v>
      </c>
      <c r="P329" s="3" t="b">
        <f t="shared" si="131"/>
        <v>0</v>
      </c>
      <c r="Q329">
        <f t="shared" si="132"/>
        <v>0</v>
      </c>
      <c r="R329"/>
    </row>
    <row r="330" spans="1:18">
      <c r="A330">
        <f t="shared" si="105"/>
        <v>0</v>
      </c>
      <c r="B330">
        <f t="shared" si="121"/>
        <v>3</v>
      </c>
      <c r="C330">
        <f t="shared" si="116"/>
        <v>76.585586727585039</v>
      </c>
      <c r="D330" s="4">
        <f t="shared" si="122"/>
        <v>0</v>
      </c>
      <c r="E330" s="21">
        <f t="shared" si="123"/>
        <v>321245700542.10443</v>
      </c>
      <c r="F330" s="21">
        <f t="shared" si="99"/>
        <v>0</v>
      </c>
      <c r="G330" s="21">
        <f t="shared" si="124"/>
        <v>1380261.977896204</v>
      </c>
      <c r="H330" s="43">
        <f t="shared" si="125"/>
        <v>0.98467172131403879</v>
      </c>
      <c r="I330" s="21">
        <f t="shared" si="126"/>
        <v>497427891.02109575</v>
      </c>
      <c r="J330" s="3">
        <f t="shared" si="100"/>
        <v>1</v>
      </c>
      <c r="K330" s="3">
        <f t="shared" si="108"/>
        <v>0</v>
      </c>
      <c r="L330" s="41">
        <f t="shared" si="127"/>
        <v>0</v>
      </c>
      <c r="M330" s="3">
        <f t="shared" si="128"/>
        <v>0</v>
      </c>
      <c r="N330" s="41">
        <f t="shared" si="129"/>
        <v>0</v>
      </c>
      <c r="O330" s="3">
        <f t="shared" si="130"/>
        <v>0</v>
      </c>
      <c r="P330" s="3" t="b">
        <f t="shared" si="131"/>
        <v>0</v>
      </c>
      <c r="Q330">
        <f t="shared" si="132"/>
        <v>0</v>
      </c>
      <c r="R330"/>
    </row>
    <row r="331" spans="1:18">
      <c r="A331">
        <f t="shared" si="105"/>
        <v>0</v>
      </c>
      <c r="B331">
        <f t="shared" si="121"/>
        <v>3</v>
      </c>
      <c r="C331">
        <f t="shared" si="116"/>
        <v>76.835586727585039</v>
      </c>
      <c r="D331" s="4">
        <f t="shared" si="122"/>
        <v>0</v>
      </c>
      <c r="E331" s="21">
        <f t="shared" si="123"/>
        <v>321242940018.14862</v>
      </c>
      <c r="F331" s="21">
        <f t="shared" si="99"/>
        <v>0</v>
      </c>
      <c r="G331" s="21">
        <f t="shared" si="124"/>
        <v>1380261.977896204</v>
      </c>
      <c r="H331" s="43">
        <f t="shared" si="125"/>
        <v>0.9846260597557438</v>
      </c>
      <c r="I331" s="21">
        <f t="shared" si="126"/>
        <v>498808152.99899197</v>
      </c>
      <c r="J331" s="3">
        <f t="shared" si="100"/>
        <v>1</v>
      </c>
      <c r="K331" s="3">
        <f t="shared" si="108"/>
        <v>0</v>
      </c>
      <c r="L331" s="41">
        <f t="shared" si="127"/>
        <v>0</v>
      </c>
      <c r="M331" s="3">
        <f t="shared" si="128"/>
        <v>0</v>
      </c>
      <c r="N331" s="41">
        <f t="shared" si="129"/>
        <v>0</v>
      </c>
      <c r="O331" s="3">
        <f t="shared" si="130"/>
        <v>0</v>
      </c>
      <c r="P331" s="3" t="b">
        <f t="shared" si="131"/>
        <v>0</v>
      </c>
      <c r="Q331">
        <f t="shared" si="132"/>
        <v>0</v>
      </c>
      <c r="R331"/>
    </row>
    <row r="332" spans="1:18">
      <c r="A332">
        <f t="shared" si="105"/>
        <v>0</v>
      </c>
      <c r="B332">
        <f t="shared" si="121"/>
        <v>3</v>
      </c>
      <c r="C332">
        <f t="shared" si="116"/>
        <v>77.085586727585039</v>
      </c>
      <c r="D332" s="4">
        <f t="shared" si="122"/>
        <v>0</v>
      </c>
      <c r="E332" s="21">
        <f t="shared" si="123"/>
        <v>321240179494.19281</v>
      </c>
      <c r="F332" s="21">
        <f t="shared" si="99"/>
        <v>0</v>
      </c>
      <c r="G332" s="21">
        <f t="shared" si="124"/>
        <v>1380261.977896204</v>
      </c>
      <c r="H332" s="43">
        <f t="shared" si="125"/>
        <v>0.9845803981974488</v>
      </c>
      <c r="I332" s="21">
        <f t="shared" si="126"/>
        <v>500188414.97688818</v>
      </c>
      <c r="J332" s="3">
        <f t="shared" si="100"/>
        <v>1</v>
      </c>
      <c r="K332" s="3">
        <f t="shared" si="108"/>
        <v>0</v>
      </c>
      <c r="L332" s="41">
        <f t="shared" si="127"/>
        <v>0</v>
      </c>
      <c r="M332" s="3">
        <f t="shared" si="128"/>
        <v>0</v>
      </c>
      <c r="N332" s="41">
        <f t="shared" si="129"/>
        <v>0</v>
      </c>
      <c r="O332" s="3">
        <f t="shared" si="130"/>
        <v>0</v>
      </c>
      <c r="P332" s="3" t="b">
        <f t="shared" si="131"/>
        <v>0</v>
      </c>
      <c r="Q332">
        <f t="shared" si="132"/>
        <v>0</v>
      </c>
      <c r="R332"/>
    </row>
    <row r="333" spans="1:18">
      <c r="A333">
        <f t="shared" si="105"/>
        <v>0</v>
      </c>
      <c r="B333">
        <f t="shared" si="121"/>
        <v>3</v>
      </c>
      <c r="C333">
        <f t="shared" si="116"/>
        <v>77.335586727585039</v>
      </c>
      <c r="D333" s="4">
        <f t="shared" si="122"/>
        <v>0</v>
      </c>
      <c r="E333" s="21">
        <f t="shared" si="123"/>
        <v>321237418970.237</v>
      </c>
      <c r="F333" s="21">
        <f t="shared" si="99"/>
        <v>0</v>
      </c>
      <c r="G333" s="21">
        <f t="shared" si="124"/>
        <v>1380261.977896204</v>
      </c>
      <c r="H333" s="43">
        <f t="shared" si="125"/>
        <v>0.9845347366391537</v>
      </c>
      <c r="I333" s="21">
        <f t="shared" si="126"/>
        <v>501568676.95478439</v>
      </c>
      <c r="J333" s="3">
        <f t="shared" si="100"/>
        <v>1</v>
      </c>
      <c r="K333" s="3">
        <f t="shared" si="108"/>
        <v>0</v>
      </c>
      <c r="L333" s="41">
        <f t="shared" si="127"/>
        <v>0</v>
      </c>
      <c r="M333" s="3">
        <f t="shared" si="128"/>
        <v>0</v>
      </c>
      <c r="N333" s="41">
        <f t="shared" si="129"/>
        <v>0</v>
      </c>
      <c r="O333" s="3">
        <f t="shared" si="130"/>
        <v>0</v>
      </c>
      <c r="P333" s="3" t="b">
        <f t="shared" si="131"/>
        <v>0</v>
      </c>
      <c r="Q333">
        <f t="shared" si="132"/>
        <v>0</v>
      </c>
      <c r="R333"/>
    </row>
    <row r="334" spans="1:18">
      <c r="A334">
        <f t="shared" si="105"/>
        <v>0</v>
      </c>
      <c r="B334">
        <f t="shared" ref="B334:B351" si="133">IF(P333&lt;$E$9,0,IF(P333&gt;$D$8,3,IF(P333&gt;$D$8-$E$9,2,1)))</f>
        <v>3</v>
      </c>
      <c r="C334">
        <f t="shared" si="116"/>
        <v>77.585586727585039</v>
      </c>
      <c r="D334" s="4">
        <f t="shared" ref="D334:D351" si="134">$C$16/$C$5*ASINH($C$5*A334*$C$14/$C$16)/$C$14</f>
        <v>0</v>
      </c>
      <c r="E334" s="21">
        <f t="shared" ref="E334:E351" si="135">E333-G333-$C$12</f>
        <v>321234658446.28119</v>
      </c>
      <c r="F334" s="21">
        <f t="shared" si="99"/>
        <v>0</v>
      </c>
      <c r="G334" s="21">
        <f t="shared" ref="G334:G351" si="136">F334*$C$14*$D$11*$C$6/1000+$C$12</f>
        <v>1380261.977896204</v>
      </c>
      <c r="H334" s="43">
        <f t="shared" ref="H334:H351" si="137">1-(($E$18-E334)/$C$4)</f>
        <v>0.9844890750808587</v>
      </c>
      <c r="I334" s="21">
        <f t="shared" ref="I334:I351" si="138">I333+G334</f>
        <v>502948938.93268061</v>
      </c>
      <c r="J334" s="3">
        <f t="shared" si="100"/>
        <v>1</v>
      </c>
      <c r="K334" s="3">
        <f t="shared" si="108"/>
        <v>0</v>
      </c>
      <c r="L334" s="41">
        <f t="shared" ref="L334:L351" si="139">K334/$C$16</f>
        <v>0</v>
      </c>
      <c r="M334" s="3">
        <f t="shared" ref="M334:M351" si="140">K334/J334</f>
        <v>0</v>
      </c>
      <c r="N334" s="41">
        <f t="shared" ref="N334:N351" si="141">K334/$C$16</f>
        <v>0</v>
      </c>
      <c r="O334" s="3">
        <f t="shared" ref="O334:O351" si="142">$D$16/$C$5*(J334-1)</f>
        <v>0</v>
      </c>
      <c r="P334" s="3" t="b">
        <f t="shared" ref="P334:P351" si="143">IF(B334=0,O334,IF(B334=2,$D$8-O334,IF(B334=1,P333+$K$9*(C334-C333)*$C$14)))</f>
        <v>0</v>
      </c>
      <c r="Q334">
        <f t="shared" ref="Q334:Q351" si="144">P334/$C$15</f>
        <v>0</v>
      </c>
      <c r="R334"/>
    </row>
    <row r="335" spans="1:18">
      <c r="A335">
        <f t="shared" si="105"/>
        <v>0</v>
      </c>
      <c r="B335">
        <f t="shared" si="133"/>
        <v>3</v>
      </c>
      <c r="C335">
        <f t="shared" si="116"/>
        <v>77.835586727585039</v>
      </c>
      <c r="D335" s="4">
        <f t="shared" si="134"/>
        <v>0</v>
      </c>
      <c r="E335" s="21">
        <f t="shared" si="135"/>
        <v>321231897922.32538</v>
      </c>
      <c r="F335" s="21">
        <f t="shared" si="99"/>
        <v>0</v>
      </c>
      <c r="G335" s="21">
        <f t="shared" si="136"/>
        <v>1380261.977896204</v>
      </c>
      <c r="H335" s="43">
        <f t="shared" si="137"/>
        <v>0.9844434135225637</v>
      </c>
      <c r="I335" s="21">
        <f t="shared" si="138"/>
        <v>504329200.91057682</v>
      </c>
      <c r="J335" s="3">
        <f t="shared" si="100"/>
        <v>1</v>
      </c>
      <c r="K335" s="3">
        <f t="shared" si="108"/>
        <v>0</v>
      </c>
      <c r="L335" s="41">
        <f t="shared" si="139"/>
        <v>0</v>
      </c>
      <c r="M335" s="3">
        <f t="shared" si="140"/>
        <v>0</v>
      </c>
      <c r="N335" s="41">
        <f t="shared" si="141"/>
        <v>0</v>
      </c>
      <c r="O335" s="3">
        <f t="shared" si="142"/>
        <v>0</v>
      </c>
      <c r="P335" s="3" t="b">
        <f t="shared" si="143"/>
        <v>0</v>
      </c>
      <c r="Q335">
        <f t="shared" si="144"/>
        <v>0</v>
      </c>
      <c r="R335"/>
    </row>
    <row r="336" spans="1:18">
      <c r="A336">
        <f t="shared" si="105"/>
        <v>0</v>
      </c>
      <c r="B336">
        <f t="shared" si="133"/>
        <v>3</v>
      </c>
      <c r="C336">
        <f t="shared" si="116"/>
        <v>78.085586727585039</v>
      </c>
      <c r="D336" s="4">
        <f t="shared" si="134"/>
        <v>0</v>
      </c>
      <c r="E336" s="21">
        <f t="shared" si="135"/>
        <v>321229137398.36957</v>
      </c>
      <c r="F336" s="21">
        <f t="shared" si="99"/>
        <v>0</v>
      </c>
      <c r="G336" s="21">
        <f t="shared" si="136"/>
        <v>1380261.977896204</v>
      </c>
      <c r="H336" s="43">
        <f t="shared" si="137"/>
        <v>0.98439775196426871</v>
      </c>
      <c r="I336" s="21">
        <f t="shared" si="138"/>
        <v>505709462.88847303</v>
      </c>
      <c r="J336" s="3">
        <f t="shared" si="100"/>
        <v>1</v>
      </c>
      <c r="K336" s="3">
        <f t="shared" si="108"/>
        <v>0</v>
      </c>
      <c r="L336" s="41">
        <f t="shared" si="139"/>
        <v>0</v>
      </c>
      <c r="M336" s="3">
        <f t="shared" si="140"/>
        <v>0</v>
      </c>
      <c r="N336" s="41">
        <f t="shared" si="141"/>
        <v>0</v>
      </c>
      <c r="O336" s="3">
        <f t="shared" si="142"/>
        <v>0</v>
      </c>
      <c r="P336" s="3" t="b">
        <f t="shared" si="143"/>
        <v>0</v>
      </c>
      <c r="Q336">
        <f t="shared" si="144"/>
        <v>0</v>
      </c>
      <c r="R336"/>
    </row>
    <row r="337" spans="1:18">
      <c r="A337">
        <f t="shared" si="105"/>
        <v>0</v>
      </c>
      <c r="B337">
        <f t="shared" si="133"/>
        <v>3</v>
      </c>
      <c r="C337">
        <f t="shared" si="116"/>
        <v>78.335586727585039</v>
      </c>
      <c r="D337" s="4">
        <f t="shared" si="134"/>
        <v>0</v>
      </c>
      <c r="E337" s="21">
        <f t="shared" si="135"/>
        <v>321226376874.41376</v>
      </c>
      <c r="F337" s="21">
        <f t="shared" si="99"/>
        <v>0</v>
      </c>
      <c r="G337" s="21">
        <f t="shared" si="136"/>
        <v>1380261.977896204</v>
      </c>
      <c r="H337" s="43">
        <f t="shared" si="137"/>
        <v>0.98435209040597371</v>
      </c>
      <c r="I337" s="21">
        <f t="shared" si="138"/>
        <v>507089724.86636925</v>
      </c>
      <c r="J337" s="3">
        <f t="shared" si="100"/>
        <v>1</v>
      </c>
      <c r="K337" s="3">
        <f t="shared" si="108"/>
        <v>0</v>
      </c>
      <c r="L337" s="41">
        <f t="shared" si="139"/>
        <v>0</v>
      </c>
      <c r="M337" s="3">
        <f t="shared" si="140"/>
        <v>0</v>
      </c>
      <c r="N337" s="41">
        <f t="shared" si="141"/>
        <v>0</v>
      </c>
      <c r="O337" s="3">
        <f t="shared" si="142"/>
        <v>0</v>
      </c>
      <c r="P337" s="3" t="b">
        <f t="shared" si="143"/>
        <v>0</v>
      </c>
      <c r="Q337">
        <f t="shared" si="144"/>
        <v>0</v>
      </c>
      <c r="R337"/>
    </row>
    <row r="338" spans="1:18">
      <c r="A338">
        <f t="shared" si="105"/>
        <v>0</v>
      </c>
      <c r="B338">
        <f t="shared" si="133"/>
        <v>3</v>
      </c>
      <c r="C338">
        <f t="shared" si="116"/>
        <v>78.585586727585039</v>
      </c>
      <c r="D338" s="4">
        <f t="shared" si="134"/>
        <v>0</v>
      </c>
      <c r="E338" s="21">
        <f t="shared" si="135"/>
        <v>321223616350.45795</v>
      </c>
      <c r="F338" s="21">
        <f t="shared" si="99"/>
        <v>0</v>
      </c>
      <c r="G338" s="21">
        <f t="shared" si="136"/>
        <v>1380261.977896204</v>
      </c>
      <c r="H338" s="43">
        <f t="shared" si="137"/>
        <v>0.98430642884767872</v>
      </c>
      <c r="I338" s="21">
        <f t="shared" si="138"/>
        <v>508469986.84426546</v>
      </c>
      <c r="J338" s="3">
        <f t="shared" si="100"/>
        <v>1</v>
      </c>
      <c r="K338" s="3">
        <f t="shared" si="108"/>
        <v>0</v>
      </c>
      <c r="L338" s="41">
        <f t="shared" si="139"/>
        <v>0</v>
      </c>
      <c r="M338" s="3">
        <f t="shared" si="140"/>
        <v>0</v>
      </c>
      <c r="N338" s="41">
        <f t="shared" si="141"/>
        <v>0</v>
      </c>
      <c r="O338" s="3">
        <f t="shared" si="142"/>
        <v>0</v>
      </c>
      <c r="P338" s="3" t="b">
        <f t="shared" si="143"/>
        <v>0</v>
      </c>
      <c r="Q338">
        <f t="shared" si="144"/>
        <v>0</v>
      </c>
      <c r="R338"/>
    </row>
    <row r="339" spans="1:18">
      <c r="A339">
        <f t="shared" si="105"/>
        <v>0</v>
      </c>
      <c r="B339">
        <f t="shared" si="133"/>
        <v>3</v>
      </c>
      <c r="C339">
        <f t="shared" si="116"/>
        <v>78.835586727585039</v>
      </c>
      <c r="D339" s="4">
        <f t="shared" si="134"/>
        <v>0</v>
      </c>
      <c r="E339" s="21">
        <f t="shared" si="135"/>
        <v>321220855826.50214</v>
      </c>
      <c r="F339" s="21">
        <f t="shared" ref="F339:F351" si="145">IF(B339=1,0,IF(B339=3,0,IF(E339&gt;$C$3,E339*$C$5,0)))</f>
        <v>0</v>
      </c>
      <c r="G339" s="21">
        <f t="shared" si="136"/>
        <v>1380261.977896204</v>
      </c>
      <c r="H339" s="43">
        <f t="shared" si="137"/>
        <v>0.98426076728938361</v>
      </c>
      <c r="I339" s="21">
        <f t="shared" si="138"/>
        <v>509850248.82216167</v>
      </c>
      <c r="J339" s="3">
        <f t="shared" ref="J339:J351" si="146">IF(B339=1,$J$9,SQRT(1+($C$5*A339/$C$16)^2))</f>
        <v>1</v>
      </c>
      <c r="K339" s="3">
        <f t="shared" si="108"/>
        <v>0</v>
      </c>
      <c r="L339" s="41">
        <f t="shared" si="139"/>
        <v>0</v>
      </c>
      <c r="M339" s="3">
        <f t="shared" si="140"/>
        <v>0</v>
      </c>
      <c r="N339" s="41">
        <f t="shared" si="141"/>
        <v>0</v>
      </c>
      <c r="O339" s="3">
        <f t="shared" si="142"/>
        <v>0</v>
      </c>
      <c r="P339" s="3" t="b">
        <f t="shared" si="143"/>
        <v>0</v>
      </c>
      <c r="Q339">
        <f t="shared" si="144"/>
        <v>0</v>
      </c>
      <c r="R339"/>
    </row>
    <row r="340" spans="1:18">
      <c r="A340">
        <f t="shared" ref="A340:A351" si="147">IF(B340=3,0,IF(B340=1,0,IF(B340=0,C340,$G$8-C340)))*$C$14</f>
        <v>0</v>
      </c>
      <c r="B340">
        <f t="shared" si="133"/>
        <v>3</v>
      </c>
      <c r="C340">
        <f t="shared" si="116"/>
        <v>79.085586727585039</v>
      </c>
      <c r="D340" s="4">
        <f t="shared" si="134"/>
        <v>0</v>
      </c>
      <c r="E340" s="21">
        <f t="shared" si="135"/>
        <v>321218095302.54633</v>
      </c>
      <c r="F340" s="21">
        <f t="shared" si="145"/>
        <v>0</v>
      </c>
      <c r="G340" s="21">
        <f t="shared" si="136"/>
        <v>1380261.977896204</v>
      </c>
      <c r="H340" s="43">
        <f t="shared" si="137"/>
        <v>0.98421510573108861</v>
      </c>
      <c r="I340" s="21">
        <f t="shared" si="138"/>
        <v>511230510.80005789</v>
      </c>
      <c r="J340" s="3">
        <f t="shared" si="146"/>
        <v>1</v>
      </c>
      <c r="K340" s="3">
        <f t="shared" ref="K340:K351" si="148">IF(B340=1,$K$9,$C$5*A340/J340)</f>
        <v>0</v>
      </c>
      <c r="L340" s="41">
        <f t="shared" si="139"/>
        <v>0</v>
      </c>
      <c r="M340" s="3">
        <f t="shared" si="140"/>
        <v>0</v>
      </c>
      <c r="N340" s="41">
        <f t="shared" si="141"/>
        <v>0</v>
      </c>
      <c r="O340" s="3">
        <f t="shared" si="142"/>
        <v>0</v>
      </c>
      <c r="P340" s="3" t="b">
        <f t="shared" si="143"/>
        <v>0</v>
      </c>
      <c r="Q340">
        <f t="shared" si="144"/>
        <v>0</v>
      </c>
      <c r="R340"/>
    </row>
    <row r="341" spans="1:18">
      <c r="A341">
        <f t="shared" si="147"/>
        <v>0</v>
      </c>
      <c r="B341">
        <f t="shared" si="133"/>
        <v>3</v>
      </c>
      <c r="C341">
        <f t="shared" si="116"/>
        <v>79.335586727585039</v>
      </c>
      <c r="D341" s="4">
        <f t="shared" si="134"/>
        <v>0</v>
      </c>
      <c r="E341" s="21">
        <f t="shared" si="135"/>
        <v>321215334778.59052</v>
      </c>
      <c r="F341" s="21">
        <f t="shared" si="145"/>
        <v>0</v>
      </c>
      <c r="G341" s="21">
        <f t="shared" si="136"/>
        <v>1380261.977896204</v>
      </c>
      <c r="H341" s="43">
        <f t="shared" si="137"/>
        <v>0.98416944417279362</v>
      </c>
      <c r="I341" s="21">
        <f t="shared" si="138"/>
        <v>512610772.7779541</v>
      </c>
      <c r="J341" s="3">
        <f t="shared" si="146"/>
        <v>1</v>
      </c>
      <c r="K341" s="3">
        <f t="shared" si="148"/>
        <v>0</v>
      </c>
      <c r="L341" s="41">
        <f t="shared" si="139"/>
        <v>0</v>
      </c>
      <c r="M341" s="3">
        <f t="shared" si="140"/>
        <v>0</v>
      </c>
      <c r="N341" s="41">
        <f t="shared" si="141"/>
        <v>0</v>
      </c>
      <c r="O341" s="3">
        <f t="shared" si="142"/>
        <v>0</v>
      </c>
      <c r="P341" s="3" t="b">
        <f t="shared" si="143"/>
        <v>0</v>
      </c>
      <c r="Q341">
        <f t="shared" si="144"/>
        <v>0</v>
      </c>
      <c r="R341"/>
    </row>
    <row r="342" spans="1:18">
      <c r="A342">
        <f t="shared" si="147"/>
        <v>0</v>
      </c>
      <c r="B342">
        <f t="shared" si="133"/>
        <v>3</v>
      </c>
      <c r="C342">
        <f t="shared" si="116"/>
        <v>79.585586727585039</v>
      </c>
      <c r="D342" s="4">
        <f t="shared" si="134"/>
        <v>0</v>
      </c>
      <c r="E342" s="21">
        <f t="shared" si="135"/>
        <v>321212574254.6347</v>
      </c>
      <c r="F342" s="21">
        <f t="shared" si="145"/>
        <v>0</v>
      </c>
      <c r="G342" s="21">
        <f t="shared" si="136"/>
        <v>1380261.977896204</v>
      </c>
      <c r="H342" s="43">
        <f t="shared" si="137"/>
        <v>0.98412378261449862</v>
      </c>
      <c r="I342" s="21">
        <f t="shared" si="138"/>
        <v>513991034.75585032</v>
      </c>
      <c r="J342" s="3">
        <f t="shared" si="146"/>
        <v>1</v>
      </c>
      <c r="K342" s="3">
        <f t="shared" si="148"/>
        <v>0</v>
      </c>
      <c r="L342" s="41">
        <f t="shared" si="139"/>
        <v>0</v>
      </c>
      <c r="M342" s="3">
        <f t="shared" si="140"/>
        <v>0</v>
      </c>
      <c r="N342" s="41">
        <f t="shared" si="141"/>
        <v>0</v>
      </c>
      <c r="O342" s="3">
        <f t="shared" si="142"/>
        <v>0</v>
      </c>
      <c r="P342" s="3" t="b">
        <f t="shared" si="143"/>
        <v>0</v>
      </c>
      <c r="Q342">
        <f t="shared" si="144"/>
        <v>0</v>
      </c>
      <c r="R342"/>
    </row>
    <row r="343" spans="1:18">
      <c r="A343">
        <f t="shared" si="147"/>
        <v>0</v>
      </c>
      <c r="B343">
        <f t="shared" si="133"/>
        <v>3</v>
      </c>
      <c r="C343">
        <f t="shared" si="116"/>
        <v>79.835586727585039</v>
      </c>
      <c r="D343" s="4">
        <f t="shared" si="134"/>
        <v>0</v>
      </c>
      <c r="E343" s="21">
        <f t="shared" si="135"/>
        <v>321209813730.67889</v>
      </c>
      <c r="F343" s="21">
        <f t="shared" si="145"/>
        <v>0</v>
      </c>
      <c r="G343" s="21">
        <f t="shared" si="136"/>
        <v>1380261.977896204</v>
      </c>
      <c r="H343" s="43">
        <f t="shared" si="137"/>
        <v>0.98407812105620363</v>
      </c>
      <c r="I343" s="21">
        <f t="shared" si="138"/>
        <v>515371296.73374653</v>
      </c>
      <c r="J343" s="3">
        <f t="shared" si="146"/>
        <v>1</v>
      </c>
      <c r="K343" s="3">
        <f t="shared" si="148"/>
        <v>0</v>
      </c>
      <c r="L343" s="41">
        <f t="shared" si="139"/>
        <v>0</v>
      </c>
      <c r="M343" s="3">
        <f t="shared" si="140"/>
        <v>0</v>
      </c>
      <c r="N343" s="41">
        <f t="shared" si="141"/>
        <v>0</v>
      </c>
      <c r="O343" s="3">
        <f t="shared" si="142"/>
        <v>0</v>
      </c>
      <c r="P343" s="3" t="b">
        <f t="shared" si="143"/>
        <v>0</v>
      </c>
      <c r="Q343">
        <f t="shared" si="144"/>
        <v>0</v>
      </c>
      <c r="R343"/>
    </row>
    <row r="344" spans="1:18">
      <c r="A344">
        <f t="shared" si="147"/>
        <v>0</v>
      </c>
      <c r="B344">
        <f t="shared" si="133"/>
        <v>3</v>
      </c>
      <c r="C344">
        <f t="shared" si="116"/>
        <v>80.085586727585039</v>
      </c>
      <c r="D344" s="4">
        <f t="shared" si="134"/>
        <v>0</v>
      </c>
      <c r="E344" s="21">
        <f t="shared" si="135"/>
        <v>321207053206.72308</v>
      </c>
      <c r="F344" s="21">
        <f t="shared" si="145"/>
        <v>0</v>
      </c>
      <c r="G344" s="21">
        <f t="shared" si="136"/>
        <v>1380261.977896204</v>
      </c>
      <c r="H344" s="43">
        <f t="shared" si="137"/>
        <v>0.98403245949790863</v>
      </c>
      <c r="I344" s="21">
        <f t="shared" si="138"/>
        <v>516751558.71164274</v>
      </c>
      <c r="J344" s="3">
        <f t="shared" si="146"/>
        <v>1</v>
      </c>
      <c r="K344" s="3">
        <f t="shared" si="148"/>
        <v>0</v>
      </c>
      <c r="L344" s="41">
        <f t="shared" si="139"/>
        <v>0</v>
      </c>
      <c r="M344" s="3">
        <f t="shared" si="140"/>
        <v>0</v>
      </c>
      <c r="N344" s="41">
        <f t="shared" si="141"/>
        <v>0</v>
      </c>
      <c r="O344" s="3">
        <f t="shared" si="142"/>
        <v>0</v>
      </c>
      <c r="P344" s="3" t="b">
        <f t="shared" si="143"/>
        <v>0</v>
      </c>
      <c r="Q344">
        <f t="shared" si="144"/>
        <v>0</v>
      </c>
      <c r="R344"/>
    </row>
    <row r="345" spans="1:18">
      <c r="A345">
        <f t="shared" si="147"/>
        <v>0</v>
      </c>
      <c r="B345">
        <f t="shared" si="133"/>
        <v>3</v>
      </c>
      <c r="C345">
        <f t="shared" si="116"/>
        <v>80.335586727585039</v>
      </c>
      <c r="D345" s="4">
        <f t="shared" si="134"/>
        <v>0</v>
      </c>
      <c r="E345" s="21">
        <f t="shared" si="135"/>
        <v>321204292682.76727</v>
      </c>
      <c r="F345" s="21">
        <f t="shared" si="145"/>
        <v>0</v>
      </c>
      <c r="G345" s="21">
        <f t="shared" si="136"/>
        <v>1380261.977896204</v>
      </c>
      <c r="H345" s="43">
        <f t="shared" si="137"/>
        <v>0.98398679793961352</v>
      </c>
      <c r="I345" s="21">
        <f t="shared" si="138"/>
        <v>518131820.68953896</v>
      </c>
      <c r="J345" s="3">
        <f t="shared" si="146"/>
        <v>1</v>
      </c>
      <c r="K345" s="3">
        <f t="shared" si="148"/>
        <v>0</v>
      </c>
      <c r="L345" s="41">
        <f t="shared" si="139"/>
        <v>0</v>
      </c>
      <c r="M345" s="3">
        <f t="shared" si="140"/>
        <v>0</v>
      </c>
      <c r="N345" s="41">
        <f t="shared" si="141"/>
        <v>0</v>
      </c>
      <c r="O345" s="3">
        <f t="shared" si="142"/>
        <v>0</v>
      </c>
      <c r="P345" s="3" t="b">
        <f t="shared" si="143"/>
        <v>0</v>
      </c>
      <c r="Q345">
        <f t="shared" si="144"/>
        <v>0</v>
      </c>
      <c r="R345"/>
    </row>
    <row r="346" spans="1:18">
      <c r="A346">
        <f t="shared" si="147"/>
        <v>0</v>
      </c>
      <c r="B346">
        <f t="shared" si="133"/>
        <v>3</v>
      </c>
      <c r="C346">
        <f t="shared" si="116"/>
        <v>80.585586727585039</v>
      </c>
      <c r="D346" s="4">
        <f t="shared" si="134"/>
        <v>0</v>
      </c>
      <c r="E346" s="21">
        <f t="shared" si="135"/>
        <v>321201532158.81146</v>
      </c>
      <c r="F346" s="21">
        <f t="shared" si="145"/>
        <v>0</v>
      </c>
      <c r="G346" s="21">
        <f t="shared" si="136"/>
        <v>1380261.977896204</v>
      </c>
      <c r="H346" s="43">
        <f t="shared" si="137"/>
        <v>0.98394113638131853</v>
      </c>
      <c r="I346" s="21">
        <f t="shared" si="138"/>
        <v>519512082.66743517</v>
      </c>
      <c r="J346" s="3">
        <f t="shared" si="146"/>
        <v>1</v>
      </c>
      <c r="K346" s="3">
        <f t="shared" si="148"/>
        <v>0</v>
      </c>
      <c r="L346" s="41">
        <f t="shared" si="139"/>
        <v>0</v>
      </c>
      <c r="M346" s="3">
        <f t="shared" si="140"/>
        <v>0</v>
      </c>
      <c r="N346" s="41">
        <f t="shared" si="141"/>
        <v>0</v>
      </c>
      <c r="O346" s="3">
        <f t="shared" si="142"/>
        <v>0</v>
      </c>
      <c r="P346" s="3" t="b">
        <f t="shared" si="143"/>
        <v>0</v>
      </c>
      <c r="Q346">
        <f t="shared" si="144"/>
        <v>0</v>
      </c>
      <c r="R346"/>
    </row>
    <row r="347" spans="1:18">
      <c r="A347">
        <f t="shared" si="147"/>
        <v>0</v>
      </c>
      <c r="B347">
        <f t="shared" si="133"/>
        <v>3</v>
      </c>
      <c r="C347">
        <f t="shared" ref="C347:C351" si="149">C346+$D$11</f>
        <v>80.835586727585039</v>
      </c>
      <c r="D347" s="4">
        <f t="shared" si="134"/>
        <v>0</v>
      </c>
      <c r="E347" s="21">
        <f t="shared" si="135"/>
        <v>321198771634.85565</v>
      </c>
      <c r="F347" s="21">
        <f t="shared" si="145"/>
        <v>0</v>
      </c>
      <c r="G347" s="21">
        <f t="shared" si="136"/>
        <v>1380261.977896204</v>
      </c>
      <c r="H347" s="43">
        <f t="shared" si="137"/>
        <v>0.98389547482302353</v>
      </c>
      <c r="I347" s="21">
        <f t="shared" si="138"/>
        <v>520892344.64533138</v>
      </c>
      <c r="J347" s="3">
        <f t="shared" si="146"/>
        <v>1</v>
      </c>
      <c r="K347" s="3">
        <f t="shared" si="148"/>
        <v>0</v>
      </c>
      <c r="L347" s="41">
        <f t="shared" si="139"/>
        <v>0</v>
      </c>
      <c r="M347" s="3">
        <f t="shared" si="140"/>
        <v>0</v>
      </c>
      <c r="N347" s="41">
        <f t="shared" si="141"/>
        <v>0</v>
      </c>
      <c r="O347" s="3">
        <f t="shared" si="142"/>
        <v>0</v>
      </c>
      <c r="P347" s="3" t="b">
        <f t="shared" si="143"/>
        <v>0</v>
      </c>
      <c r="Q347">
        <f t="shared" si="144"/>
        <v>0</v>
      </c>
      <c r="R347"/>
    </row>
    <row r="348" spans="1:18">
      <c r="A348">
        <f t="shared" si="147"/>
        <v>0</v>
      </c>
      <c r="B348">
        <f t="shared" si="133"/>
        <v>3</v>
      </c>
      <c r="C348">
        <f t="shared" si="149"/>
        <v>81.085586727585039</v>
      </c>
      <c r="D348" s="4">
        <f t="shared" si="134"/>
        <v>0</v>
      </c>
      <c r="E348" s="21">
        <f t="shared" si="135"/>
        <v>321196011110.89984</v>
      </c>
      <c r="F348" s="21">
        <f t="shared" si="145"/>
        <v>0</v>
      </c>
      <c r="G348" s="21">
        <f t="shared" si="136"/>
        <v>1380261.977896204</v>
      </c>
      <c r="H348" s="43">
        <f t="shared" si="137"/>
        <v>0.98384981326472853</v>
      </c>
      <c r="I348" s="21">
        <f t="shared" si="138"/>
        <v>522272606.6232276</v>
      </c>
      <c r="J348" s="3">
        <f t="shared" si="146"/>
        <v>1</v>
      </c>
      <c r="K348" s="3">
        <f t="shared" si="148"/>
        <v>0</v>
      </c>
      <c r="L348" s="41">
        <f t="shared" si="139"/>
        <v>0</v>
      </c>
      <c r="M348" s="3">
        <f t="shared" si="140"/>
        <v>0</v>
      </c>
      <c r="N348" s="41">
        <f t="shared" si="141"/>
        <v>0</v>
      </c>
      <c r="O348" s="3">
        <f t="shared" si="142"/>
        <v>0</v>
      </c>
      <c r="P348" s="3" t="b">
        <f t="shared" si="143"/>
        <v>0</v>
      </c>
      <c r="Q348">
        <f t="shared" si="144"/>
        <v>0</v>
      </c>
      <c r="R348"/>
    </row>
    <row r="349" spans="1:18">
      <c r="A349">
        <f t="shared" si="147"/>
        <v>0</v>
      </c>
      <c r="B349">
        <f t="shared" si="133"/>
        <v>3</v>
      </c>
      <c r="C349">
        <f t="shared" si="149"/>
        <v>81.335586727585039</v>
      </c>
      <c r="D349" s="4">
        <f t="shared" si="134"/>
        <v>0</v>
      </c>
      <c r="E349" s="21">
        <f t="shared" si="135"/>
        <v>321193250586.94403</v>
      </c>
      <c r="F349" s="21">
        <f t="shared" si="145"/>
        <v>0</v>
      </c>
      <c r="G349" s="21">
        <f t="shared" si="136"/>
        <v>1380261.977896204</v>
      </c>
      <c r="H349" s="43">
        <f t="shared" si="137"/>
        <v>0.98380415170643354</v>
      </c>
      <c r="I349" s="21">
        <f t="shared" si="138"/>
        <v>523652868.60112381</v>
      </c>
      <c r="J349" s="3">
        <f t="shared" si="146"/>
        <v>1</v>
      </c>
      <c r="K349" s="3">
        <f t="shared" si="148"/>
        <v>0</v>
      </c>
      <c r="L349" s="41">
        <f t="shared" si="139"/>
        <v>0</v>
      </c>
      <c r="M349" s="3">
        <f t="shared" si="140"/>
        <v>0</v>
      </c>
      <c r="N349" s="41">
        <f t="shared" si="141"/>
        <v>0</v>
      </c>
      <c r="O349" s="3">
        <f t="shared" si="142"/>
        <v>0</v>
      </c>
      <c r="P349" s="3" t="b">
        <f t="shared" si="143"/>
        <v>0</v>
      </c>
      <c r="Q349">
        <f t="shared" si="144"/>
        <v>0</v>
      </c>
      <c r="R349"/>
    </row>
    <row r="350" spans="1:18">
      <c r="A350">
        <f t="shared" si="147"/>
        <v>0</v>
      </c>
      <c r="B350">
        <f t="shared" si="133"/>
        <v>3</v>
      </c>
      <c r="C350">
        <f t="shared" si="149"/>
        <v>81.585586727585039</v>
      </c>
      <c r="D350" s="4">
        <f t="shared" si="134"/>
        <v>0</v>
      </c>
      <c r="E350" s="21">
        <f t="shared" si="135"/>
        <v>321190490062.98822</v>
      </c>
      <c r="F350" s="21">
        <f t="shared" si="145"/>
        <v>0</v>
      </c>
      <c r="G350" s="21">
        <f t="shared" si="136"/>
        <v>1380261.977896204</v>
      </c>
      <c r="H350" s="43">
        <f t="shared" si="137"/>
        <v>0.98375849014813843</v>
      </c>
      <c r="I350" s="21">
        <f t="shared" si="138"/>
        <v>525033130.57902002</v>
      </c>
      <c r="J350" s="3">
        <f t="shared" si="146"/>
        <v>1</v>
      </c>
      <c r="K350" s="3">
        <f t="shared" si="148"/>
        <v>0</v>
      </c>
      <c r="L350" s="41">
        <f t="shared" si="139"/>
        <v>0</v>
      </c>
      <c r="M350" s="3">
        <f t="shared" si="140"/>
        <v>0</v>
      </c>
      <c r="N350" s="41">
        <f t="shared" si="141"/>
        <v>0</v>
      </c>
      <c r="O350" s="3">
        <f t="shared" si="142"/>
        <v>0</v>
      </c>
      <c r="P350" s="3" t="b">
        <f t="shared" si="143"/>
        <v>0</v>
      </c>
      <c r="Q350">
        <f t="shared" si="144"/>
        <v>0</v>
      </c>
      <c r="R350"/>
    </row>
    <row r="351" spans="1:18">
      <c r="A351">
        <f t="shared" si="147"/>
        <v>0</v>
      </c>
      <c r="B351">
        <f t="shared" si="133"/>
        <v>3</v>
      </c>
      <c r="C351">
        <f t="shared" si="149"/>
        <v>81.835586727585039</v>
      </c>
      <c r="D351" s="4">
        <f t="shared" si="134"/>
        <v>0</v>
      </c>
      <c r="E351" s="21">
        <f t="shared" si="135"/>
        <v>321187729539.03241</v>
      </c>
      <c r="F351" s="21">
        <f t="shared" si="145"/>
        <v>0</v>
      </c>
      <c r="G351" s="21">
        <f t="shared" si="136"/>
        <v>1380261.977896204</v>
      </c>
      <c r="H351" s="43">
        <f t="shared" si="137"/>
        <v>0.98371282858984344</v>
      </c>
      <c r="I351" s="21">
        <f t="shared" si="138"/>
        <v>526413392.55691624</v>
      </c>
      <c r="J351" s="3">
        <f t="shared" si="146"/>
        <v>1</v>
      </c>
      <c r="K351" s="3">
        <f t="shared" si="148"/>
        <v>0</v>
      </c>
      <c r="L351" s="41">
        <f t="shared" si="139"/>
        <v>0</v>
      </c>
      <c r="M351" s="3">
        <f t="shared" si="140"/>
        <v>0</v>
      </c>
      <c r="N351" s="41">
        <f t="shared" si="141"/>
        <v>0</v>
      </c>
      <c r="O351" s="3">
        <f t="shared" si="142"/>
        <v>0</v>
      </c>
      <c r="P351" s="3" t="b">
        <f t="shared" si="143"/>
        <v>0</v>
      </c>
      <c r="Q351">
        <f t="shared" si="144"/>
        <v>0</v>
      </c>
      <c r="R351"/>
    </row>
    <row r="352" spans="1:18">
      <c r="D352" s="4"/>
      <c r="E352" s="21"/>
      <c r="F352" s="21"/>
      <c r="G352" s="21"/>
      <c r="H352" s="43"/>
      <c r="I352" s="21"/>
      <c r="J352" s="3"/>
      <c r="K352" s="3"/>
      <c r="L352" s="41"/>
      <c r="M352" s="3"/>
      <c r="N352" s="41"/>
      <c r="O352" s="3"/>
      <c r="P352" s="3"/>
      <c r="R352"/>
    </row>
    <row r="353" spans="4:18">
      <c r="D353" s="4"/>
      <c r="E353" s="21"/>
      <c r="F353" s="21"/>
      <c r="G353" s="21"/>
      <c r="H353" s="43"/>
      <c r="I353" s="21"/>
      <c r="J353" s="3"/>
      <c r="K353" s="3"/>
      <c r="L353" s="41"/>
      <c r="M353" s="3"/>
      <c r="N353" s="41"/>
      <c r="O353" s="3"/>
      <c r="P353" s="3"/>
      <c r="R353"/>
    </row>
    <row r="354" spans="4:18">
      <c r="D354" s="4"/>
      <c r="E354" s="21"/>
      <c r="F354" s="21"/>
      <c r="G354" s="21"/>
      <c r="H354" s="43"/>
      <c r="I354" s="21"/>
      <c r="J354" s="3"/>
      <c r="K354" s="3"/>
      <c r="L354" s="41"/>
      <c r="M354" s="3"/>
      <c r="N354" s="41"/>
      <c r="O354" s="3"/>
      <c r="P354" s="3"/>
      <c r="R354"/>
    </row>
    <row r="355" spans="4:18">
      <c r="D355" s="4"/>
      <c r="E355" s="21"/>
      <c r="F355" s="21"/>
      <c r="G355" s="21"/>
      <c r="H355" s="43"/>
      <c r="I355" s="21"/>
      <c r="J355" s="3"/>
      <c r="K355" s="3"/>
      <c r="L355" s="41"/>
      <c r="M355" s="3"/>
      <c r="N355" s="41"/>
      <c r="O355" s="3"/>
      <c r="P355" s="3"/>
      <c r="R355"/>
    </row>
    <row r="356" spans="4:18">
      <c r="D356" s="4"/>
      <c r="E356" s="21"/>
      <c r="F356" s="21"/>
      <c r="G356" s="21"/>
      <c r="H356" s="43"/>
      <c r="I356" s="21"/>
      <c r="J356" s="3"/>
      <c r="K356" s="3"/>
      <c r="L356" s="41"/>
      <c r="M356" s="3"/>
      <c r="N356" s="41"/>
      <c r="O356" s="3"/>
      <c r="P356" s="3"/>
      <c r="R356"/>
    </row>
    <row r="357" spans="4:18">
      <c r="D357" s="4"/>
      <c r="E357" s="21"/>
      <c r="F357" s="21"/>
      <c r="G357" s="21"/>
      <c r="H357" s="43"/>
      <c r="I357" s="21"/>
      <c r="J357" s="3"/>
      <c r="K357" s="3"/>
      <c r="L357" s="41"/>
      <c r="M357" s="3"/>
      <c r="N357" s="41"/>
      <c r="O357" s="3"/>
      <c r="P357" s="3"/>
      <c r="R357"/>
    </row>
    <row r="358" spans="4:18">
      <c r="D358" s="4"/>
      <c r="E358" s="21"/>
      <c r="F358" s="21"/>
      <c r="G358" s="21"/>
      <c r="H358" s="43"/>
      <c r="I358" s="21"/>
      <c r="J358" s="3"/>
      <c r="K358" s="3"/>
      <c r="L358" s="41"/>
      <c r="M358" s="3"/>
      <c r="N358" s="41"/>
      <c r="O358" s="3"/>
      <c r="P358" s="3"/>
      <c r="R358"/>
    </row>
    <row r="359" spans="4:18">
      <c r="D359" s="4"/>
      <c r="E359" s="21"/>
      <c r="F359" s="21"/>
      <c r="G359" s="21"/>
      <c r="H359" s="43"/>
      <c r="I359" s="21"/>
      <c r="J359" s="3"/>
      <c r="K359" s="3"/>
      <c r="L359" s="41"/>
      <c r="M359" s="3"/>
      <c r="N359" s="41"/>
      <c r="O359" s="3"/>
      <c r="P359" s="3"/>
      <c r="R359"/>
    </row>
    <row r="360" spans="4:18">
      <c r="D360" s="4"/>
      <c r="E360" s="21"/>
      <c r="F360" s="21"/>
      <c r="G360" s="21"/>
      <c r="H360" s="43"/>
      <c r="I360" s="21"/>
      <c r="J360" s="3"/>
      <c r="K360" s="3"/>
      <c r="L360" s="41"/>
      <c r="M360" s="3"/>
      <c r="N360" s="41"/>
      <c r="O360" s="3"/>
      <c r="P360" s="3"/>
      <c r="R360"/>
    </row>
    <row r="361" spans="4:18">
      <c r="D361" s="4"/>
      <c r="E361" s="21"/>
      <c r="F361" s="21"/>
      <c r="G361" s="21"/>
      <c r="H361" s="43"/>
      <c r="I361" s="21"/>
      <c r="J361" s="3"/>
      <c r="K361" s="3"/>
      <c r="L361" s="41"/>
      <c r="M361" s="3"/>
      <c r="N361" s="41"/>
      <c r="O361" s="3"/>
      <c r="P361" s="3"/>
      <c r="R361"/>
    </row>
    <row r="362" spans="4:18">
      <c r="D362" s="4"/>
      <c r="E362" s="21"/>
      <c r="F362" s="21"/>
      <c r="G362" s="21"/>
      <c r="H362" s="43"/>
      <c r="I362" s="21"/>
      <c r="J362" s="3"/>
      <c r="K362" s="3"/>
      <c r="L362" s="41"/>
      <c r="M362" s="3"/>
      <c r="N362" s="41"/>
      <c r="O362" s="3"/>
      <c r="P362" s="3"/>
      <c r="R362"/>
    </row>
    <row r="363" spans="4:18">
      <c r="D363" s="4"/>
      <c r="E363" s="21"/>
      <c r="F363" s="21"/>
      <c r="G363" s="21"/>
      <c r="H363" s="43"/>
      <c r="I363" s="21"/>
      <c r="J363" s="3"/>
      <c r="K363" s="3"/>
      <c r="L363" s="41"/>
      <c r="M363" s="3"/>
      <c r="N363" s="41"/>
      <c r="O363" s="3"/>
      <c r="P363" s="3"/>
      <c r="R363"/>
    </row>
    <row r="364" spans="4:18">
      <c r="D364" s="4"/>
      <c r="E364" s="21"/>
      <c r="F364" s="21"/>
      <c r="G364" s="21"/>
      <c r="H364" s="43"/>
      <c r="I364" s="21"/>
      <c r="J364" s="3"/>
      <c r="K364" s="3"/>
      <c r="L364" s="41"/>
      <c r="M364" s="3"/>
      <c r="N364" s="41"/>
      <c r="O364" s="3"/>
      <c r="P364" s="3"/>
      <c r="R364"/>
    </row>
    <row r="365" spans="4:18">
      <c r="D365" s="4"/>
      <c r="E365" s="21"/>
      <c r="F365" s="21"/>
      <c r="G365" s="21"/>
      <c r="H365" s="43"/>
      <c r="I365" s="21"/>
      <c r="J365" s="3"/>
      <c r="K365" s="3"/>
      <c r="L365" s="41"/>
      <c r="M365" s="3"/>
      <c r="N365" s="41"/>
      <c r="O365" s="3"/>
      <c r="P365" s="3"/>
      <c r="R365"/>
    </row>
    <row r="366" spans="4:18">
      <c r="D366" s="4"/>
      <c r="E366" s="21"/>
      <c r="F366" s="21"/>
      <c r="G366" s="21"/>
      <c r="H366" s="43"/>
      <c r="I366" s="21"/>
      <c r="J366" s="3"/>
      <c r="K366" s="3"/>
      <c r="L366" s="41"/>
      <c r="M366" s="3"/>
      <c r="N366" s="41"/>
      <c r="O366" s="3"/>
      <c r="P366" s="3"/>
      <c r="R366"/>
    </row>
    <row r="367" spans="4:18">
      <c r="D367" s="4"/>
      <c r="E367" s="21"/>
      <c r="F367" s="21"/>
      <c r="G367" s="21"/>
      <c r="H367" s="43"/>
      <c r="I367" s="21"/>
      <c r="J367" s="3"/>
      <c r="K367" s="3"/>
      <c r="L367" s="41"/>
      <c r="M367" s="3"/>
      <c r="N367" s="41"/>
      <c r="O367" s="3"/>
      <c r="P367" s="3"/>
      <c r="R367"/>
    </row>
    <row r="368" spans="4:18">
      <c r="D368" s="4"/>
      <c r="E368" s="21"/>
      <c r="F368" s="21"/>
      <c r="G368" s="21"/>
      <c r="H368" s="43"/>
      <c r="I368" s="21"/>
      <c r="J368" s="3"/>
      <c r="K368" s="3"/>
      <c r="L368" s="41"/>
      <c r="M368" s="3"/>
      <c r="N368" s="41"/>
      <c r="O368" s="3"/>
      <c r="P368" s="3"/>
      <c r="R368"/>
    </row>
    <row r="369" spans="4:18">
      <c r="D369" s="4"/>
      <c r="E369" s="21"/>
      <c r="F369" s="21"/>
      <c r="G369" s="21"/>
      <c r="H369" s="43"/>
      <c r="I369" s="21"/>
      <c r="J369" s="3"/>
      <c r="K369" s="3"/>
      <c r="L369" s="41"/>
      <c r="M369" s="3"/>
      <c r="N369" s="41"/>
      <c r="O369" s="3"/>
      <c r="P369" s="3"/>
      <c r="R369"/>
    </row>
    <row r="370" spans="4:18">
      <c r="D370" s="4"/>
      <c r="E370" s="21"/>
      <c r="F370" s="21"/>
      <c r="G370" s="21"/>
      <c r="H370" s="43"/>
      <c r="I370" s="21"/>
      <c r="J370" s="3"/>
      <c r="K370" s="3"/>
      <c r="L370" s="41"/>
      <c r="M370" s="3"/>
      <c r="N370" s="41"/>
      <c r="O370" s="3"/>
      <c r="P370" s="3"/>
      <c r="R370"/>
    </row>
    <row r="371" spans="4:18">
      <c r="D371" s="4"/>
      <c r="E371" s="21"/>
      <c r="F371" s="21"/>
      <c r="G371" s="21"/>
      <c r="H371" s="43"/>
      <c r="I371" s="21"/>
      <c r="J371" s="3"/>
      <c r="K371" s="3"/>
      <c r="L371" s="41"/>
      <c r="M371" s="3"/>
      <c r="N371" s="41"/>
      <c r="O371" s="3"/>
      <c r="P371" s="3"/>
      <c r="R371"/>
    </row>
    <row r="372" spans="4:18">
      <c r="D372" s="4"/>
      <c r="E372" s="21"/>
      <c r="F372" s="21"/>
      <c r="G372" s="21"/>
      <c r="H372" s="43"/>
      <c r="I372" s="21"/>
      <c r="J372" s="3"/>
      <c r="K372" s="3"/>
      <c r="L372" s="41"/>
      <c r="M372" s="3"/>
      <c r="N372" s="41"/>
      <c r="O372" s="3"/>
      <c r="P372" s="3"/>
      <c r="R372"/>
    </row>
    <row r="373" spans="4:18">
      <c r="D373" s="4"/>
      <c r="E373" s="21"/>
      <c r="F373" s="21"/>
      <c r="G373" s="21"/>
      <c r="H373" s="43"/>
      <c r="I373" s="21"/>
      <c r="J373" s="3"/>
      <c r="K373" s="3"/>
      <c r="L373" s="41"/>
      <c r="M373" s="3"/>
      <c r="N373" s="41"/>
      <c r="O373" s="3"/>
      <c r="P373" s="3"/>
      <c r="R373"/>
    </row>
    <row r="374" spans="4:18">
      <c r="D374" s="4"/>
      <c r="E374" s="21"/>
      <c r="F374" s="21"/>
      <c r="G374" s="21"/>
      <c r="H374" s="43"/>
      <c r="I374" s="21"/>
      <c r="J374" s="3"/>
      <c r="K374" s="3"/>
      <c r="L374" s="41"/>
      <c r="M374" s="3"/>
      <c r="N374" s="41"/>
      <c r="O374" s="3"/>
      <c r="P374" s="3"/>
      <c r="R374"/>
    </row>
    <row r="375" spans="4:18">
      <c r="D375" s="4"/>
      <c r="E375" s="21"/>
      <c r="F375" s="21"/>
      <c r="G375" s="21"/>
      <c r="H375" s="43"/>
      <c r="I375" s="21"/>
      <c r="J375" s="3"/>
      <c r="K375" s="3"/>
      <c r="L375" s="41"/>
      <c r="M375" s="3"/>
      <c r="N375" s="41"/>
      <c r="O375" s="3"/>
      <c r="P375" s="3"/>
      <c r="R375"/>
    </row>
    <row r="376" spans="4:18">
      <c r="D376" s="4"/>
      <c r="E376" s="21"/>
      <c r="F376" s="21"/>
      <c r="G376" s="21"/>
      <c r="H376" s="43"/>
      <c r="I376" s="21"/>
      <c r="J376" s="3"/>
      <c r="K376" s="3"/>
      <c r="L376" s="41"/>
      <c r="M376" s="3"/>
      <c r="N376" s="41"/>
      <c r="O376" s="3"/>
      <c r="P376" s="3"/>
      <c r="R376"/>
    </row>
    <row r="377" spans="4:18">
      <c r="D377" s="4"/>
      <c r="E377" s="21"/>
      <c r="F377" s="21"/>
      <c r="G377" s="21"/>
      <c r="H377" s="43"/>
      <c r="I377" s="21"/>
      <c r="J377" s="3"/>
      <c r="K377" s="3"/>
      <c r="L377" s="41"/>
      <c r="M377" s="3"/>
      <c r="N377" s="41"/>
      <c r="O377" s="3"/>
      <c r="P377" s="3"/>
      <c r="R377"/>
    </row>
    <row r="378" spans="4:18">
      <c r="D378" s="4"/>
      <c r="E378" s="21"/>
      <c r="F378" s="21"/>
      <c r="G378" s="21"/>
      <c r="H378" s="43"/>
      <c r="I378" s="21"/>
      <c r="J378" s="3"/>
      <c r="K378" s="3"/>
      <c r="L378" s="41"/>
      <c r="M378" s="3"/>
      <c r="N378" s="41"/>
      <c r="O378" s="3"/>
      <c r="P378" s="3"/>
      <c r="R378"/>
    </row>
    <row r="379" spans="4:18">
      <c r="D379" s="4"/>
      <c r="E379" s="21"/>
      <c r="F379" s="21"/>
      <c r="G379" s="21"/>
      <c r="H379" s="43"/>
      <c r="I379" s="21"/>
      <c r="J379" s="3"/>
      <c r="K379" s="3"/>
      <c r="L379" s="41"/>
      <c r="M379" s="3"/>
      <c r="N379" s="41"/>
      <c r="O379" s="3"/>
      <c r="P379" s="3"/>
      <c r="R379"/>
    </row>
    <row r="380" spans="4:18">
      <c r="D380" s="4"/>
      <c r="E380" s="21"/>
      <c r="F380" s="21"/>
      <c r="G380" s="21"/>
      <c r="H380" s="43"/>
      <c r="I380" s="21"/>
      <c r="J380" s="3"/>
      <c r="K380" s="3"/>
      <c r="L380" s="41"/>
      <c r="M380" s="3"/>
      <c r="N380" s="41"/>
      <c r="O380" s="3"/>
      <c r="P380" s="3"/>
      <c r="R380"/>
    </row>
    <row r="381" spans="4:18">
      <c r="D381" s="4"/>
      <c r="E381" s="21"/>
      <c r="F381" s="21"/>
      <c r="G381" s="21"/>
      <c r="H381" s="43"/>
      <c r="I381" s="21"/>
      <c r="J381" s="3"/>
      <c r="K381" s="3"/>
      <c r="L381" s="41"/>
      <c r="M381" s="3"/>
      <c r="N381" s="41"/>
      <c r="O381" s="3"/>
      <c r="P381" s="3"/>
      <c r="R381"/>
    </row>
    <row r="382" spans="4:18">
      <c r="D382" s="4"/>
      <c r="E382" s="21"/>
      <c r="F382" s="21"/>
      <c r="G382" s="21"/>
      <c r="H382" s="43"/>
      <c r="I382" s="21"/>
      <c r="J382" s="3"/>
      <c r="K382" s="3"/>
      <c r="L382" s="41"/>
      <c r="M382" s="3"/>
      <c r="N382" s="41"/>
      <c r="O382" s="3"/>
      <c r="P382" s="3"/>
      <c r="R382"/>
    </row>
    <row r="383" spans="4:18">
      <c r="D383" s="4"/>
      <c r="E383" s="21"/>
      <c r="F383" s="21"/>
      <c r="G383" s="21"/>
      <c r="H383" s="43"/>
      <c r="I383" s="21"/>
      <c r="J383" s="3"/>
      <c r="K383" s="3"/>
      <c r="L383" s="41"/>
      <c r="M383" s="3"/>
      <c r="N383" s="41"/>
      <c r="O383" s="3"/>
      <c r="P383" s="3"/>
      <c r="R383"/>
    </row>
    <row r="384" spans="4:18">
      <c r="D384" s="4"/>
      <c r="E384" s="21"/>
      <c r="F384" s="21"/>
      <c r="G384" s="21"/>
      <c r="H384" s="43"/>
      <c r="I384" s="21"/>
      <c r="J384" s="3"/>
      <c r="K384" s="3"/>
      <c r="L384" s="41"/>
      <c r="M384" s="3"/>
      <c r="N384" s="41"/>
      <c r="O384" s="3"/>
      <c r="P384" s="3"/>
      <c r="R384"/>
    </row>
    <row r="385" spans="4:18">
      <c r="D385" s="4"/>
      <c r="E385" s="21"/>
      <c r="F385" s="21"/>
      <c r="G385" s="21"/>
      <c r="H385" s="43"/>
      <c r="I385" s="21"/>
      <c r="J385" s="3"/>
      <c r="K385" s="3"/>
      <c r="L385" s="41"/>
      <c r="M385" s="3"/>
      <c r="N385" s="41"/>
      <c r="O385" s="3"/>
      <c r="P385" s="3"/>
      <c r="R385"/>
    </row>
    <row r="386" spans="4:18">
      <c r="D386" s="4"/>
      <c r="E386" s="21"/>
      <c r="F386" s="21"/>
      <c r="G386" s="21"/>
      <c r="H386" s="43"/>
      <c r="I386" s="21"/>
      <c r="J386" s="3"/>
      <c r="K386" s="3"/>
      <c r="L386" s="41"/>
      <c r="M386" s="3"/>
      <c r="N386" s="41"/>
      <c r="O386" s="3"/>
      <c r="P386" s="3"/>
      <c r="R386"/>
    </row>
    <row r="387" spans="4:18">
      <c r="D387" s="4"/>
      <c r="E387" s="21"/>
      <c r="F387" s="21"/>
      <c r="G387" s="21"/>
      <c r="H387" s="43"/>
      <c r="I387" s="21"/>
      <c r="J387" s="3"/>
      <c r="K387" s="3"/>
      <c r="L387" s="41"/>
      <c r="M387" s="3"/>
      <c r="N387" s="41"/>
      <c r="O387" s="3"/>
      <c r="P387" s="3"/>
      <c r="R387"/>
    </row>
    <row r="388" spans="4:18">
      <c r="D388" s="4"/>
      <c r="E388" s="21"/>
      <c r="F388" s="21"/>
      <c r="G388" s="21"/>
      <c r="H388" s="43"/>
      <c r="I388" s="21"/>
      <c r="J388" s="3"/>
      <c r="K388" s="3"/>
      <c r="L388" s="41"/>
      <c r="M388" s="3"/>
      <c r="N388" s="41"/>
      <c r="O388" s="3"/>
      <c r="P388" s="3"/>
      <c r="R388"/>
    </row>
    <row r="389" spans="4:18">
      <c r="D389" s="4"/>
      <c r="E389" s="21"/>
      <c r="F389" s="21"/>
      <c r="G389" s="21"/>
      <c r="H389" s="43"/>
      <c r="I389" s="21"/>
      <c r="J389" s="3"/>
      <c r="K389" s="3"/>
      <c r="L389" s="41"/>
      <c r="M389" s="3"/>
      <c r="N389" s="41"/>
      <c r="O389" s="3"/>
      <c r="P389" s="3"/>
      <c r="R389"/>
    </row>
    <row r="390" spans="4:18">
      <c r="D390" s="4"/>
      <c r="E390" s="21"/>
      <c r="F390" s="21"/>
      <c r="G390" s="21"/>
      <c r="H390" s="43"/>
      <c r="I390" s="21"/>
      <c r="J390" s="3"/>
      <c r="K390" s="3"/>
      <c r="L390" s="41"/>
      <c r="M390" s="3"/>
      <c r="N390" s="41"/>
      <c r="O390" s="3"/>
      <c r="P390" s="3"/>
      <c r="R390"/>
    </row>
    <row r="391" spans="4:18">
      <c r="D391" s="4"/>
      <c r="E391" s="21"/>
      <c r="F391" s="21"/>
      <c r="G391" s="21"/>
      <c r="H391" s="43"/>
      <c r="I391" s="21"/>
      <c r="J391" s="3"/>
      <c r="K391" s="3"/>
      <c r="L391" s="41"/>
      <c r="M391" s="3"/>
      <c r="N391" s="41"/>
      <c r="O391" s="3"/>
      <c r="P391" s="3"/>
      <c r="R391"/>
    </row>
    <row r="392" spans="4:18">
      <c r="D392" s="4"/>
      <c r="E392" s="21"/>
      <c r="F392" s="21"/>
      <c r="G392" s="21"/>
      <c r="H392" s="43"/>
      <c r="I392" s="21"/>
      <c r="J392" s="3"/>
      <c r="K392" s="3"/>
      <c r="L392" s="41"/>
      <c r="M392" s="3"/>
      <c r="N392" s="41"/>
      <c r="O392" s="3"/>
      <c r="P392" s="3"/>
      <c r="R392"/>
    </row>
    <row r="393" spans="4:18">
      <c r="D393" s="4"/>
      <c r="E393" s="21"/>
      <c r="F393" s="21"/>
      <c r="G393" s="21"/>
      <c r="H393" s="43"/>
      <c r="I393" s="21"/>
      <c r="J393" s="3"/>
      <c r="K393" s="3"/>
      <c r="L393" s="41"/>
      <c r="M393" s="3"/>
      <c r="N393" s="41"/>
      <c r="O393" s="3"/>
      <c r="P393" s="3"/>
      <c r="R393"/>
    </row>
    <row r="394" spans="4:18">
      <c r="D394" s="4"/>
      <c r="E394" s="21"/>
      <c r="F394" s="21"/>
      <c r="G394" s="21"/>
      <c r="H394" s="43"/>
      <c r="I394" s="21"/>
      <c r="J394" s="3"/>
      <c r="K394" s="3"/>
      <c r="L394" s="41"/>
      <c r="M394" s="3"/>
      <c r="N394" s="41"/>
      <c r="O394" s="3"/>
      <c r="P394" s="3"/>
      <c r="R394"/>
    </row>
    <row r="395" spans="4:18">
      <c r="D395" s="4"/>
      <c r="E395" s="21"/>
      <c r="F395" s="21"/>
      <c r="G395" s="21"/>
      <c r="H395" s="43"/>
      <c r="I395" s="21"/>
      <c r="J395" s="3"/>
      <c r="K395" s="3"/>
      <c r="L395" s="41"/>
      <c r="M395" s="3"/>
      <c r="N395" s="41"/>
      <c r="O395" s="3"/>
      <c r="P395" s="3"/>
      <c r="R395"/>
    </row>
    <row r="396" spans="4:18">
      <c r="D396" s="4"/>
      <c r="E396" s="21"/>
      <c r="F396" s="21"/>
      <c r="G396" s="21"/>
      <c r="H396" s="43"/>
      <c r="I396" s="21"/>
      <c r="J396" s="3"/>
      <c r="K396" s="3"/>
      <c r="L396" s="41"/>
      <c r="M396" s="3"/>
      <c r="N396" s="41"/>
      <c r="O396" s="3"/>
      <c r="P396" s="3"/>
      <c r="R396"/>
    </row>
    <row r="397" spans="4:18">
      <c r="D397" s="4"/>
      <c r="E397" s="21"/>
      <c r="F397" s="21"/>
      <c r="G397" s="21"/>
      <c r="H397" s="43"/>
      <c r="I397" s="21"/>
      <c r="J397" s="3"/>
      <c r="K397" s="3"/>
      <c r="L397" s="41"/>
      <c r="M397" s="3"/>
      <c r="N397" s="41"/>
      <c r="O397" s="3"/>
      <c r="P397" s="3"/>
      <c r="R397"/>
    </row>
    <row r="398" spans="4:18">
      <c r="D398" s="4"/>
      <c r="E398" s="21"/>
      <c r="F398" s="21"/>
      <c r="G398" s="21"/>
      <c r="H398" s="43"/>
      <c r="I398" s="21"/>
      <c r="J398" s="3"/>
      <c r="K398" s="3"/>
      <c r="L398" s="41"/>
      <c r="M398" s="3"/>
      <c r="N398" s="41"/>
      <c r="O398" s="3"/>
      <c r="P398" s="3"/>
      <c r="R398"/>
    </row>
    <row r="399" spans="4:18">
      <c r="D399" s="4"/>
      <c r="E399" s="21"/>
      <c r="F399" s="21"/>
      <c r="G399" s="21"/>
      <c r="H399" s="43"/>
      <c r="I399" s="21"/>
      <c r="J399" s="3"/>
      <c r="K399" s="3"/>
      <c r="L399" s="41"/>
      <c r="M399" s="3"/>
      <c r="N399" s="41"/>
      <c r="O399" s="3"/>
      <c r="P399" s="3"/>
      <c r="R399"/>
    </row>
    <row r="400" spans="4:18">
      <c r="D400" s="4"/>
      <c r="E400" s="21"/>
      <c r="F400" s="21"/>
      <c r="G400" s="21"/>
      <c r="H400" s="43"/>
      <c r="I400" s="21"/>
      <c r="J400" s="3"/>
      <c r="K400" s="3"/>
      <c r="L400" s="41"/>
      <c r="M400" s="3"/>
      <c r="N400" s="41"/>
      <c r="O400" s="3"/>
      <c r="P400" s="3"/>
      <c r="R400"/>
    </row>
    <row r="401" spans="4:18">
      <c r="D401" s="4"/>
      <c r="E401" s="21"/>
      <c r="F401" s="21"/>
      <c r="G401" s="21"/>
      <c r="H401" s="43"/>
      <c r="I401" s="21"/>
      <c r="J401" s="3"/>
      <c r="K401" s="3"/>
      <c r="L401" s="41"/>
      <c r="M401" s="3"/>
      <c r="N401" s="41"/>
      <c r="O401" s="3"/>
      <c r="P401" s="3"/>
      <c r="R401"/>
    </row>
    <row r="402" spans="4:18">
      <c r="D402" s="4"/>
      <c r="E402" s="21"/>
      <c r="F402" s="21"/>
      <c r="G402" s="21"/>
      <c r="H402" s="43"/>
      <c r="I402" s="21"/>
      <c r="J402" s="3"/>
      <c r="K402" s="3"/>
      <c r="L402" s="41"/>
      <c r="M402" s="3"/>
      <c r="N402" s="41"/>
      <c r="O402" s="3"/>
      <c r="P402" s="3"/>
      <c r="R402"/>
    </row>
    <row r="403" spans="4:18">
      <c r="D403" s="4"/>
      <c r="E403" s="21"/>
      <c r="F403" s="21"/>
      <c r="G403" s="21"/>
      <c r="H403" s="43"/>
      <c r="I403" s="21"/>
      <c r="J403" s="3"/>
      <c r="K403" s="3"/>
      <c r="L403" s="41"/>
      <c r="M403" s="3"/>
      <c r="N403" s="41"/>
      <c r="O403" s="3"/>
      <c r="P403" s="3"/>
      <c r="R403"/>
    </row>
    <row r="404" spans="4:18">
      <c r="D404" s="4"/>
      <c r="E404" s="21"/>
      <c r="F404" s="21"/>
      <c r="G404" s="21"/>
      <c r="H404" s="43"/>
      <c r="I404" s="21"/>
      <c r="J404" s="3"/>
      <c r="K404" s="3"/>
      <c r="L404" s="41"/>
      <c r="M404" s="3"/>
      <c r="N404" s="41"/>
      <c r="O404" s="3"/>
      <c r="P404" s="3"/>
      <c r="R404"/>
    </row>
    <row r="405" spans="4:18">
      <c r="E405" s="4"/>
      <c r="F405" s="21"/>
      <c r="G405" s="21"/>
      <c r="H405" s="21"/>
      <c r="I405" s="43"/>
      <c r="J405" s="21"/>
      <c r="K405" s="3"/>
      <c r="L405" s="3"/>
      <c r="M405" s="3"/>
      <c r="N405" s="3"/>
      <c r="O405" s="3"/>
      <c r="P405" s="41"/>
      <c r="Q405" s="3"/>
      <c r="R405"/>
    </row>
    <row r="406" spans="4:18">
      <c r="E406" s="4"/>
      <c r="F406" s="21"/>
      <c r="G406" s="21"/>
      <c r="H406" s="21"/>
      <c r="I406" s="43"/>
      <c r="J406" s="21"/>
      <c r="K406" s="3"/>
      <c r="L406" s="3"/>
      <c r="M406" s="3"/>
      <c r="N406" s="3"/>
      <c r="O406" s="3"/>
      <c r="P406" s="41"/>
      <c r="Q406" s="3"/>
      <c r="R406"/>
    </row>
    <row r="407" spans="4:18">
      <c r="E407" s="4"/>
      <c r="F407" s="21"/>
      <c r="G407" s="21"/>
      <c r="H407" s="21"/>
      <c r="I407" s="43"/>
      <c r="J407" s="21"/>
      <c r="K407" s="3"/>
      <c r="L407" s="3"/>
      <c r="M407" s="3"/>
      <c r="N407" s="3"/>
      <c r="O407" s="3"/>
      <c r="P407" s="41"/>
      <c r="Q407" s="3"/>
      <c r="R407"/>
    </row>
    <row r="408" spans="4:18">
      <c r="E408" s="4"/>
      <c r="F408" s="21"/>
      <c r="G408" s="21"/>
      <c r="H408" s="21"/>
      <c r="I408" s="43"/>
      <c r="J408" s="21"/>
      <c r="K408" s="3"/>
      <c r="L408" s="3"/>
      <c r="M408" s="3"/>
      <c r="N408" s="3"/>
      <c r="O408" s="3"/>
      <c r="P408" s="41"/>
      <c r="Q408" s="3"/>
      <c r="R408"/>
    </row>
    <row r="409" spans="4:18">
      <c r="E409" s="4"/>
      <c r="F409" s="21"/>
      <c r="G409" s="21"/>
      <c r="H409" s="21"/>
      <c r="I409" s="43"/>
      <c r="J409" s="21"/>
      <c r="K409" s="3"/>
      <c r="L409" s="3"/>
      <c r="M409" s="3"/>
      <c r="N409" s="3"/>
      <c r="O409" s="3"/>
      <c r="P409" s="41"/>
      <c r="Q409" s="3"/>
      <c r="R409"/>
    </row>
    <row r="410" spans="4:18">
      <c r="E410" s="4"/>
      <c r="F410" s="21"/>
      <c r="G410" s="21"/>
      <c r="H410" s="21"/>
      <c r="I410" s="43"/>
      <c r="J410" s="21"/>
      <c r="K410" s="3"/>
      <c r="L410" s="3"/>
      <c r="M410" s="3"/>
      <c r="N410" s="3"/>
      <c r="O410" s="3"/>
      <c r="P410" s="41"/>
      <c r="Q410" s="3"/>
      <c r="R410"/>
    </row>
    <row r="411" spans="4:18">
      <c r="E411" s="4"/>
      <c r="F411" s="21"/>
      <c r="G411" s="21"/>
      <c r="H411" s="21"/>
      <c r="I411" s="43"/>
      <c r="J411" s="21"/>
      <c r="K411" s="3"/>
      <c r="L411" s="3"/>
      <c r="M411" s="3"/>
      <c r="N411" s="3"/>
      <c r="O411" s="3"/>
      <c r="P411" s="41"/>
      <c r="Q411" s="3"/>
      <c r="R411"/>
    </row>
    <row r="412" spans="4:18">
      <c r="E412" s="4"/>
      <c r="F412" s="21"/>
      <c r="G412" s="21"/>
      <c r="H412" s="21"/>
      <c r="I412" s="43"/>
      <c r="J412" s="21"/>
      <c r="K412" s="3"/>
      <c r="L412" s="3"/>
      <c r="M412" s="3"/>
      <c r="N412" s="3"/>
      <c r="O412" s="3"/>
      <c r="P412" s="41"/>
      <c r="Q412" s="3"/>
      <c r="R412"/>
    </row>
    <row r="413" spans="4:18">
      <c r="E413" s="4"/>
      <c r="F413" s="21"/>
      <c r="G413" s="21"/>
      <c r="H413" s="21"/>
      <c r="I413" s="43"/>
      <c r="J413" s="21"/>
      <c r="K413" s="3"/>
      <c r="L413" s="3"/>
      <c r="M413" s="3"/>
      <c r="N413" s="3"/>
      <c r="O413" s="3"/>
      <c r="P413" s="41"/>
      <c r="Q413" s="3"/>
      <c r="R413"/>
    </row>
    <row r="414" spans="4:18">
      <c r="E414" s="4"/>
      <c r="F414" s="21"/>
      <c r="G414" s="21"/>
      <c r="H414" s="21"/>
      <c r="I414" s="43"/>
      <c r="J414" s="21"/>
      <c r="K414" s="3"/>
      <c r="L414" s="3"/>
      <c r="M414" s="3"/>
      <c r="N414" s="3"/>
      <c r="O414" s="3"/>
      <c r="P414" s="41"/>
      <c r="Q414" s="3"/>
      <c r="R414"/>
    </row>
    <row r="415" spans="4:18">
      <c r="E415" s="4"/>
      <c r="F415" s="21"/>
      <c r="G415" s="21"/>
      <c r="H415" s="21"/>
      <c r="I415" s="43"/>
      <c r="J415" s="21"/>
      <c r="K415" s="3"/>
      <c r="L415" s="3"/>
      <c r="M415" s="3"/>
      <c r="N415" s="3"/>
      <c r="O415" s="3"/>
      <c r="P415" s="41"/>
      <c r="Q415" s="3"/>
      <c r="R415"/>
    </row>
    <row r="416" spans="4:18">
      <c r="E416" s="4"/>
      <c r="F416" s="21"/>
      <c r="G416" s="21"/>
      <c r="H416" s="21"/>
      <c r="I416" s="43"/>
      <c r="J416" s="21"/>
      <c r="K416" s="3"/>
      <c r="L416" s="3"/>
      <c r="M416" s="3"/>
      <c r="N416" s="3"/>
      <c r="O416" s="3"/>
      <c r="P416" s="41"/>
      <c r="Q416" s="3"/>
      <c r="R416"/>
    </row>
    <row r="417" spans="5:18">
      <c r="E417" s="4"/>
      <c r="F417" s="21"/>
      <c r="G417" s="21"/>
      <c r="H417" s="21"/>
      <c r="I417" s="43"/>
      <c r="J417" s="21"/>
      <c r="K417" s="3"/>
      <c r="L417" s="3"/>
      <c r="M417" s="3"/>
      <c r="N417" s="3"/>
      <c r="O417" s="3"/>
      <c r="P417" s="41"/>
      <c r="Q417" s="3"/>
      <c r="R417"/>
    </row>
    <row r="418" spans="5:18">
      <c r="E418" s="4"/>
      <c r="F418" s="21"/>
      <c r="G418" s="21"/>
      <c r="H418" s="21"/>
      <c r="I418" s="43"/>
      <c r="J418" s="21"/>
      <c r="K418" s="3"/>
      <c r="L418" s="3"/>
      <c r="M418" s="3"/>
      <c r="N418" s="3"/>
      <c r="O418" s="3"/>
      <c r="P418" s="41"/>
      <c r="Q418" s="3"/>
      <c r="R418"/>
    </row>
    <row r="419" spans="5:18">
      <c r="E419" s="4"/>
      <c r="F419" s="21"/>
      <c r="G419" s="21"/>
      <c r="H419" s="21"/>
      <c r="I419" s="43"/>
      <c r="J419" s="21"/>
      <c r="K419" s="3"/>
      <c r="L419" s="3"/>
      <c r="M419" s="3"/>
      <c r="N419" s="3"/>
      <c r="O419" s="3"/>
      <c r="P419" s="41"/>
      <c r="Q419" s="3"/>
      <c r="R419"/>
    </row>
    <row r="420" spans="5:18">
      <c r="E420" s="4"/>
      <c r="F420" s="21"/>
      <c r="G420" s="21"/>
      <c r="H420" s="21"/>
      <c r="I420" s="43"/>
      <c r="J420" s="21"/>
      <c r="K420" s="3"/>
      <c r="L420" s="3"/>
      <c r="M420" s="3"/>
      <c r="N420" s="3"/>
      <c r="O420" s="3"/>
      <c r="P420" s="41"/>
      <c r="Q420" s="3"/>
      <c r="R420"/>
    </row>
    <row r="421" spans="5:18">
      <c r="E421" s="4"/>
      <c r="F421" s="21"/>
      <c r="G421" s="21"/>
      <c r="H421" s="21"/>
      <c r="I421" s="43"/>
      <c r="J421" s="21"/>
      <c r="K421" s="3"/>
      <c r="L421" s="3"/>
      <c r="M421" s="3"/>
      <c r="N421" s="3"/>
      <c r="O421" s="3"/>
      <c r="P421" s="41"/>
      <c r="Q421" s="3"/>
      <c r="R421"/>
    </row>
    <row r="422" spans="5:18">
      <c r="E422" s="4"/>
      <c r="F422" s="21"/>
      <c r="G422" s="21"/>
      <c r="H422" s="21"/>
      <c r="I422" s="43"/>
      <c r="J422" s="21"/>
      <c r="K422" s="3"/>
      <c r="L422" s="3"/>
      <c r="M422" s="3"/>
      <c r="N422" s="3"/>
      <c r="O422" s="3"/>
      <c r="P422" s="41"/>
      <c r="Q422" s="3"/>
      <c r="R422"/>
    </row>
    <row r="423" spans="5:18">
      <c r="E423" s="4"/>
      <c r="F423" s="21"/>
      <c r="G423" s="21"/>
      <c r="H423" s="21"/>
      <c r="I423" s="43"/>
      <c r="J423" s="21"/>
      <c r="K423" s="3"/>
      <c r="L423" s="3"/>
      <c r="M423" s="3"/>
      <c r="N423" s="3"/>
      <c r="O423" s="3"/>
      <c r="P423" s="41"/>
      <c r="Q423" s="3"/>
      <c r="R423"/>
    </row>
    <row r="424" spans="5:18">
      <c r="E424" s="4"/>
      <c r="F424" s="21"/>
      <c r="G424" s="21"/>
      <c r="H424" s="21"/>
      <c r="I424" s="43"/>
      <c r="J424" s="21"/>
      <c r="K424" s="3"/>
      <c r="L424" s="3"/>
      <c r="M424" s="3"/>
      <c r="N424" s="3"/>
      <c r="O424" s="3"/>
      <c r="P424" s="41"/>
      <c r="Q424" s="3"/>
      <c r="R424"/>
    </row>
    <row r="425" spans="5:18">
      <c r="E425" s="4"/>
      <c r="F425" s="21"/>
      <c r="G425" s="21"/>
      <c r="H425" s="21"/>
      <c r="I425" s="43"/>
      <c r="J425" s="21"/>
      <c r="K425" s="3"/>
      <c r="L425" s="3"/>
      <c r="M425" s="3"/>
      <c r="N425" s="3"/>
      <c r="O425" s="3"/>
      <c r="P425" s="41"/>
      <c r="Q425" s="3"/>
      <c r="R425"/>
    </row>
    <row r="426" spans="5:18">
      <c r="E426" s="4"/>
      <c r="F426" s="21"/>
      <c r="G426" s="21"/>
      <c r="H426" s="21"/>
      <c r="I426" s="43"/>
      <c r="J426" s="21"/>
      <c r="K426" s="3"/>
      <c r="L426" s="3"/>
      <c r="M426" s="3"/>
      <c r="N426" s="3"/>
      <c r="O426" s="3"/>
      <c r="P426" s="41"/>
      <c r="Q426" s="3"/>
      <c r="R426"/>
    </row>
    <row r="427" spans="5:18">
      <c r="E427" s="4"/>
      <c r="F427" s="21"/>
      <c r="G427" s="21"/>
      <c r="H427" s="21"/>
      <c r="I427" s="43"/>
      <c r="J427" s="21"/>
      <c r="K427" s="3"/>
      <c r="L427" s="3"/>
      <c r="M427" s="3"/>
      <c r="N427" s="3"/>
      <c r="O427" s="3"/>
      <c r="P427" s="41"/>
      <c r="Q427" s="3"/>
      <c r="R427"/>
    </row>
    <row r="428" spans="5:18">
      <c r="E428" s="4"/>
      <c r="F428" s="21"/>
      <c r="G428" s="21"/>
      <c r="H428" s="21"/>
      <c r="I428" s="43"/>
      <c r="J428" s="21"/>
      <c r="K428" s="3"/>
      <c r="L428" s="3"/>
      <c r="M428" s="3"/>
      <c r="N428" s="3"/>
      <c r="O428" s="3"/>
      <c r="P428" s="41"/>
      <c r="Q428" s="3"/>
      <c r="R428"/>
    </row>
    <row r="429" spans="5:18">
      <c r="E429" s="4"/>
      <c r="F429" s="21"/>
      <c r="G429" s="21"/>
      <c r="H429" s="21"/>
      <c r="I429" s="43"/>
      <c r="J429" s="21"/>
      <c r="K429" s="3"/>
      <c r="L429" s="3"/>
      <c r="M429" s="3"/>
      <c r="N429" s="3"/>
      <c r="O429" s="3"/>
      <c r="P429" s="41"/>
      <c r="Q429" s="3"/>
      <c r="R429"/>
    </row>
    <row r="430" spans="5:18">
      <c r="E430" s="4"/>
      <c r="F430" s="21"/>
      <c r="G430" s="21"/>
      <c r="H430" s="21"/>
      <c r="I430" s="43"/>
      <c r="J430" s="21"/>
      <c r="K430" s="3"/>
      <c r="L430" s="3"/>
      <c r="M430" s="3"/>
      <c r="N430" s="3"/>
      <c r="O430" s="3"/>
      <c r="P430" s="41"/>
      <c r="Q430" s="3"/>
      <c r="R430"/>
    </row>
    <row r="431" spans="5:18">
      <c r="E431" s="4"/>
      <c r="F431" s="21"/>
      <c r="G431" s="21"/>
      <c r="H431" s="21"/>
      <c r="I431" s="43"/>
      <c r="J431" s="21"/>
      <c r="K431" s="3"/>
      <c r="L431" s="3"/>
      <c r="M431" s="3"/>
      <c r="N431" s="3"/>
      <c r="O431" s="3"/>
      <c r="P431" s="41"/>
      <c r="Q431" s="3"/>
      <c r="R431"/>
    </row>
    <row r="432" spans="5:18">
      <c r="E432" s="4"/>
      <c r="F432" s="21"/>
      <c r="G432" s="21"/>
      <c r="H432" s="21"/>
      <c r="I432" s="43"/>
      <c r="J432" s="21"/>
      <c r="K432" s="3"/>
      <c r="L432" s="3"/>
      <c r="M432" s="3"/>
      <c r="N432" s="3"/>
      <c r="O432" s="3"/>
      <c r="P432" s="41"/>
      <c r="Q432" s="3"/>
      <c r="R432"/>
    </row>
    <row r="433" spans="5:18">
      <c r="E433" s="4"/>
      <c r="F433" s="21"/>
      <c r="G433" s="21"/>
      <c r="H433" s="21"/>
      <c r="I433" s="43"/>
      <c r="J433" s="21"/>
      <c r="K433" s="3"/>
      <c r="L433" s="3"/>
      <c r="M433" s="3"/>
      <c r="N433" s="3"/>
      <c r="O433" s="3"/>
      <c r="P433" s="41"/>
      <c r="Q433" s="3"/>
      <c r="R433"/>
    </row>
    <row r="434" spans="5:18">
      <c r="E434" s="4"/>
      <c r="F434" s="21"/>
      <c r="G434" s="21"/>
      <c r="H434" s="21"/>
      <c r="I434" s="43"/>
      <c r="J434" s="21"/>
      <c r="K434" s="3"/>
      <c r="L434" s="3"/>
      <c r="M434" s="3"/>
      <c r="N434" s="3"/>
      <c r="O434" s="3"/>
      <c r="P434" s="41"/>
      <c r="Q434" s="3"/>
      <c r="R434"/>
    </row>
    <row r="435" spans="5:18">
      <c r="E435" s="4"/>
      <c r="F435" s="21"/>
      <c r="G435" s="21"/>
      <c r="H435" s="21"/>
      <c r="I435" s="43"/>
      <c r="J435" s="21"/>
      <c r="K435" s="3"/>
      <c r="L435" s="3"/>
      <c r="M435" s="3"/>
      <c r="N435" s="3"/>
      <c r="O435" s="3"/>
      <c r="P435" s="41"/>
      <c r="Q435" s="3"/>
      <c r="R435"/>
    </row>
    <row r="436" spans="5:18">
      <c r="E436" s="4"/>
      <c r="F436" s="21"/>
      <c r="G436" s="21"/>
      <c r="H436" s="21"/>
      <c r="I436" s="43"/>
      <c r="J436" s="21"/>
      <c r="K436" s="3"/>
      <c r="L436" s="3"/>
      <c r="M436" s="3"/>
      <c r="N436" s="3"/>
      <c r="O436" s="3"/>
      <c r="P436" s="41"/>
      <c r="Q436" s="3"/>
      <c r="R436"/>
    </row>
    <row r="437" spans="5:18">
      <c r="E437" s="4"/>
      <c r="F437" s="21"/>
      <c r="G437" s="21"/>
      <c r="H437" s="21"/>
      <c r="I437" s="43"/>
      <c r="J437" s="21"/>
      <c r="K437" s="3"/>
      <c r="L437" s="3"/>
      <c r="M437" s="3"/>
      <c r="N437" s="3"/>
      <c r="O437" s="3"/>
      <c r="P437" s="41"/>
      <c r="Q437" s="3"/>
      <c r="R437"/>
    </row>
    <row r="438" spans="5:18">
      <c r="E438" s="4"/>
      <c r="F438" s="21"/>
      <c r="G438" s="21"/>
      <c r="H438" s="21"/>
      <c r="I438" s="43"/>
      <c r="J438" s="21"/>
      <c r="K438" s="3"/>
      <c r="L438" s="3"/>
      <c r="M438" s="3"/>
      <c r="N438" s="3"/>
      <c r="O438" s="3"/>
      <c r="P438" s="41"/>
      <c r="Q438" s="3"/>
      <c r="R438"/>
    </row>
    <row r="439" spans="5:18">
      <c r="E439" s="4"/>
      <c r="F439" s="21"/>
      <c r="G439" s="21"/>
      <c r="H439" s="21"/>
      <c r="I439" s="43"/>
      <c r="J439" s="21"/>
      <c r="K439" s="3"/>
      <c r="L439" s="3"/>
      <c r="M439" s="3"/>
      <c r="N439" s="3"/>
      <c r="O439" s="3"/>
      <c r="P439" s="41"/>
      <c r="Q439" s="3"/>
      <c r="R439"/>
    </row>
    <row r="440" spans="5:18">
      <c r="E440" s="4"/>
      <c r="F440" s="21"/>
      <c r="G440" s="21"/>
      <c r="H440" s="21"/>
      <c r="I440" s="43"/>
      <c r="J440" s="21"/>
      <c r="K440" s="3"/>
      <c r="L440" s="3"/>
      <c r="M440" s="3"/>
      <c r="N440" s="3"/>
      <c r="O440" s="3"/>
      <c r="P440" s="41"/>
      <c r="Q440" s="3"/>
      <c r="R440"/>
    </row>
    <row r="441" spans="5:18">
      <c r="E441" s="4"/>
      <c r="F441" s="21"/>
      <c r="G441" s="21"/>
      <c r="H441" s="21"/>
      <c r="I441" s="43"/>
      <c r="J441" s="21"/>
      <c r="K441" s="3"/>
      <c r="L441" s="3"/>
      <c r="M441" s="3"/>
      <c r="N441" s="3"/>
      <c r="O441" s="3"/>
      <c r="P441" s="41"/>
      <c r="Q441" s="3"/>
      <c r="R441"/>
    </row>
    <row r="442" spans="5:18">
      <c r="E442" s="4"/>
      <c r="F442" s="21"/>
      <c r="G442" s="21"/>
      <c r="H442" s="21"/>
      <c r="I442" s="43"/>
      <c r="J442" s="21"/>
      <c r="K442" s="3"/>
      <c r="L442" s="3"/>
      <c r="M442" s="3"/>
      <c r="N442" s="3"/>
      <c r="O442" s="3"/>
      <c r="P442" s="41"/>
      <c r="Q442" s="3"/>
      <c r="R442"/>
    </row>
    <row r="443" spans="5:18">
      <c r="E443" s="4"/>
      <c r="F443" s="21"/>
      <c r="G443" s="21"/>
      <c r="H443" s="21"/>
      <c r="I443" s="43"/>
      <c r="J443" s="21"/>
      <c r="K443" s="3"/>
      <c r="L443" s="3"/>
      <c r="M443" s="3"/>
      <c r="N443" s="3"/>
      <c r="O443" s="3"/>
      <c r="P443" s="41"/>
      <c r="Q443" s="3"/>
      <c r="R443"/>
    </row>
    <row r="444" spans="5:18">
      <c r="E444" s="4"/>
      <c r="F444" s="21"/>
      <c r="G444" s="21"/>
      <c r="H444" s="21"/>
      <c r="I444" s="43"/>
      <c r="J444" s="21"/>
      <c r="K444" s="3"/>
      <c r="L444" s="3"/>
      <c r="M444" s="3"/>
      <c r="N444" s="3"/>
      <c r="O444" s="3"/>
      <c r="P444" s="41"/>
      <c r="Q444" s="3"/>
      <c r="R444"/>
    </row>
    <row r="445" spans="5:18">
      <c r="E445" s="4"/>
      <c r="F445" s="21"/>
      <c r="G445" s="21"/>
      <c r="H445" s="21"/>
      <c r="I445" s="43"/>
      <c r="J445" s="21"/>
      <c r="K445" s="3"/>
      <c r="L445" s="3"/>
      <c r="M445" s="3"/>
      <c r="N445" s="3"/>
      <c r="O445" s="3"/>
      <c r="P445" s="41"/>
      <c r="Q445" s="3"/>
      <c r="R445"/>
    </row>
    <row r="446" spans="5:18">
      <c r="E446" s="4"/>
      <c r="F446" s="21"/>
      <c r="G446" s="21"/>
      <c r="H446" s="21"/>
      <c r="I446" s="43"/>
      <c r="J446" s="21"/>
      <c r="K446" s="3"/>
      <c r="L446" s="3"/>
      <c r="M446" s="3"/>
      <c r="N446" s="3"/>
      <c r="O446" s="3"/>
      <c r="P446" s="41"/>
      <c r="Q446" s="3"/>
      <c r="R446"/>
    </row>
    <row r="447" spans="5:18">
      <c r="E447" s="4"/>
      <c r="F447" s="21"/>
      <c r="G447" s="21"/>
      <c r="H447" s="21"/>
      <c r="I447" s="43"/>
      <c r="J447" s="21"/>
      <c r="K447" s="3"/>
      <c r="L447" s="3"/>
      <c r="M447" s="3"/>
      <c r="N447" s="3"/>
      <c r="O447" s="3"/>
      <c r="P447" s="41"/>
      <c r="Q447" s="3"/>
      <c r="R447"/>
    </row>
  </sheetData>
  <pageMargins left="0.7" right="0.7" top="0.75" bottom="0.75" header="0.3" footer="0.3"/>
  <pageSetup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90E8D-D498-8E4A-B7E7-E34E146B1C50}">
  <dimension ref="A1:AP122"/>
  <sheetViews>
    <sheetView zoomScaleNormal="100" workbookViewId="0">
      <selection activeCell="G55" sqref="G55"/>
    </sheetView>
  </sheetViews>
  <sheetFormatPr baseColWidth="10" defaultRowHeight="16"/>
  <cols>
    <col min="2" max="2" width="13.6640625" bestFit="1" customWidth="1"/>
    <col min="3" max="3" width="6.6640625" style="7" customWidth="1"/>
    <col min="4" max="4" width="6.83203125" style="7" bestFit="1" customWidth="1"/>
    <col min="5" max="5" width="7.83203125" style="7" customWidth="1"/>
    <col min="6" max="6" width="6.5" style="7" customWidth="1"/>
    <col min="7" max="7" width="7" style="7" customWidth="1"/>
    <col min="8" max="8" width="8.1640625" style="7" customWidth="1"/>
    <col min="9" max="10" width="6.33203125" style="7" customWidth="1"/>
    <col min="11" max="24" width="7.83203125" style="7" customWidth="1"/>
    <col min="25" max="25" width="6.1640625" style="7" customWidth="1"/>
    <col min="26" max="38" width="5.83203125" customWidth="1"/>
    <col min="39" max="42" width="6.83203125" customWidth="1"/>
  </cols>
  <sheetData>
    <row r="1" spans="1:42">
      <c r="A1" t="s">
        <v>31</v>
      </c>
    </row>
    <row r="2" spans="1:42">
      <c r="A2" t="s">
        <v>32</v>
      </c>
      <c r="B2">
        <v>1</v>
      </c>
      <c r="C2" s="7">
        <f>(1/1000)*$B$2</f>
        <v>1E-3</v>
      </c>
      <c r="G2" s="7" t="s">
        <v>834</v>
      </c>
      <c r="J2" s="7">
        <f>Vehicle!D5</f>
        <v>43.561279078396474</v>
      </c>
      <c r="M2"/>
      <c r="N2" s="7" t="s">
        <v>37</v>
      </c>
      <c r="O2" t="s">
        <v>811</v>
      </c>
      <c r="P2" t="s">
        <v>813</v>
      </c>
      <c r="Q2" t="s">
        <v>814</v>
      </c>
      <c r="R2" t="s">
        <v>841</v>
      </c>
      <c r="S2" t="s">
        <v>45</v>
      </c>
      <c r="T2" s="7" t="s">
        <v>815</v>
      </c>
      <c r="U2" s="7" t="s">
        <v>816</v>
      </c>
      <c r="V2" s="7" t="s">
        <v>817</v>
      </c>
      <c r="W2" s="7" t="s">
        <v>818</v>
      </c>
      <c r="X2" s="7" t="s">
        <v>819</v>
      </c>
      <c r="Y2" s="7" t="s">
        <v>820</v>
      </c>
      <c r="Z2" s="7" t="s">
        <v>821</v>
      </c>
      <c r="AA2" s="7"/>
    </row>
    <row r="3" spans="1:42">
      <c r="A3" t="s">
        <v>34</v>
      </c>
      <c r="B3">
        <f>MAX('Population Model'!B3:B103)</f>
        <v>3136</v>
      </c>
      <c r="C3" s="7">
        <f>B6/B3</f>
        <v>0.95663265306122447</v>
      </c>
      <c r="G3" s="7" t="s">
        <v>47</v>
      </c>
      <c r="J3" s="7">
        <f>B6*(1-LOOKUP($J$5,$M$3:$M$6,$Q$3:$Q$6))</f>
        <v>599.99999999999989</v>
      </c>
      <c r="L3" s="7" t="s">
        <v>828</v>
      </c>
      <c r="M3">
        <v>0</v>
      </c>
      <c r="N3" s="7">
        <v>0</v>
      </c>
      <c r="O3">
        <v>0.5</v>
      </c>
      <c r="P3">
        <v>0.5</v>
      </c>
      <c r="Q3">
        <v>0</v>
      </c>
      <c r="R3">
        <v>0.9</v>
      </c>
      <c r="S3">
        <v>0.25</v>
      </c>
      <c r="T3" s="7">
        <v>0.1234</v>
      </c>
      <c r="U3" s="7">
        <f>T3*0.99</f>
        <v>0.122166</v>
      </c>
      <c r="V3" s="7">
        <f>U3*0.99</f>
        <v>0.12094434</v>
      </c>
      <c r="W3" s="7">
        <f>V3*0.99</f>
        <v>0.1197348966</v>
      </c>
      <c r="X3" s="7">
        <f>W3*0.99</f>
        <v>0.118537547634</v>
      </c>
      <c r="Y3" s="7">
        <f>X3*0.95</f>
        <v>0.1126106702523</v>
      </c>
      <c r="Z3" s="7">
        <v>0.15</v>
      </c>
    </row>
    <row r="4" spans="1:42">
      <c r="A4" t="s">
        <v>35</v>
      </c>
      <c r="B4">
        <f>MIN('Population Model'!B3:B103)</f>
        <v>599</v>
      </c>
      <c r="G4" t="s">
        <v>809</v>
      </c>
      <c r="J4" s="7" t="str">
        <f>Vehicle!B13</f>
        <v>island</v>
      </c>
      <c r="L4" s="7" t="s">
        <v>832</v>
      </c>
      <c r="M4">
        <v>1</v>
      </c>
      <c r="N4" s="7">
        <v>1</v>
      </c>
      <c r="O4" s="7">
        <v>0</v>
      </c>
      <c r="P4" s="7">
        <v>0.9</v>
      </c>
      <c r="Q4" s="7">
        <v>0.7</v>
      </c>
      <c r="R4" s="7">
        <v>1</v>
      </c>
      <c r="S4" s="7">
        <v>0</v>
      </c>
      <c r="T4" s="7">
        <v>1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</row>
    <row r="5" spans="1:42">
      <c r="A5" t="s">
        <v>36</v>
      </c>
      <c r="B5" s="1">
        <f>'Population Model'!B103</f>
        <v>3106</v>
      </c>
      <c r="H5"/>
      <c r="J5" s="110">
        <f>LOOKUP(J4,Population!L3:L6,Population!M3:M6)</f>
        <v>2</v>
      </c>
      <c r="L5" s="7" t="s">
        <v>830</v>
      </c>
      <c r="M5" s="7">
        <v>2</v>
      </c>
      <c r="N5" s="7">
        <v>0</v>
      </c>
      <c r="O5" s="7">
        <v>0</v>
      </c>
      <c r="P5" s="7">
        <v>0.5</v>
      </c>
      <c r="Q5" s="7">
        <v>0.8</v>
      </c>
      <c r="R5" s="7">
        <v>0.9</v>
      </c>
      <c r="S5" s="7">
        <v>0</v>
      </c>
      <c r="T5" s="7">
        <v>0.5</v>
      </c>
      <c r="U5" s="7">
        <v>0.4</v>
      </c>
      <c r="V5" s="7">
        <v>0.1</v>
      </c>
      <c r="W5" s="7">
        <v>0</v>
      </c>
      <c r="X5" s="7">
        <v>0</v>
      </c>
      <c r="Y5" s="7">
        <v>0</v>
      </c>
      <c r="Z5" s="7">
        <v>0</v>
      </c>
      <c r="AN5">
        <f>SUM(A25:Y25)</f>
        <v>441</v>
      </c>
    </row>
    <row r="6" spans="1:42">
      <c r="A6" t="s">
        <v>100</v>
      </c>
      <c r="B6" s="2">
        <f>Vehicle!B11</f>
        <v>3000</v>
      </c>
      <c r="C6" s="7" t="s">
        <v>742</v>
      </c>
      <c r="D6" s="7">
        <v>73</v>
      </c>
      <c r="G6" s="7" t="s">
        <v>826</v>
      </c>
      <c r="J6" s="7">
        <f>LOOKUP(J4,Population!L3:L5,Population!N3:N5)</f>
        <v>0</v>
      </c>
      <c r="L6" s="7" t="s">
        <v>842</v>
      </c>
      <c r="M6">
        <v>3</v>
      </c>
      <c r="N6" s="7">
        <v>0</v>
      </c>
      <c r="O6">
        <v>0.9</v>
      </c>
      <c r="P6">
        <v>0.4</v>
      </c>
      <c r="Q6">
        <f>(1-0.84021)</f>
        <v>0.15978999999999999</v>
      </c>
      <c r="R6">
        <v>0.5</v>
      </c>
      <c r="S6">
        <v>0.16500000000000001</v>
      </c>
      <c r="T6" s="7">
        <v>0.4</v>
      </c>
      <c r="U6" s="7">
        <v>0.22500000000000001</v>
      </c>
      <c r="V6" s="7">
        <v>0.05</v>
      </c>
      <c r="W6" s="7">
        <v>0.05</v>
      </c>
      <c r="X6" s="7">
        <v>0.05</v>
      </c>
      <c r="Y6" s="7">
        <v>0.05</v>
      </c>
      <c r="Z6" s="7">
        <v>0.05</v>
      </c>
    </row>
    <row r="7" spans="1:42">
      <c r="A7" t="s">
        <v>226</v>
      </c>
      <c r="B7" s="56">
        <f>AVERAGE('Population Model'!B3:B103)</f>
        <v>2564.1386138613861</v>
      </c>
      <c r="F7"/>
      <c r="G7" s="7" t="s">
        <v>813</v>
      </c>
      <c r="J7" s="7">
        <f>LOOKUP($J$5,$M$3:$M$6,$P$3:$P$6)</f>
        <v>0.5</v>
      </c>
      <c r="K7"/>
      <c r="L7"/>
      <c r="M7"/>
      <c r="N7"/>
      <c r="O7"/>
      <c r="P7"/>
      <c r="Q7"/>
      <c r="S7"/>
      <c r="T7"/>
      <c r="U7"/>
    </row>
    <row r="8" spans="1:42">
      <c r="A8" t="s">
        <v>654</v>
      </c>
      <c r="B8" s="25">
        <f>B6*B10*B9</f>
        <v>35.642754957229528</v>
      </c>
      <c r="F8"/>
      <c r="G8" s="7" t="s">
        <v>812</v>
      </c>
      <c r="J8" s="7">
        <f>1-J7</f>
        <v>0.5</v>
      </c>
      <c r="K8"/>
      <c r="L8"/>
      <c r="M8"/>
      <c r="N8"/>
      <c r="O8"/>
      <c r="P8"/>
      <c r="Q8"/>
      <c r="R8"/>
      <c r="S8"/>
      <c r="T8"/>
      <c r="U8"/>
    </row>
    <row r="9" spans="1:42">
      <c r="A9" t="s">
        <v>803</v>
      </c>
      <c r="B9" s="78">
        <v>1.1157999999999999</v>
      </c>
      <c r="F9"/>
      <c r="G9" s="7" t="s">
        <v>38</v>
      </c>
      <c r="J9" s="7">
        <f>J34+J36+J38+J40+J42</f>
        <v>299.99999999999994</v>
      </c>
      <c r="L9" t="s">
        <v>828</v>
      </c>
      <c r="M9" t="s">
        <v>829</v>
      </c>
      <c r="N9"/>
      <c r="O9"/>
      <c r="P9"/>
      <c r="Q9"/>
      <c r="R9"/>
      <c r="S9"/>
      <c r="T9"/>
      <c r="U9"/>
    </row>
    <row r="10" spans="1:42">
      <c r="A10" s="7" t="s">
        <v>653</v>
      </c>
      <c r="B10" s="7">
        <f>1-GEOMEAN(N29:N46)</f>
        <v>1.064789238131969E-2</v>
      </c>
      <c r="C10" s="7">
        <f>1/B10</f>
        <v>93.915299308844155</v>
      </c>
      <c r="D10" s="7">
        <f>POWER(M29*M30*M31*M33*M35*M37*M39*M41*M43*M44,7)*POWER(M45,3.38)</f>
        <v>0.70562632665243741</v>
      </c>
      <c r="F10"/>
      <c r="G10" s="7" t="s">
        <v>40</v>
      </c>
      <c r="J10" s="7">
        <f>J33+J35+J37+J39+J41</f>
        <v>299.99999999999994</v>
      </c>
      <c r="L10" t="s">
        <v>832</v>
      </c>
      <c r="M10" t="s">
        <v>833</v>
      </c>
      <c r="N10"/>
      <c r="O10"/>
      <c r="P10"/>
      <c r="Q10"/>
      <c r="R10"/>
      <c r="S10"/>
      <c r="T10"/>
      <c r="U10"/>
    </row>
    <row r="11" spans="1:42">
      <c r="A11" s="7" t="s">
        <v>72</v>
      </c>
      <c r="B11" s="7">
        <f>1-B12</f>
        <v>0.85714285714285721</v>
      </c>
      <c r="F11"/>
      <c r="G11" s="7" t="s">
        <v>70</v>
      </c>
      <c r="J11" s="7">
        <f>SUM(J29:J32)</f>
        <v>0</v>
      </c>
      <c r="L11" t="s">
        <v>830</v>
      </c>
      <c r="M11" s="7" t="s">
        <v>831</v>
      </c>
      <c r="N11"/>
      <c r="O11"/>
      <c r="P11"/>
      <c r="Q11"/>
      <c r="R11"/>
      <c r="S11"/>
      <c r="T11"/>
      <c r="U11"/>
      <c r="AL11" s="19"/>
      <c r="AM11" s="19"/>
      <c r="AN11" s="19"/>
      <c r="AO11" s="19"/>
      <c r="AP11" s="19"/>
    </row>
    <row r="12" spans="1:42">
      <c r="A12" s="7" t="s">
        <v>73</v>
      </c>
      <c r="B12" s="7">
        <f>$B$2/7</f>
        <v>0.14285714285714285</v>
      </c>
      <c r="F12"/>
      <c r="G12" s="7" t="s">
        <v>785</v>
      </c>
      <c r="H12"/>
      <c r="I12"/>
      <c r="J12">
        <f>MIN(J9,J10)*LOOKUP($J$5,$M$3:$M$6,$O$3:$O$6)</f>
        <v>0</v>
      </c>
      <c r="L12" t="s">
        <v>842</v>
      </c>
      <c r="M12" t="s">
        <v>843</v>
      </c>
      <c r="N12"/>
      <c r="O12"/>
      <c r="P12"/>
      <c r="Q12"/>
      <c r="R12"/>
      <c r="S12"/>
      <c r="T12"/>
      <c r="U12"/>
      <c r="AL12" s="19"/>
      <c r="AM12" s="19"/>
      <c r="AN12" s="19"/>
      <c r="AO12" s="19"/>
      <c r="AP12" s="19"/>
    </row>
    <row r="13" spans="1:42" ht="17" thickBot="1">
      <c r="A13" s="7" t="s">
        <v>787</v>
      </c>
      <c r="B13" s="7">
        <v>0.25</v>
      </c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AL13" s="19"/>
      <c r="AM13" s="19"/>
      <c r="AN13" s="19"/>
      <c r="AO13" s="19"/>
      <c r="AP13" s="19"/>
    </row>
    <row r="14" spans="1:42">
      <c r="A14" s="7" t="s">
        <v>788</v>
      </c>
      <c r="B14" s="7">
        <f>0.3/50</f>
        <v>6.0000000000000001E-3</v>
      </c>
      <c r="F14"/>
      <c r="G14" s="111" t="s">
        <v>150</v>
      </c>
      <c r="H14" s="112" t="s">
        <v>792</v>
      </c>
      <c r="I14" s="113" t="s">
        <v>824</v>
      </c>
      <c r="J14" s="113" t="s">
        <v>825</v>
      </c>
      <c r="K14" s="114" t="s">
        <v>34</v>
      </c>
      <c r="L14" s="115" t="s">
        <v>36</v>
      </c>
      <c r="M14"/>
      <c r="N14"/>
      <c r="O14"/>
      <c r="P14"/>
      <c r="Q14"/>
      <c r="R14"/>
      <c r="S14"/>
      <c r="T14"/>
      <c r="U14"/>
      <c r="AL14" s="19"/>
      <c r="AM14" s="19"/>
      <c r="AN14" s="19"/>
      <c r="AO14" s="19"/>
      <c r="AP14" s="19"/>
    </row>
    <row r="15" spans="1:42">
      <c r="A15" s="7" t="s">
        <v>840</v>
      </c>
      <c r="B15" s="7">
        <f>LOOKUP($J$5,$M$3:$M$6,$Q$3:$Q$6)</f>
        <v>0.8</v>
      </c>
      <c r="F15"/>
      <c r="G15" s="116" t="s">
        <v>12</v>
      </c>
      <c r="H15" s="117">
        <v>0</v>
      </c>
      <c r="I15" s="118">
        <f>Vehicle!D5+1</f>
        <v>44.561279078396474</v>
      </c>
      <c r="J15" s="118">
        <f>I15+5+Vehicle!D5</f>
        <v>93.122558156792948</v>
      </c>
      <c r="K15" s="119">
        <v>34</v>
      </c>
      <c r="L15" s="120">
        <v>100</v>
      </c>
      <c r="M15"/>
      <c r="N15"/>
      <c r="O15"/>
      <c r="P15"/>
      <c r="Q15"/>
      <c r="R15"/>
      <c r="S15"/>
      <c r="T15"/>
      <c r="U15"/>
      <c r="AL15" s="19"/>
      <c r="AM15" s="19"/>
      <c r="AN15" s="19"/>
      <c r="AO15" s="19"/>
      <c r="AP15" s="19"/>
    </row>
    <row r="16" spans="1:42">
      <c r="A16" s="7" t="s">
        <v>39</v>
      </c>
      <c r="B16" s="7">
        <f>J8</f>
        <v>0.5</v>
      </c>
      <c r="F16"/>
      <c r="G16" s="116" t="s">
        <v>823</v>
      </c>
      <c r="H16" s="121">
        <f>LOOKUP(H15,'Population Model'!$A$3:$A$100,'Population Model'!$B$3:$B$100)</f>
        <v>599</v>
      </c>
      <c r="I16" s="121">
        <f>LOOKUP(I15,'Population Model'!$A$3:$A$100,'Population Model'!$B$3:$B$100)</f>
        <v>2737</v>
      </c>
      <c r="J16" s="121">
        <f>LOOKUP(J15,'Population Model'!$A$3:$A$100,'Population Model'!$B$3:$B$100)</f>
        <v>3125</v>
      </c>
      <c r="K16" s="118">
        <f>MAX('Population Model'!B:B)</f>
        <v>3136</v>
      </c>
      <c r="L16" s="122">
        <f>LOOKUP(L15,'Population Model'!$A$3:$A$100,'Population Model'!$B$3:$B$100)</f>
        <v>3115</v>
      </c>
      <c r="M16"/>
      <c r="N16"/>
      <c r="O16"/>
      <c r="P16"/>
      <c r="Q16"/>
      <c r="R16"/>
      <c r="S16"/>
      <c r="T16"/>
      <c r="U16"/>
    </row>
    <row r="17" spans="1:27" ht="17" thickBot="1">
      <c r="A17" s="7" t="s">
        <v>724</v>
      </c>
      <c r="C17" s="15">
        <f>(MAX('Population Model'!AC:AC)+MAX('Population Model'!AD:AD))/7</f>
        <v>52.068451211003072</v>
      </c>
      <c r="D17" s="7">
        <f>(MIN('Population Model'!AC:AC)+MIN('Population Model'!AD:AD))/7</f>
        <v>0</v>
      </c>
      <c r="E17"/>
      <c r="F17"/>
      <c r="G17" s="123" t="s">
        <v>822</v>
      </c>
      <c r="H17" s="124">
        <f>LOOKUP(H15,'Population Model'!$A$3:$A$100,'Population Model'!$C$3:$C$100)</f>
        <v>599</v>
      </c>
      <c r="I17" s="124">
        <f>LOOKUP(I15,'Population Model'!$A$3:$A$100,'Population Model'!$C$3:$C$100)</f>
        <v>1354</v>
      </c>
      <c r="J17" s="124">
        <f>LOOKUP(J15,'Population Model'!$A$3:$A$100,'Population Model'!$C$3:$C$100)</f>
        <v>1212</v>
      </c>
      <c r="K17" s="124">
        <f>LOOKUP(K15,'Population Model'!$A$3:$A$100,'Population Model'!$C$3:$C$100)</f>
        <v>1135</v>
      </c>
      <c r="L17" s="125">
        <f>LOOKUP(L15,'Population Model'!$A$3:$A$100,'Population Model'!$C$3:$C$100)</f>
        <v>1199</v>
      </c>
      <c r="M17"/>
      <c r="N17"/>
      <c r="O17"/>
      <c r="P17"/>
      <c r="Q17"/>
      <c r="R17"/>
      <c r="S17"/>
      <c r="T17"/>
      <c r="U17"/>
      <c r="V17"/>
      <c r="W17"/>
      <c r="X17"/>
      <c r="Y17"/>
    </row>
    <row r="18" spans="1:27">
      <c r="A18" s="7" t="s">
        <v>750</v>
      </c>
      <c r="E18"/>
      <c r="F18"/>
      <c r="G18"/>
      <c r="H18">
        <f>H17/H16</f>
        <v>1</v>
      </c>
      <c r="I18">
        <f t="shared" ref="I18:L18" si="0">I17/I16</f>
        <v>0.49470222871757397</v>
      </c>
      <c r="J18">
        <f t="shared" si="0"/>
        <v>0.38784000000000002</v>
      </c>
      <c r="K18">
        <f t="shared" si="0"/>
        <v>0.36192602040816324</v>
      </c>
      <c r="L18">
        <f t="shared" si="0"/>
        <v>0.38491171749598718</v>
      </c>
      <c r="M18"/>
      <c r="N18"/>
      <c r="O18"/>
      <c r="P18"/>
      <c r="Q18"/>
      <c r="R18"/>
      <c r="S18"/>
      <c r="T18"/>
      <c r="U18"/>
      <c r="V18"/>
      <c r="W18"/>
      <c r="X18"/>
      <c r="Y18"/>
    </row>
    <row r="19" spans="1:27">
      <c r="A19" s="7"/>
      <c r="B19" t="s">
        <v>783</v>
      </c>
      <c r="C19" s="64">
        <f>(C33+C35+C37+C39+C41+C43)</f>
        <v>1053.4009713389339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</row>
    <row r="20" spans="1:27" ht="17" thickBot="1">
      <c r="A20" s="7"/>
      <c r="B20" t="s">
        <v>782</v>
      </c>
      <c r="C20" s="64">
        <f>(C34+C36+C38+C40)</f>
        <v>638.35347281916563</v>
      </c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</row>
    <row r="21" spans="1:27">
      <c r="A21" s="32" t="s">
        <v>717</v>
      </c>
      <c r="B21" s="76"/>
      <c r="C21" s="76"/>
      <c r="E21" s="76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 s="76"/>
      <c r="W21" s="1"/>
      <c r="X21" s="1"/>
      <c r="Y21"/>
    </row>
    <row r="22" spans="1:27">
      <c r="A22" s="86" t="s">
        <v>610</v>
      </c>
      <c r="C22" s="86">
        <f>MAX('Population Model'!O:O)</f>
        <v>1278.7104586852502</v>
      </c>
      <c r="D22" s="86">
        <f>CEILING(AVERAGE('Population Model'!O:O),1)</f>
        <v>816</v>
      </c>
      <c r="E22" s="7">
        <f>LOOKUP(C22,'Population Model'!A:A,'Population Model'!O:O)</f>
        <v>1258.249486506845</v>
      </c>
      <c r="F22">
        <f>CEILING(C22/10,1)</f>
        <v>128</v>
      </c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7">
      <c r="A23" s="86" t="s">
        <v>880</v>
      </c>
      <c r="C23" s="86">
        <f>CEILING(MAX('Population Model'!Q:Q),1)</f>
        <v>328</v>
      </c>
      <c r="D23" s="86">
        <f>CEILING(AVERAGE('Population Model'!Q:Q),1)</f>
        <v>164</v>
      </c>
      <c r="F23">
        <f>CEILING(C23/4,1)</f>
        <v>82</v>
      </c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7" ht="17" thickBot="1">
      <c r="A24" s="87" t="s">
        <v>611</v>
      </c>
      <c r="B24" s="78"/>
      <c r="C24" s="88">
        <f>CEILING(MAX('Population Model'!P:P),1)</f>
        <v>462</v>
      </c>
      <c r="D24" s="78">
        <f>CEILING(AVERAGE('Population Model'!P:P),1)</f>
        <v>337</v>
      </c>
      <c r="E24" s="78"/>
      <c r="F24">
        <f>CEILING(C24/2,1)</f>
        <v>231</v>
      </c>
      <c r="H24"/>
      <c r="I24"/>
      <c r="J24">
        <f>SUM(J29:J46)</f>
        <v>599.99999999999989</v>
      </c>
      <c r="K24">
        <f>SUM(K33:K43)</f>
        <v>1</v>
      </c>
      <c r="L24"/>
      <c r="M24"/>
      <c r="N24"/>
      <c r="O24"/>
      <c r="P24"/>
      <c r="Q24"/>
      <c r="R24"/>
      <c r="S24"/>
      <c r="T24"/>
      <c r="U24"/>
      <c r="V24" s="78"/>
      <c r="W24" s="78"/>
      <c r="X24" s="78"/>
      <c r="Y24" s="78"/>
    </row>
    <row r="25" spans="1:27">
      <c r="A25" s="86"/>
      <c r="E25" s="7" t="s">
        <v>881</v>
      </c>
      <c r="F25">
        <f>SUM(F22:F24)</f>
        <v>441</v>
      </c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W25" s="1"/>
      <c r="X25" s="1"/>
      <c r="Y25" s="1"/>
    </row>
    <row r="26" spans="1:27"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spans="1:27">
      <c r="C27" t="s">
        <v>758</v>
      </c>
      <c r="D27" t="s">
        <v>35</v>
      </c>
      <c r="E27" t="s">
        <v>759</v>
      </c>
      <c r="H27" s="7" t="s">
        <v>760</v>
      </c>
      <c r="I27" s="7" t="s">
        <v>761</v>
      </c>
      <c r="J27" s="7" t="s">
        <v>792</v>
      </c>
      <c r="K27" s="7" t="s">
        <v>71</v>
      </c>
      <c r="L27" s="7" t="s">
        <v>810</v>
      </c>
      <c r="M27" t="s">
        <v>653</v>
      </c>
      <c r="N27"/>
      <c r="O27"/>
      <c r="Q27" s="162" t="s">
        <v>755</v>
      </c>
      <c r="R27" s="162"/>
      <c r="S27" s="162"/>
      <c r="T27"/>
    </row>
    <row r="28" spans="1:27">
      <c r="A28" t="s">
        <v>751</v>
      </c>
      <c r="C28"/>
      <c r="D28"/>
      <c r="E28"/>
      <c r="F28" t="s">
        <v>611</v>
      </c>
      <c r="G28" t="s">
        <v>610</v>
      </c>
      <c r="H28"/>
      <c r="I28"/>
      <c r="J28"/>
      <c r="K28"/>
      <c r="L28"/>
      <c r="P28"/>
      <c r="Q28"/>
      <c r="R28"/>
      <c r="S28"/>
      <c r="T28"/>
    </row>
    <row r="29" spans="1:27">
      <c r="A29" s="9">
        <v>0</v>
      </c>
      <c r="C29">
        <f>MAX('Population Model'!AA4:AA103)</f>
        <v>462.18778350958803</v>
      </c>
      <c r="D29">
        <f>MIN('Population Model'!AA4:AA103)</f>
        <v>74.969549999999984</v>
      </c>
      <c r="E29" s="7">
        <f>AVERAGE('Population Model'!AA2:AA103)</f>
        <v>286.37518646740585</v>
      </c>
      <c r="F29">
        <f>C29*H29</f>
        <v>0</v>
      </c>
      <c r="G29">
        <f>C29*I29</f>
        <v>0</v>
      </c>
      <c r="H29"/>
      <c r="I29"/>
      <c r="J29">
        <f>$J$3*1/3*K29</f>
        <v>0</v>
      </c>
      <c r="K29">
        <f>LOOKUP($J$5,$M$3:$M$6,$S$3:$S$6)</f>
        <v>0</v>
      </c>
      <c r="L29">
        <v>40.6</v>
      </c>
      <c r="M29">
        <f>((100000-L29)/100000)</f>
        <v>0.99959399999999998</v>
      </c>
      <c r="N29">
        <f>M29</f>
        <v>0.99959399999999998</v>
      </c>
      <c r="O29">
        <f>1-M29</f>
        <v>4.0600000000001746E-4</v>
      </c>
      <c r="P29" s="7" t="s">
        <v>37</v>
      </c>
      <c r="Q29" t="s">
        <v>757</v>
      </c>
      <c r="R29" t="s">
        <v>756</v>
      </c>
      <c r="S29"/>
      <c r="T29"/>
      <c r="U29"/>
      <c r="V29"/>
      <c r="Z29" s="7"/>
      <c r="AA29" s="7"/>
    </row>
    <row r="30" spans="1:27">
      <c r="A30" s="10">
        <f>A29+7</f>
        <v>7</v>
      </c>
      <c r="C30">
        <f>MAX('Population Model'!AB4:AB103)</f>
        <v>397.44479099878367</v>
      </c>
      <c r="D30" s="7">
        <f>MIN('Population Model'!AB4:AB103)</f>
        <v>0</v>
      </c>
      <c r="E30" s="7">
        <f>AVERAGE('Population Model'!AB2:AB103)</f>
        <v>268.85076263565747</v>
      </c>
      <c r="F30">
        <f t="shared" ref="F30:F46" si="1">C30*H30</f>
        <v>0</v>
      </c>
      <c r="G30">
        <f t="shared" ref="G30:G46" si="2">C30*I30</f>
        <v>0</v>
      </c>
      <c r="H30"/>
      <c r="I30"/>
      <c r="J30">
        <f t="shared" ref="J30:J46" si="3">$J$3*1/3*K30</f>
        <v>0</v>
      </c>
      <c r="K30">
        <f>LOOKUP($J$5,$M$3:$M$6,$S$3:$S$6)</f>
        <v>0</v>
      </c>
      <c r="L30">
        <v>22.5</v>
      </c>
      <c r="M30">
        <f t="shared" ref="M30:M47" si="4">((100000-L30)/100000)</f>
        <v>0.99977499999999997</v>
      </c>
      <c r="N30">
        <f t="shared" ref="N30:N47" si="5">M30</f>
        <v>0.99977499999999997</v>
      </c>
      <c r="O30">
        <f t="shared" ref="O30:O46" si="6">1-M30</f>
        <v>2.2500000000003073E-4</v>
      </c>
      <c r="P30"/>
      <c r="Q30"/>
      <c r="R30"/>
      <c r="S30"/>
      <c r="T30"/>
      <c r="U30"/>
      <c r="V30"/>
      <c r="Z30" s="7"/>
      <c r="AA30" s="7"/>
    </row>
    <row r="31" spans="1:27">
      <c r="A31" s="100">
        <f>A30+7</f>
        <v>14</v>
      </c>
      <c r="B31" s="100" t="s">
        <v>752</v>
      </c>
      <c r="C31" s="100">
        <f>MAX('Population Model'!AC4:AC103)</f>
        <v>182.23957923851074</v>
      </c>
      <c r="D31">
        <f>MIN('Population Model'!AC2:AC103)</f>
        <v>0</v>
      </c>
      <c r="E31">
        <f>AVERAGE('Population Model'!AC2:AC103)</f>
        <v>125.20370230778565</v>
      </c>
      <c r="F31">
        <f t="shared" si="1"/>
        <v>18.223957923851074</v>
      </c>
      <c r="G31">
        <f t="shared" si="2"/>
        <v>72.895831695404297</v>
      </c>
      <c r="H31">
        <v>0.1</v>
      </c>
      <c r="I31">
        <v>0.4</v>
      </c>
      <c r="J31">
        <f t="shared" si="3"/>
        <v>0</v>
      </c>
      <c r="K31">
        <f>LOOKUP($J$5,$M$3:$M$6,$S$3:$S$6)*0.5</f>
        <v>0</v>
      </c>
      <c r="L31">
        <v>95.3</v>
      </c>
      <c r="M31">
        <f t="shared" si="4"/>
        <v>0.99904700000000002</v>
      </c>
      <c r="N31">
        <f t="shared" si="5"/>
        <v>0.99904700000000002</v>
      </c>
      <c r="O31">
        <f t="shared" si="6"/>
        <v>9.5299999999998164E-4</v>
      </c>
      <c r="P31"/>
      <c r="Q31"/>
      <c r="R31"/>
      <c r="S31"/>
      <c r="T31"/>
      <c r="U31"/>
      <c r="V31"/>
      <c r="Z31" s="7"/>
      <c r="AA31" s="7"/>
    </row>
    <row r="32" spans="1:27">
      <c r="B32" t="s">
        <v>753</v>
      </c>
      <c r="C32" s="54">
        <f>MAX('Population Model'!AD4:AD103)</f>
        <v>182.23957923851074</v>
      </c>
      <c r="D32" s="100">
        <f>MIN('Population Model'!AD2:AD103)</f>
        <v>0</v>
      </c>
      <c r="E32">
        <f>AVERAGE('Population Model'!AD2:AD103)</f>
        <v>125.20370230778565</v>
      </c>
      <c r="F32">
        <f t="shared" si="1"/>
        <v>18.223957923851074</v>
      </c>
      <c r="G32">
        <f t="shared" si="2"/>
        <v>72.895831695404297</v>
      </c>
      <c r="H32">
        <v>0.1</v>
      </c>
      <c r="I32">
        <v>0.4</v>
      </c>
      <c r="J32">
        <f t="shared" si="3"/>
        <v>0</v>
      </c>
      <c r="K32">
        <f>LOOKUP($J$5,$M$3:$M$6,$S$3:$S$6)*0.5</f>
        <v>0</v>
      </c>
      <c r="L32">
        <v>95.3</v>
      </c>
      <c r="M32">
        <f t="shared" si="4"/>
        <v>0.99904700000000002</v>
      </c>
      <c r="N32"/>
      <c r="O32">
        <f t="shared" si="6"/>
        <v>9.5299999999998164E-4</v>
      </c>
      <c r="P32">
        <v>12</v>
      </c>
      <c r="Q32">
        <v>12</v>
      </c>
      <c r="R32">
        <v>12</v>
      </c>
      <c r="S32"/>
      <c r="T32"/>
      <c r="U32"/>
      <c r="V32"/>
      <c r="Z32" s="7"/>
      <c r="AA32" s="7"/>
    </row>
    <row r="33" spans="1:27">
      <c r="A33" s="100">
        <f>A31+7</f>
        <v>21</v>
      </c>
      <c r="B33" s="100" t="s">
        <v>752</v>
      </c>
      <c r="C33" s="100">
        <f>MAX('Population Model'!AE4:AE103)</f>
        <v>171.46454248260147</v>
      </c>
      <c r="D33" s="54">
        <f>MIN('Population Model'!AE2:AE103)</f>
        <v>42.111293434903146</v>
      </c>
      <c r="E33" s="100">
        <f>AVERAGE('Population Model'!AE2:AE103)</f>
        <v>126.22451561039335</v>
      </c>
      <c r="F33">
        <f t="shared" si="1"/>
        <v>17.146454248260149</v>
      </c>
      <c r="G33">
        <f t="shared" si="2"/>
        <v>154.31808823434133</v>
      </c>
      <c r="H33">
        <v>0.1</v>
      </c>
      <c r="I33">
        <f>1-H33</f>
        <v>0.9</v>
      </c>
      <c r="J33">
        <f>$J$3*K33</f>
        <v>149.99999999999997</v>
      </c>
      <c r="K33">
        <f>LOOKUP($J$5,$M$3:$M$6,$T$3:$T$6)*$J$8</f>
        <v>0.25</v>
      </c>
      <c r="L33">
        <v>95.3</v>
      </c>
      <c r="M33">
        <f t="shared" si="4"/>
        <v>0.99904700000000002</v>
      </c>
      <c r="N33">
        <f t="shared" si="5"/>
        <v>0.99904700000000002</v>
      </c>
      <c r="O33">
        <f t="shared" si="6"/>
        <v>9.5299999999998164E-4</v>
      </c>
      <c r="P33"/>
      <c r="Q33"/>
      <c r="R33"/>
      <c r="S33"/>
      <c r="T33"/>
      <c r="U33"/>
      <c r="V33"/>
      <c r="Z33" s="7"/>
      <c r="AA33" s="7"/>
    </row>
    <row r="34" spans="1:27">
      <c r="B34" t="s">
        <v>754</v>
      </c>
      <c r="C34">
        <f>MAX('Population Model'!AF4:AF103)</f>
        <v>171.46454248260147</v>
      </c>
      <c r="D34" s="100">
        <f>MIN('Population Model'!AF2:AF103)</f>
        <v>42.111293434903146</v>
      </c>
      <c r="E34" s="54">
        <f>AVERAGE('Population Model'!AF2:AF103)</f>
        <v>126.22451561039335</v>
      </c>
      <c r="F34">
        <f t="shared" si="1"/>
        <v>17.146454248260149</v>
      </c>
      <c r="G34">
        <f t="shared" si="2"/>
        <v>154.31808823434133</v>
      </c>
      <c r="H34">
        <v>0.1</v>
      </c>
      <c r="I34">
        <f>1-H34</f>
        <v>0.9</v>
      </c>
      <c r="J34">
        <f>$J$3*K34</f>
        <v>149.99999999999997</v>
      </c>
      <c r="K34">
        <f>LOOKUP($J$5,$M$3:$M$6,$T$3:$T$6)*$J$7</f>
        <v>0.25</v>
      </c>
      <c r="L34">
        <v>95.3</v>
      </c>
      <c r="M34">
        <f t="shared" si="4"/>
        <v>0.99904700000000002</v>
      </c>
      <c r="N34"/>
      <c r="O34">
        <f t="shared" si="6"/>
        <v>9.5299999999998164E-4</v>
      </c>
      <c r="P34">
        <v>88</v>
      </c>
      <c r="Q34">
        <v>100</v>
      </c>
      <c r="R34">
        <v>12</v>
      </c>
      <c r="S34"/>
      <c r="T34"/>
      <c r="U34"/>
      <c r="V34"/>
      <c r="Z34" s="7"/>
      <c r="AA34" s="7"/>
    </row>
    <row r="35" spans="1:27">
      <c r="A35" s="100">
        <f>A33+7</f>
        <v>28</v>
      </c>
      <c r="B35" s="100" t="s">
        <v>752</v>
      </c>
      <c r="C35" s="100">
        <f>MAX('Population Model'!AG4:AG103)</f>
        <v>162.49878720951841</v>
      </c>
      <c r="D35">
        <f>MIN('Population Model'!AG2:AG103)</f>
        <v>61.039683525823293</v>
      </c>
      <c r="E35" s="100">
        <f>AVERAGE('Population Model'!AG2:AG103)</f>
        <v>124.53954894430022</v>
      </c>
      <c r="F35">
        <f t="shared" si="1"/>
        <v>32.499757441903682</v>
      </c>
      <c r="G35">
        <f t="shared" si="2"/>
        <v>129.99902976761473</v>
      </c>
      <c r="H35">
        <v>0.2</v>
      </c>
      <c r="I35">
        <f t="shared" ref="I35:I46" si="7">1-H35</f>
        <v>0.8</v>
      </c>
      <c r="J35">
        <f t="shared" ref="J35:J43" si="8">$J$3*K35</f>
        <v>119.99999999999999</v>
      </c>
      <c r="K35">
        <f>LOOKUP($J$5,$M$3:$M$6,$U$3:$U$6)*$J$8</f>
        <v>0.2</v>
      </c>
      <c r="L35">
        <v>192</v>
      </c>
      <c r="M35">
        <f t="shared" si="4"/>
        <v>0.99807999999999997</v>
      </c>
      <c r="N35">
        <f t="shared" si="5"/>
        <v>0.99807999999999997</v>
      </c>
      <c r="O35">
        <f t="shared" si="6"/>
        <v>1.9200000000000328E-3</v>
      </c>
      <c r="P35"/>
      <c r="Q35"/>
      <c r="R35"/>
      <c r="S35"/>
      <c r="T35"/>
      <c r="U35"/>
      <c r="V35"/>
      <c r="Z35" s="7"/>
      <c r="AA35" s="7"/>
    </row>
    <row r="36" spans="1:27">
      <c r="B36" t="s">
        <v>754</v>
      </c>
      <c r="C36">
        <f>MAX('Population Model'!AH4:AH103)</f>
        <v>162.49878720951841</v>
      </c>
      <c r="D36" s="100">
        <f>MIN('Population Model'!AH2:AH103)</f>
        <v>61.039683525823293</v>
      </c>
      <c r="E36">
        <f>AVERAGE('Population Model'!AH2:AH103)</f>
        <v>124.53954894430022</v>
      </c>
      <c r="F36">
        <f t="shared" si="1"/>
        <v>32.499757441903682</v>
      </c>
      <c r="G36">
        <f t="shared" si="2"/>
        <v>129.99902976761473</v>
      </c>
      <c r="H36">
        <v>0.2</v>
      </c>
      <c r="I36">
        <f t="shared" si="7"/>
        <v>0.8</v>
      </c>
      <c r="J36">
        <f t="shared" si="8"/>
        <v>119.99999999999999</v>
      </c>
      <c r="K36">
        <f>LOOKUP($J$5,$M$3:$M$6,$U$3:$U$6)*$J$7</f>
        <v>0.2</v>
      </c>
      <c r="L36">
        <v>192</v>
      </c>
      <c r="M36">
        <f t="shared" si="4"/>
        <v>0.99807999999999997</v>
      </c>
      <c r="N36"/>
      <c r="O36">
        <f t="shared" si="6"/>
        <v>1.9200000000000328E-3</v>
      </c>
      <c r="P36">
        <v>88</v>
      </c>
      <c r="Q36">
        <v>100</v>
      </c>
      <c r="R36">
        <v>29</v>
      </c>
      <c r="S36"/>
      <c r="T36"/>
      <c r="U36"/>
      <c r="V36"/>
      <c r="Z36" s="7"/>
      <c r="AA36" s="7"/>
    </row>
    <row r="37" spans="1:27">
      <c r="A37" s="100">
        <f>A35+7</f>
        <v>35</v>
      </c>
      <c r="B37" s="100" t="s">
        <v>752</v>
      </c>
      <c r="C37" s="100">
        <f>MAX('Population Model'!AI4:AI103)</f>
        <v>155.20221596667278</v>
      </c>
      <c r="D37">
        <f>MIN('Population Model'!AI2:AI103)</f>
        <v>29.999999999999996</v>
      </c>
      <c r="E37" s="100">
        <f>AVERAGE('Population Model'!AI2:AI103)</f>
        <v>116.6772036176482</v>
      </c>
      <c r="F37">
        <f t="shared" si="1"/>
        <v>77.601107983336391</v>
      </c>
      <c r="G37">
        <f t="shared" si="2"/>
        <v>77.601107983336391</v>
      </c>
      <c r="H37">
        <v>0.5</v>
      </c>
      <c r="I37">
        <f t="shared" si="7"/>
        <v>0.5</v>
      </c>
      <c r="J37">
        <f t="shared" si="8"/>
        <v>29.999999999999996</v>
      </c>
      <c r="K37">
        <f>LOOKUP($J$5,$M$3:$M$6,$V$3:$V$6)*$J$8</f>
        <v>0.05</v>
      </c>
      <c r="L37">
        <v>192</v>
      </c>
      <c r="M37">
        <f t="shared" si="4"/>
        <v>0.99807999999999997</v>
      </c>
      <c r="N37">
        <f t="shared" si="5"/>
        <v>0.99807999999999997</v>
      </c>
      <c r="O37">
        <f t="shared" si="6"/>
        <v>1.9200000000000328E-3</v>
      </c>
      <c r="P37"/>
      <c r="Q37"/>
      <c r="R37"/>
      <c r="S37"/>
      <c r="T37"/>
      <c r="U37"/>
      <c r="V37"/>
      <c r="Z37" s="7"/>
      <c r="AA37" s="7"/>
    </row>
    <row r="38" spans="1:27">
      <c r="B38" t="s">
        <v>754</v>
      </c>
      <c r="C38">
        <f>MAX('Population Model'!AJ4:AJ103)</f>
        <v>155.20221596667278</v>
      </c>
      <c r="D38" s="100">
        <f>MIN('Population Model'!AJ2:AJ103)</f>
        <v>29.999999999999996</v>
      </c>
      <c r="E38">
        <f>AVERAGE('Population Model'!AJ2:AJ103)</f>
        <v>116.6772036176482</v>
      </c>
      <c r="F38">
        <f t="shared" si="1"/>
        <v>77.601107983336391</v>
      </c>
      <c r="G38">
        <f t="shared" si="2"/>
        <v>77.601107983336391</v>
      </c>
      <c r="H38">
        <v>0.5</v>
      </c>
      <c r="I38">
        <f t="shared" si="7"/>
        <v>0.5</v>
      </c>
      <c r="J38">
        <f t="shared" si="8"/>
        <v>29.999999999999996</v>
      </c>
      <c r="K38">
        <f>LOOKUP($J$5,$M$3:$M$6,$V$3:$V$6)*$J$7</f>
        <v>0.05</v>
      </c>
      <c r="L38">
        <v>192</v>
      </c>
      <c r="M38">
        <f t="shared" si="4"/>
        <v>0.99807999999999997</v>
      </c>
      <c r="N38"/>
      <c r="O38">
        <f t="shared" si="6"/>
        <v>1.9200000000000328E-3</v>
      </c>
      <c r="P38">
        <v>88</v>
      </c>
      <c r="Q38">
        <v>88</v>
      </c>
      <c r="R38">
        <v>29</v>
      </c>
      <c r="S38"/>
      <c r="T38"/>
      <c r="U38"/>
      <c r="V38"/>
      <c r="Z38" s="7"/>
      <c r="AA38" s="7"/>
    </row>
    <row r="39" spans="1:27">
      <c r="A39" s="100">
        <f>A37+7</f>
        <v>42</v>
      </c>
      <c r="B39" s="100" t="s">
        <v>752</v>
      </c>
      <c r="C39" s="100">
        <f>MAX('Population Model'!AK4:AK103)</f>
        <v>149.18792716037294</v>
      </c>
      <c r="D39">
        <f>MIN('Population Model'!AK2:AK103)</f>
        <v>0</v>
      </c>
      <c r="E39" s="100">
        <f>AVERAGE('Population Model'!AK2:AK103)</f>
        <v>106.84117774995627</v>
      </c>
      <c r="F39">
        <f t="shared" si="1"/>
        <v>74.593963580186468</v>
      </c>
      <c r="G39">
        <f t="shared" si="2"/>
        <v>74.593963580186468</v>
      </c>
      <c r="H39">
        <v>0.5</v>
      </c>
      <c r="I39">
        <f t="shared" si="7"/>
        <v>0.5</v>
      </c>
      <c r="J39">
        <f t="shared" si="8"/>
        <v>0</v>
      </c>
      <c r="K39">
        <f>LOOKUP($J$5,$M$3:$M$6,$W$3:$W$6)*$J$8</f>
        <v>0</v>
      </c>
      <c r="L39">
        <v>192</v>
      </c>
      <c r="M39">
        <f t="shared" si="4"/>
        <v>0.99807999999999997</v>
      </c>
      <c r="N39">
        <f t="shared" si="5"/>
        <v>0.99807999999999997</v>
      </c>
      <c r="O39">
        <f t="shared" si="6"/>
        <v>1.9200000000000328E-3</v>
      </c>
      <c r="P39"/>
      <c r="Q39"/>
      <c r="R39"/>
      <c r="S39"/>
      <c r="T39"/>
      <c r="U39"/>
      <c r="V39"/>
      <c r="Z39" s="7"/>
      <c r="AA39" s="7"/>
    </row>
    <row r="40" spans="1:27">
      <c r="B40" t="s">
        <v>754</v>
      </c>
      <c r="C40">
        <f>MAX('Population Model'!AL4:AL103)</f>
        <v>149.18792716037294</v>
      </c>
      <c r="D40" s="100">
        <f>MIN('Population Model'!AL2:AL103)</f>
        <v>0</v>
      </c>
      <c r="E40">
        <f>AVERAGE('Population Model'!AL2:AL103)</f>
        <v>106.84117774995627</v>
      </c>
      <c r="F40">
        <f t="shared" si="1"/>
        <v>74.593963580186468</v>
      </c>
      <c r="G40">
        <f t="shared" si="2"/>
        <v>74.593963580186468</v>
      </c>
      <c r="H40">
        <v>0.5</v>
      </c>
      <c r="I40">
        <f t="shared" si="7"/>
        <v>0.5</v>
      </c>
      <c r="J40">
        <f t="shared" si="8"/>
        <v>0</v>
      </c>
      <c r="K40">
        <f>LOOKUP($J$5,$M$3:$M$6,$W$3:$W$6)*$J$7</f>
        <v>0</v>
      </c>
      <c r="L40">
        <v>192</v>
      </c>
      <c r="M40">
        <f t="shared" si="4"/>
        <v>0.99807999999999997</v>
      </c>
      <c r="N40"/>
      <c r="O40">
        <f t="shared" si="6"/>
        <v>1.9200000000000328E-3</v>
      </c>
      <c r="P40">
        <v>29</v>
      </c>
      <c r="Q40">
        <v>29</v>
      </c>
      <c r="R40">
        <v>29</v>
      </c>
      <c r="S40"/>
      <c r="T40"/>
      <c r="U40"/>
      <c r="V40"/>
      <c r="Z40" s="7"/>
      <c r="AA40" s="7"/>
    </row>
    <row r="41" spans="1:27">
      <c r="A41" s="100">
        <f>A39+7</f>
        <v>49</v>
      </c>
      <c r="B41" s="100" t="s">
        <v>752</v>
      </c>
      <c r="C41" s="100">
        <f>MAX('Population Model'!AM4:AM103)</f>
        <v>144.07733252856082</v>
      </c>
      <c r="D41">
        <f>MIN('Population Model'!AM2:AM103)</f>
        <v>0</v>
      </c>
      <c r="E41" s="100">
        <f>AVERAGE('Population Model'!AM2:AM103)</f>
        <v>97.015299027265854</v>
      </c>
      <c r="F41">
        <f t="shared" si="1"/>
        <v>72.038666264280408</v>
      </c>
      <c r="G41">
        <f t="shared" si="2"/>
        <v>72.038666264280408</v>
      </c>
      <c r="H41">
        <v>0.5</v>
      </c>
      <c r="I41">
        <f t="shared" si="7"/>
        <v>0.5</v>
      </c>
      <c r="J41">
        <f t="shared" si="8"/>
        <v>0</v>
      </c>
      <c r="K41">
        <f>LOOKUP($J$5,$M$3:$M$6,$X$3:$X$6)*$J$8</f>
        <v>0</v>
      </c>
      <c r="L41">
        <v>192</v>
      </c>
      <c r="M41">
        <f t="shared" si="4"/>
        <v>0.99807999999999997</v>
      </c>
      <c r="N41">
        <f t="shared" si="5"/>
        <v>0.99807999999999997</v>
      </c>
      <c r="O41">
        <f t="shared" si="6"/>
        <v>1.9200000000000328E-3</v>
      </c>
      <c r="P41"/>
      <c r="Q41"/>
      <c r="R41"/>
      <c r="S41"/>
      <c r="T41"/>
      <c r="U41"/>
      <c r="V41"/>
      <c r="Z41" s="7"/>
      <c r="AA41" s="7"/>
    </row>
    <row r="42" spans="1:27">
      <c r="B42" t="s">
        <v>754</v>
      </c>
      <c r="C42">
        <f>MAX('Population Model'!AN4:AN103)</f>
        <v>144.07733252856082</v>
      </c>
      <c r="D42" s="100">
        <f>MIN('Population Model'!AN2:AN103)</f>
        <v>0</v>
      </c>
      <c r="E42">
        <f>AVERAGE('Population Model'!AN2:AN103)</f>
        <v>97.015299027265854</v>
      </c>
      <c r="F42">
        <f t="shared" si="1"/>
        <v>72.038666264280408</v>
      </c>
      <c r="G42">
        <f t="shared" si="2"/>
        <v>72.038666264280408</v>
      </c>
      <c r="H42">
        <v>0.5</v>
      </c>
      <c r="I42">
        <f t="shared" si="7"/>
        <v>0.5</v>
      </c>
      <c r="J42">
        <f t="shared" si="8"/>
        <v>0</v>
      </c>
      <c r="K42">
        <f>LOOKUP($J$5,$M$3:$M$6,$X$3:$X$6)*$J$7</f>
        <v>0</v>
      </c>
      <c r="L42">
        <v>192</v>
      </c>
      <c r="M42">
        <f t="shared" si="4"/>
        <v>0.99807999999999997</v>
      </c>
      <c r="N42"/>
      <c r="O42">
        <f t="shared" si="6"/>
        <v>1.9200000000000328E-3</v>
      </c>
      <c r="P42">
        <v>29</v>
      </c>
      <c r="Q42">
        <v>29</v>
      </c>
      <c r="R42">
        <v>29</v>
      </c>
      <c r="S42"/>
      <c r="T42"/>
      <c r="U42"/>
      <c r="V42"/>
      <c r="Z42" s="7"/>
      <c r="AA42" s="7"/>
    </row>
    <row r="43" spans="1:27">
      <c r="A43" s="6">
        <f>A41+7</f>
        <v>56</v>
      </c>
      <c r="C43">
        <f>MAX('Population Model'!AO4:AO103)</f>
        <v>270.97016599120752</v>
      </c>
      <c r="D43">
        <f>MIN('Population Model'!AO2:AO103)</f>
        <v>0</v>
      </c>
      <c r="E43" s="100">
        <f>AVERAGE('Population Model'!AO2:AO103)</f>
        <v>169.47439258633315</v>
      </c>
      <c r="F43">
        <f t="shared" si="1"/>
        <v>108.38806639648301</v>
      </c>
      <c r="G43">
        <f t="shared" si="2"/>
        <v>162.5820995947245</v>
      </c>
      <c r="H43">
        <v>0.4</v>
      </c>
      <c r="I43">
        <f t="shared" si="7"/>
        <v>0.6</v>
      </c>
      <c r="J43">
        <f t="shared" si="8"/>
        <v>0</v>
      </c>
      <c r="K43">
        <f>LOOKUP($J$5,$M$3:$M$6,$Y$3:$Y$6)*$J$8</f>
        <v>0</v>
      </c>
      <c r="L43">
        <v>725</v>
      </c>
      <c r="M43">
        <f t="shared" si="4"/>
        <v>0.99275000000000002</v>
      </c>
      <c r="N43">
        <f t="shared" si="5"/>
        <v>0.99275000000000002</v>
      </c>
      <c r="O43">
        <f t="shared" si="6"/>
        <v>7.2499999999999787E-3</v>
      </c>
      <c r="P43"/>
      <c r="Q43"/>
      <c r="R43"/>
      <c r="S43"/>
      <c r="T43"/>
      <c r="U43"/>
      <c r="V43"/>
      <c r="Z43" s="7"/>
      <c r="AA43" s="7"/>
    </row>
    <row r="44" spans="1:27">
      <c r="A44" s="6">
        <f>A43+7</f>
        <v>63</v>
      </c>
      <c r="C44">
        <f>MAX('Population Model'!AP4:AP103)</f>
        <v>254.08089447909742</v>
      </c>
      <c r="D44">
        <f>MIN('Population Model'!AQ2:AQ103)</f>
        <v>0</v>
      </c>
      <c r="E44">
        <f>AVERAGE('Population Model'!AP2:AP103)</f>
        <v>145.39696433237344</v>
      </c>
      <c r="F44">
        <f t="shared" si="1"/>
        <v>76.224268343729221</v>
      </c>
      <c r="G44">
        <f t="shared" si="2"/>
        <v>177.85662613536817</v>
      </c>
      <c r="H44">
        <v>0.3</v>
      </c>
      <c r="I44">
        <f t="shared" si="7"/>
        <v>0.7</v>
      </c>
      <c r="J44">
        <f t="shared" si="3"/>
        <v>0</v>
      </c>
      <c r="K44">
        <f>LOOKUP($J$5,$M$3:$M$6,$Y$3:$Y$6)*$J$7</f>
        <v>0</v>
      </c>
      <c r="L44">
        <v>725</v>
      </c>
      <c r="M44">
        <f t="shared" si="4"/>
        <v>0.99275000000000002</v>
      </c>
      <c r="N44">
        <f t="shared" si="5"/>
        <v>0.99275000000000002</v>
      </c>
      <c r="O44">
        <f t="shared" si="6"/>
        <v>7.2499999999999787E-3</v>
      </c>
      <c r="P44"/>
      <c r="Q44"/>
      <c r="R44"/>
      <c r="S44"/>
      <c r="T44"/>
      <c r="U44"/>
      <c r="V44"/>
      <c r="Z44" s="7"/>
      <c r="AA44" s="7"/>
    </row>
    <row r="45" spans="1:27">
      <c r="A45" s="6">
        <f>A44+7</f>
        <v>70</v>
      </c>
      <c r="C45">
        <f>MAX('Population Model'!AQ4:AQ103)</f>
        <v>192.04815912185475</v>
      </c>
      <c r="D45">
        <f>MIN('Population Model'!AR2:AR103)</f>
        <v>0</v>
      </c>
      <c r="E45">
        <f>AVERAGE('Population Model'!AQ2:AQ103)</f>
        <v>100.89780512271973</v>
      </c>
      <c r="F45">
        <f t="shared" si="1"/>
        <v>19.204815912185477</v>
      </c>
      <c r="G45">
        <f t="shared" si="2"/>
        <v>172.84334320966929</v>
      </c>
      <c r="H45">
        <v>0.1</v>
      </c>
      <c r="I45">
        <f t="shared" si="7"/>
        <v>0.9</v>
      </c>
      <c r="J45">
        <f t="shared" si="3"/>
        <v>0</v>
      </c>
      <c r="K45">
        <f>LOOKUP($J$5,$M$3:$M$6,$Z$3:$Z$6)*0.7</f>
        <v>0</v>
      </c>
      <c r="L45">
        <v>5052</v>
      </c>
      <c r="M45">
        <f t="shared" si="4"/>
        <v>0.94947999999999999</v>
      </c>
      <c r="N45">
        <f t="shared" si="5"/>
        <v>0.94947999999999999</v>
      </c>
      <c r="O45">
        <f t="shared" si="6"/>
        <v>5.0520000000000009E-2</v>
      </c>
      <c r="P45"/>
      <c r="Q45"/>
      <c r="R45"/>
      <c r="S45"/>
      <c r="T45"/>
      <c r="U45"/>
      <c r="V45"/>
      <c r="Z45" s="7"/>
      <c r="AA45" s="7"/>
    </row>
    <row r="46" spans="1:27">
      <c r="A46" s="6">
        <v>77</v>
      </c>
      <c r="C46">
        <f>MAX('Population Model'!AR4:AR103)</f>
        <v>459.02045826168802</v>
      </c>
      <c r="D46">
        <f>MIN('Population Model'!AS3:AS103)</f>
        <v>0</v>
      </c>
      <c r="E46">
        <f>AVERAGE('Population Model'!AR2:AR103)</f>
        <v>181.36934243899933</v>
      </c>
      <c r="F46">
        <f t="shared" si="1"/>
        <v>45.902045826168802</v>
      </c>
      <c r="G46">
        <f t="shared" si="2"/>
        <v>413.11841243551925</v>
      </c>
      <c r="H46">
        <v>0.1</v>
      </c>
      <c r="I46">
        <f t="shared" si="7"/>
        <v>0.9</v>
      </c>
      <c r="J46">
        <f t="shared" si="3"/>
        <v>0</v>
      </c>
      <c r="K46">
        <f>LOOKUP($J$5,$M$3:$M$6,$Z$3:$Z$6)*0.7</f>
        <v>0</v>
      </c>
      <c r="L46">
        <v>5052</v>
      </c>
      <c r="M46">
        <f t="shared" si="4"/>
        <v>0.94947999999999999</v>
      </c>
      <c r="N46">
        <f t="shared" si="5"/>
        <v>0.94947999999999999</v>
      </c>
      <c r="O46">
        <f t="shared" si="6"/>
        <v>5.0520000000000009E-2</v>
      </c>
      <c r="P46"/>
      <c r="Q46"/>
      <c r="R46"/>
      <c r="S46"/>
      <c r="T46"/>
      <c r="U46"/>
      <c r="V46"/>
      <c r="Z46" s="7"/>
      <c r="AA46" s="7"/>
    </row>
    <row r="47" spans="1:27">
      <c r="A47">
        <v>84</v>
      </c>
      <c r="L47">
        <v>5052</v>
      </c>
      <c r="M47">
        <f t="shared" si="4"/>
        <v>0.94947999999999999</v>
      </c>
      <c r="N47">
        <f t="shared" si="5"/>
        <v>0.94947999999999999</v>
      </c>
      <c r="O47">
        <f t="shared" ref="O47" si="9">1-M47</f>
        <v>5.0520000000000009E-2</v>
      </c>
      <c r="X47"/>
      <c r="Y47"/>
    </row>
    <row r="48" spans="1:27">
      <c r="A48">
        <v>91</v>
      </c>
      <c r="L48">
        <v>5052</v>
      </c>
      <c r="M48"/>
      <c r="N48">
        <f t="shared" ref="N48:N50" si="10">POWER(M48,7)</f>
        <v>0</v>
      </c>
      <c r="X48"/>
      <c r="Y48"/>
    </row>
    <row r="49" spans="1:28">
      <c r="A49" s="6">
        <v>100</v>
      </c>
      <c r="L49">
        <v>5052</v>
      </c>
      <c r="M49"/>
      <c r="N49">
        <f t="shared" si="10"/>
        <v>0</v>
      </c>
      <c r="X49"/>
      <c r="Y49"/>
    </row>
    <row r="50" spans="1:28">
      <c r="A50" s="6">
        <v>107</v>
      </c>
      <c r="L50">
        <v>5052</v>
      </c>
      <c r="M50"/>
      <c r="N50">
        <f t="shared" si="10"/>
        <v>0</v>
      </c>
      <c r="X50"/>
      <c r="Y50"/>
    </row>
    <row r="52" spans="1:28">
      <c r="A52" t="s">
        <v>1011</v>
      </c>
      <c r="F52" s="7">
        <v>12</v>
      </c>
      <c r="Z52" s="7"/>
      <c r="AA52" s="7"/>
      <c r="AB52" s="7"/>
    </row>
    <row r="53" spans="1:28">
      <c r="A53" s="7">
        <v>1</v>
      </c>
      <c r="B53" s="7">
        <v>7.6999999999999999E-2</v>
      </c>
      <c r="D53" s="7" t="s">
        <v>1012</v>
      </c>
      <c r="E53" s="7" t="s">
        <v>1013</v>
      </c>
      <c r="F53" s="7" t="s">
        <v>1014</v>
      </c>
      <c r="Z53" s="7"/>
      <c r="AA53" s="7"/>
      <c r="AB53" s="7"/>
    </row>
    <row r="54" spans="1:28">
      <c r="A54" s="7">
        <v>2</v>
      </c>
      <c r="B54" s="7">
        <v>1.228</v>
      </c>
      <c r="C54" s="7">
        <v>0</v>
      </c>
      <c r="D54" s="7">
        <v>1</v>
      </c>
      <c r="E54" s="7">
        <v>1</v>
      </c>
      <c r="F54" s="7">
        <f>E54*$F$52</f>
        <v>12</v>
      </c>
      <c r="Z54" s="7"/>
      <c r="AA54" s="7"/>
      <c r="AB54" s="7"/>
    </row>
    <row r="55" spans="1:28">
      <c r="A55" s="7">
        <v>3</v>
      </c>
      <c r="B55" s="7">
        <v>6.218</v>
      </c>
      <c r="C55" s="7">
        <f>C54+1</f>
        <v>1</v>
      </c>
      <c r="D55" s="7">
        <f>F54*0.5*0.85</f>
        <v>5.0999999999999996</v>
      </c>
      <c r="E55" s="7">
        <f>F54*0.5*0.85</f>
        <v>5.0999999999999996</v>
      </c>
      <c r="F55" s="7">
        <f t="shared" ref="F55:F58" si="11">E55*$F$52</f>
        <v>61.199999999999996</v>
      </c>
      <c r="G55" s="7">
        <f>F55*4</f>
        <v>244.79999999999998</v>
      </c>
      <c r="Z55" s="7"/>
      <c r="AA55" s="7"/>
      <c r="AB55" s="7"/>
    </row>
    <row r="56" spans="1:28">
      <c r="A56" s="7">
        <v>4</v>
      </c>
      <c r="B56" s="7">
        <v>19.649999999999999</v>
      </c>
      <c r="C56" s="7">
        <f>C55+1</f>
        <v>2</v>
      </c>
      <c r="D56" s="7">
        <f t="shared" ref="D56:D58" si="12">F55*0.5*0.85</f>
        <v>26.009999999999998</v>
      </c>
      <c r="E56" s="7">
        <f t="shared" ref="E56:E58" si="13">F55*0.5*0.85</f>
        <v>26.009999999999998</v>
      </c>
      <c r="F56" s="7">
        <f t="shared" si="11"/>
        <v>312.12</v>
      </c>
      <c r="Z56" s="7"/>
      <c r="AA56" s="7"/>
      <c r="AB56" s="7"/>
    </row>
    <row r="57" spans="1:28">
      <c r="A57" s="7">
        <v>5</v>
      </c>
      <c r="B57" s="7">
        <v>47.98</v>
      </c>
      <c r="C57" s="7">
        <f>C56+1</f>
        <v>3</v>
      </c>
      <c r="D57" s="7">
        <f t="shared" si="12"/>
        <v>132.65100000000001</v>
      </c>
      <c r="E57" s="7">
        <f t="shared" si="13"/>
        <v>132.65100000000001</v>
      </c>
      <c r="F57" s="7">
        <f t="shared" si="11"/>
        <v>1591.8120000000001</v>
      </c>
      <c r="Z57" s="7"/>
      <c r="AA57" s="7"/>
      <c r="AB57" s="7"/>
    </row>
    <row r="58" spans="1:28">
      <c r="A58" s="7">
        <v>6</v>
      </c>
      <c r="B58" s="7">
        <v>99.49</v>
      </c>
      <c r="C58" s="7">
        <f>C57+1</f>
        <v>4</v>
      </c>
      <c r="D58" s="7">
        <f t="shared" si="12"/>
        <v>676.52010000000007</v>
      </c>
      <c r="E58" s="7">
        <f t="shared" si="13"/>
        <v>676.52010000000007</v>
      </c>
      <c r="F58" s="7">
        <f t="shared" si="11"/>
        <v>8118.2412000000004</v>
      </c>
      <c r="Z58" s="7"/>
      <c r="AA58" s="7"/>
      <c r="AB58" s="7"/>
    </row>
    <row r="59" spans="1:28">
      <c r="A59" s="7">
        <v>7</v>
      </c>
      <c r="B59" s="7">
        <v>184.3</v>
      </c>
      <c r="AB59" s="7"/>
    </row>
    <row r="60" spans="1:28">
      <c r="A60" s="7">
        <v>8</v>
      </c>
      <c r="B60" s="7">
        <v>314.39999999999998</v>
      </c>
    </row>
    <row r="61" spans="1:28">
      <c r="A61" s="7">
        <v>9</v>
      </c>
      <c r="B61" s="7">
        <v>503.7</v>
      </c>
    </row>
    <row r="62" spans="1:28">
      <c r="A62" s="7">
        <v>10</v>
      </c>
      <c r="B62" s="7">
        <v>767.7</v>
      </c>
    </row>
    <row r="63" spans="1:28">
      <c r="A63" s="7">
        <v>11</v>
      </c>
      <c r="B63" s="7">
        <v>1124</v>
      </c>
    </row>
    <row r="64" spans="1:28">
      <c r="A64" s="7">
        <v>12</v>
      </c>
      <c r="B64" s="7">
        <v>1592</v>
      </c>
    </row>
    <row r="122" spans="22:22">
      <c r="V122" s="12"/>
    </row>
  </sheetData>
  <sortState ref="L9:M12">
    <sortCondition ref="L9:L12"/>
  </sortState>
  <mergeCells count="1">
    <mergeCell ref="Q27:S27"/>
  </mergeCells>
  <pageMargins left="0.7" right="0.7" top="0.75" bottom="0.75" header="0.3" footer="0.3"/>
  <pageSetup orientation="portrait" horizontalDpi="0" verticalDpi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3A4D1-6DA0-1041-9684-297154DE9F89}">
  <dimension ref="A1:AR115"/>
  <sheetViews>
    <sheetView workbookViewId="0">
      <selection activeCell="G1" sqref="G1"/>
    </sheetView>
  </sheetViews>
  <sheetFormatPr baseColWidth="10" defaultRowHeight="16"/>
  <cols>
    <col min="1" max="1" width="4.83203125" customWidth="1"/>
    <col min="2" max="2" width="9.83203125" bestFit="1" customWidth="1"/>
    <col min="3" max="3" width="9.83203125" customWidth="1"/>
    <col min="4" max="6" width="5.83203125" customWidth="1"/>
    <col min="7" max="7" width="6" bestFit="1" customWidth="1"/>
    <col min="8" max="10" width="5.83203125" customWidth="1"/>
    <col min="11" max="11" width="8.33203125" bestFit="1" customWidth="1"/>
    <col min="12" max="12" width="7" customWidth="1"/>
    <col min="13" max="14" width="5.83203125" customWidth="1"/>
    <col min="15" max="15" width="7.5" bestFit="1" customWidth="1"/>
    <col min="16" max="16" width="6.6640625" bestFit="1" customWidth="1"/>
    <col min="17" max="17" width="6.6640625" customWidth="1"/>
    <col min="18" max="18" width="6.6640625" bestFit="1" customWidth="1"/>
    <col min="19" max="19" width="5.83203125" customWidth="1"/>
    <col min="20" max="20" width="8.33203125" bestFit="1" customWidth="1"/>
    <col min="21" max="21" width="6.6640625" customWidth="1"/>
    <col min="22" max="23" width="5.33203125" customWidth="1"/>
    <col min="24" max="26" width="6.5" customWidth="1"/>
    <col min="27" max="43" width="5.83203125" customWidth="1"/>
    <col min="44" max="44" width="8.33203125" bestFit="1" customWidth="1"/>
  </cols>
  <sheetData>
    <row r="1" spans="1:44">
      <c r="A1" s="8" t="s">
        <v>12</v>
      </c>
      <c r="B1" s="8" t="s">
        <v>150</v>
      </c>
      <c r="C1" s="8" t="s">
        <v>822</v>
      </c>
      <c r="D1" s="8" t="s">
        <v>37</v>
      </c>
      <c r="E1" s="8" t="s">
        <v>827</v>
      </c>
      <c r="F1" s="8" t="s">
        <v>802</v>
      </c>
      <c r="G1" s="8" t="s">
        <v>1064</v>
      </c>
      <c r="H1" s="8" t="s">
        <v>43</v>
      </c>
      <c r="I1" s="8" t="s">
        <v>45</v>
      </c>
      <c r="J1" s="8" t="s">
        <v>42</v>
      </c>
      <c r="K1" s="8" t="s">
        <v>30</v>
      </c>
      <c r="L1" s="8" t="s">
        <v>656</v>
      </c>
      <c r="M1" s="8" t="s">
        <v>253</v>
      </c>
      <c r="N1" s="8" t="s">
        <v>69</v>
      </c>
      <c r="O1" s="8" t="s">
        <v>794</v>
      </c>
      <c r="P1" s="8"/>
      <c r="Q1" s="8"/>
      <c r="R1" s="8"/>
      <c r="S1" s="8" t="s">
        <v>33</v>
      </c>
      <c r="T1" s="8"/>
      <c r="U1" s="8" t="s">
        <v>789</v>
      </c>
      <c r="V1" s="8" t="s">
        <v>791</v>
      </c>
      <c r="W1" s="8" t="s">
        <v>790</v>
      </c>
      <c r="X1" s="8" t="s">
        <v>784</v>
      </c>
      <c r="Y1" s="8" t="s">
        <v>786</v>
      </c>
      <c r="Z1" s="8"/>
      <c r="AA1" s="9">
        <v>0</v>
      </c>
      <c r="AB1" s="10">
        <f>AA1+7</f>
        <v>7</v>
      </c>
      <c r="AC1" s="163">
        <f>AB1+7</f>
        <v>14</v>
      </c>
      <c r="AD1" s="163"/>
      <c r="AE1" s="163">
        <f>AC1+7</f>
        <v>21</v>
      </c>
      <c r="AF1" s="163"/>
      <c r="AG1" s="163">
        <f>AE1+7</f>
        <v>28</v>
      </c>
      <c r="AH1" s="163"/>
      <c r="AI1" s="163">
        <f>AG1+7</f>
        <v>35</v>
      </c>
      <c r="AJ1" s="163"/>
      <c r="AK1" s="163">
        <f>AI1+7</f>
        <v>42</v>
      </c>
      <c r="AL1" s="163"/>
      <c r="AM1" s="163">
        <f>AK1+7</f>
        <v>49</v>
      </c>
      <c r="AN1" s="163"/>
      <c r="AO1" s="6">
        <f>AM1+7</f>
        <v>56</v>
      </c>
      <c r="AP1" s="6">
        <f>AO1+7</f>
        <v>63</v>
      </c>
      <c r="AQ1" s="6">
        <f>AP1+7</f>
        <v>70</v>
      </c>
      <c r="AR1" s="6" t="s">
        <v>44</v>
      </c>
    </row>
    <row r="2" spans="1:44">
      <c r="A2" s="101"/>
      <c r="B2" s="102">
        <f>FLOOR(SUM(AA2:AR2),1)</f>
        <v>600</v>
      </c>
      <c r="C2" s="102"/>
      <c r="D2" s="102">
        <v>0</v>
      </c>
      <c r="E2" s="102"/>
      <c r="F2" s="102"/>
      <c r="G2" s="101"/>
      <c r="H2" s="103">
        <f>FLOOR(AF2+AH2+AJ2+AL2+AN2,1)</f>
        <v>300</v>
      </c>
      <c r="I2" s="103"/>
      <c r="J2" s="102"/>
      <c r="K2" s="101"/>
      <c r="L2" s="102">
        <f>SUM(G1:G2)/H2</f>
        <v>0</v>
      </c>
      <c r="M2" s="102">
        <f>(AE2+AF2+AG2+AH2+AI2+AJ2)/21*0.5</f>
        <v>14.285714285714283</v>
      </c>
      <c r="N2" s="102">
        <f t="shared" ref="N2:N33" si="0">I2/B2</f>
        <v>0</v>
      </c>
      <c r="O2" s="102" t="s">
        <v>793</v>
      </c>
      <c r="P2" s="102" t="s">
        <v>795</v>
      </c>
      <c r="Q2" s="102" t="s">
        <v>880</v>
      </c>
      <c r="R2" s="102"/>
      <c r="S2" s="102">
        <f>SUM(AR2:AR2)/B2</f>
        <v>0</v>
      </c>
      <c r="T2" s="102">
        <f t="shared" ref="T2:T33" si="1">X2/H2</f>
        <v>0</v>
      </c>
      <c r="U2" s="102"/>
      <c r="V2" s="102"/>
      <c r="W2" s="102"/>
      <c r="X2" s="102">
        <f>Population!J12</f>
        <v>0</v>
      </c>
      <c r="Y2" s="103">
        <f>(AE2+AG2+AI2+AK2+AM2)-X2</f>
        <v>299.99999999999994</v>
      </c>
      <c r="Z2" s="103">
        <f>(AF2+AH2+AJ2+AL2+AN2)-X2</f>
        <v>299.99999999999994</v>
      </c>
      <c r="AA2" s="18">
        <f>Population!J29</f>
        <v>0</v>
      </c>
      <c r="AB2" s="18">
        <f>Population!J30</f>
        <v>0</v>
      </c>
      <c r="AC2" s="14">
        <f>Population!J31</f>
        <v>0</v>
      </c>
      <c r="AD2" s="13">
        <f>Population!J32</f>
        <v>0</v>
      </c>
      <c r="AE2" s="14">
        <f>Population!J33</f>
        <v>149.99999999999997</v>
      </c>
      <c r="AF2" s="13">
        <f>Population!J34</f>
        <v>149.99999999999997</v>
      </c>
      <c r="AG2" s="14">
        <f>Population!J35</f>
        <v>119.99999999999999</v>
      </c>
      <c r="AH2" s="13">
        <f>Population!J36</f>
        <v>119.99999999999999</v>
      </c>
      <c r="AI2" s="14">
        <f>Population!J37</f>
        <v>29.999999999999996</v>
      </c>
      <c r="AJ2" s="13">
        <f>Population!J38</f>
        <v>29.999999999999996</v>
      </c>
      <c r="AK2" s="14">
        <f>Population!J39</f>
        <v>0</v>
      </c>
      <c r="AL2" s="13">
        <f>Population!J40</f>
        <v>0</v>
      </c>
      <c r="AM2" s="14">
        <f>Population!J41</f>
        <v>0</v>
      </c>
      <c r="AN2" s="13">
        <f>Population!J42</f>
        <v>0</v>
      </c>
      <c r="AO2" s="15">
        <f>Population!J43</f>
        <v>0</v>
      </c>
      <c r="AP2" s="15">
        <f>Population!J44</f>
        <v>0</v>
      </c>
      <c r="AQ2" s="5">
        <f>Population!J45</f>
        <v>0</v>
      </c>
      <c r="AR2" s="5">
        <f>Population!J46</f>
        <v>0</v>
      </c>
    </row>
    <row r="3" spans="1:44">
      <c r="A3">
        <v>0</v>
      </c>
      <c r="B3" s="4">
        <f>FLOOR(SUM(AA3:AR3),1)</f>
        <v>599</v>
      </c>
      <c r="C3" s="54">
        <f t="shared" ref="C3:C34" si="2">FLOOR(B3-I3-G3-SUM(AO3:AR3),1)</f>
        <v>599</v>
      </c>
      <c r="D3" s="12">
        <f>AD2*Population!$P$32*Population!$C$2+AF2*Population!$P$34*Population!$C$2+AH2*Population!$P$36*Population!$C$2+AJ2*Population!$P$38*Population!$C$2+AL2*Population!$P$40*Population!$C$2+AN1*Population!$P$42*Population!$C$2</f>
        <v>26.4</v>
      </c>
      <c r="E3" s="12">
        <f>IF(B2&gt;Population!$B$6*Population!$B$15,Population!$B$8,IF(Population!$J$6=1,D3,Population!$B$8*Population!$B$6*0.9/B2))</f>
        <v>160.39239730753289</v>
      </c>
      <c r="F3" s="12">
        <f>IF(B2&gt;Population!$B$6*0.75,Population!$B$8,E3)</f>
        <v>160.39239730753289</v>
      </c>
      <c r="G3" s="15">
        <f>IF(Population!$J$6=1,IF(E3&gt;H2,H2,E3),IF(E3&gt;X2,X2,E3))</f>
        <v>0</v>
      </c>
      <c r="H3" s="15">
        <f>FLOOR(AF2+AH2+AJ2+AL2+AN2,1)</f>
        <v>300</v>
      </c>
      <c r="I3" s="15">
        <f>FLOOR(SUM(AA2:AD2),1)</f>
        <v>0</v>
      </c>
      <c r="J3" s="12">
        <f t="shared" ref="J3:J33" si="3">I3/H3</f>
        <v>0</v>
      </c>
      <c r="K3" s="12">
        <f>AA3*Population!$O$29+AB3*Population!$O$30+AC3*Population!$O$31+AD3*Population!$O$32+AE3*Population!$O$33+AF3*Population!$O$34+AG3*Population!$O$35+AH3*Population!$O$36+AI3*Population!$O$37+AJ3*Population!$O$38+AK3*Population!$O$39+AL3*Population!$O$40+AM3*Population!$O$41+AN3*Population!$O$42+AO3*Population!$O$43+AP3*Population!$O$44+AQ3*Population!$O$45+AR3*Population!$O$46</f>
        <v>0.90192497940000627</v>
      </c>
      <c r="L3" s="12">
        <f>G3/H3</f>
        <v>0</v>
      </c>
      <c r="M3" s="12">
        <f>(AE2+AF2+AG2+AH2+AI2+AJ2)/21*0.5</f>
        <v>14.285714285714283</v>
      </c>
      <c r="N3" s="12">
        <f t="shared" si="0"/>
        <v>0</v>
      </c>
      <c r="O3" s="12">
        <f>B3-I3-P3*2-Q3*2</f>
        <v>449</v>
      </c>
      <c r="P3" s="12">
        <f>CEILING(I3/2.4,1)</f>
        <v>0</v>
      </c>
      <c r="Q3" s="12">
        <f>X3-P3</f>
        <v>74.999999999999986</v>
      </c>
      <c r="R3" s="12">
        <f>SUM(AR2:AR2)</f>
        <v>0</v>
      </c>
      <c r="S3" s="12">
        <f>SUM(AR2:AR2)/B3</f>
        <v>0</v>
      </c>
      <c r="T3" s="12">
        <f t="shared" si="1"/>
        <v>0.24999999999999994</v>
      </c>
      <c r="U3" s="12">
        <f>Population!$B$13*MIN(Y2:Z2)</f>
        <v>74.999999999999986</v>
      </c>
      <c r="V3" s="12">
        <f>X2*Population!$B$14</f>
        <v>0</v>
      </c>
      <c r="W3" s="12">
        <f>AN2*T2*Population!$B$12</f>
        <v>0</v>
      </c>
      <c r="X3" s="12">
        <f>X2+U3-W3-V3</f>
        <v>74.999999999999986</v>
      </c>
      <c r="Y3" s="14">
        <f>(AE2+AG2+AI2+AK2+AM2)-X3</f>
        <v>224.99999999999994</v>
      </c>
      <c r="Z3" s="13">
        <f>(AF2+AH2+AJ2+AL2+AN2)-X3</f>
        <v>224.99999999999994</v>
      </c>
      <c r="AA3" s="18">
        <f>G3+Population!$B$11*AA2*Population!M$29</f>
        <v>0</v>
      </c>
      <c r="AB3" s="18">
        <f>AA2*Population!$B$12*Population!$M$29+AB2*Population!$B$11*Population!$M$30</f>
        <v>0</v>
      </c>
      <c r="AC3" s="14">
        <f>(AB2*Population!$B$12*0.5*Population!$M$30)+(AC2*Population!$B$11*Population!M$31)</f>
        <v>0</v>
      </c>
      <c r="AD3" s="13">
        <f>(AB2*Population!$B$12*0.5*Population!$M$30)+(AD2*Population!$B$11*Population!M$31)</f>
        <v>0</v>
      </c>
      <c r="AE3" s="14">
        <f>(AC2*Population!$B$12*Population!M$31)+(AE2*Population!$B$11*Population!M$33)</f>
        <v>128.44889999999998</v>
      </c>
      <c r="AF3" s="13">
        <f>(AD2*Population!$B$12*Population!M$31)+(AF2*Population!$B$11*Population!M$33)</f>
        <v>128.44889999999998</v>
      </c>
      <c r="AG3" s="14">
        <f>(AE2*Population!$B$12*Population!M$33)+(AG2*Population!$B$11*Population!M$35)</f>
        <v>124.06780714285712</v>
      </c>
      <c r="AH3" s="13">
        <f>(AF2*Population!$B$12*Population!M$33)+(AH2*Population!$B$11*Population!M$35)</f>
        <v>124.06780714285712</v>
      </c>
      <c r="AI3" s="14">
        <f>(AG2*Population!$B$12*Population!M$35)+(AI2*Population!$B$11*Population!M$37)</f>
        <v>42.77485714285713</v>
      </c>
      <c r="AJ3" s="13">
        <f>(AH2*Population!$B$12*Population!M$35)+(AJ2*Population!$B$11*Population!M$37)</f>
        <v>42.77485714285713</v>
      </c>
      <c r="AK3" s="14">
        <f>(AI2*Population!$B$12*Population!M$37)+(AK2*Population!$B$11*Population!M$39)</f>
        <v>4.2774857142857128</v>
      </c>
      <c r="AL3" s="13">
        <f>(AJ2*Population!$B$12*Population!M$37)+(AL2*Population!$B$11*Population!M$39)</f>
        <v>4.2774857142857128</v>
      </c>
      <c r="AM3" s="14">
        <f>(AK2*Population!$B$12*Population!M$39)+(AM2*Population!$B$11*Population!M$41)</f>
        <v>0</v>
      </c>
      <c r="AN3" s="13">
        <f>(AL2*Population!$B$12*Population!M$39)+(AN2*Population!$B$11*Population!M$41)</f>
        <v>0</v>
      </c>
      <c r="AO3" s="15">
        <f>(AM2+AN2)*Population!$B$12*Population!$M$41+AO2*Population!$B$11*Population!$M$43</f>
        <v>0</v>
      </c>
      <c r="AP3" s="5">
        <f>AO2*Population!M$43*Population!$B$12+AP2*Population!$B$11*Population!M$44</f>
        <v>0</v>
      </c>
      <c r="AQ3" s="5">
        <f>AP2*Population!M$44*Population!$B$12+AQ2*Population!$B$11*Population!M$45</f>
        <v>0</v>
      </c>
      <c r="AR3" s="5">
        <f>(AQ2*Population!$B$12+AR2)*Population!M$46</f>
        <v>0</v>
      </c>
    </row>
    <row r="4" spans="1:44">
      <c r="A4">
        <f>A3+Population!$B$2</f>
        <v>1</v>
      </c>
      <c r="B4" s="4">
        <f t="shared" ref="B4:B67" si="4">FLOOR(SUM(AA4:AR4),1)</f>
        <v>673</v>
      </c>
      <c r="C4" s="54">
        <f t="shared" si="2"/>
        <v>524</v>
      </c>
      <c r="D4" s="12">
        <f>AD3*Population!$P$32*Population!$C$2+AF3*Population!$P$34*Population!$C$2+AH3*Population!$P$36*Population!$C$2+AJ3*Population!$P$38*Population!$C$2+AL3*Population!$P$40*Population!$C$2+AN2*Population!$P$42*Population!$C$2</f>
        <v>26.10970474285714</v>
      </c>
      <c r="E4" s="12">
        <f>IF(B3&gt;Population!$B$6*Population!$B$15,Population!$B$8,IF(Population!$J$6=1,D4,Population!$B$8*Population!$B$6*0.9/B3))</f>
        <v>160.66016424794611</v>
      </c>
      <c r="F4" s="12">
        <f>IF(B3&gt;Population!$B$6*0.75,Population!$B$8,E4)</f>
        <v>160.66016424794611</v>
      </c>
      <c r="G4" s="15">
        <f>IF(Population!$J$6=1,IF(E4&gt;H3,H3,E4),IF(E4&gt;X3,X3,E4))</f>
        <v>74.999999999999986</v>
      </c>
      <c r="H4" s="15">
        <f t="shared" ref="H4:H35" si="5">FLOOR(AF4+AH4+AJ4+AL4+AN4,1)</f>
        <v>299</v>
      </c>
      <c r="I4" s="15">
        <f t="shared" ref="I4:I35" si="6">FLOOR(SUM(AA4:AD4),1)</f>
        <v>74</v>
      </c>
      <c r="J4" s="12">
        <f t="shared" si="3"/>
        <v>0.24749163879598662</v>
      </c>
      <c r="K4" s="12">
        <f>AA4*Population!$O$29+AB4*Population!$O$30+AC4*Population!$O$31+AD4*Population!$O$32+AE4*Population!$O$33+AF4*Population!$O$34+AG4*Population!$O$35+AH4*Population!$O$36+AI4*Population!$O$37+AJ4*Population!$O$38+AK4*Population!$O$39+AL4*Population!$O$40+AM4*Population!$O$41+AN4*Population!$O$42+AO4*Population!$O$43+AP4*Population!$O$44+AQ4*Population!$O$45+AR4*Population!$O$46</f>
        <v>0.9663224406176939</v>
      </c>
      <c r="L4" s="12">
        <f t="shared" ref="L4:L67" si="7">G4/H4</f>
        <v>0.25083612040133774</v>
      </c>
      <c r="M4" s="12">
        <f t="shared" ref="M4:M35" si="8">(AE4+AF4+AG4+AH4+AI4+AJ4)/21*0.5</f>
        <v>13.749993010632357</v>
      </c>
      <c r="N4" s="12">
        <f t="shared" si="0"/>
        <v>0.10995542347696879</v>
      </c>
      <c r="O4" s="12">
        <f t="shared" ref="O4:O67" si="9">B4-I4-P4*2-Q4*2</f>
        <v>337.40000000000003</v>
      </c>
      <c r="P4" s="12">
        <f t="shared" ref="P4:P67" si="10">CEILING(I4/2.4,1)</f>
        <v>31</v>
      </c>
      <c r="Q4" s="12">
        <f t="shared" ref="Q4:Q67" si="11">X4-P4</f>
        <v>99.799999999999983</v>
      </c>
      <c r="R4" s="12">
        <f t="shared" ref="R4:R67" si="12">SUM(AR3:AR3)</f>
        <v>0</v>
      </c>
      <c r="S4" s="12">
        <f t="shared" ref="S4:S35" si="13">SUM(AR4:AR4)/B4</f>
        <v>0</v>
      </c>
      <c r="T4" s="12">
        <f t="shared" si="1"/>
        <v>0.43745819397993307</v>
      </c>
      <c r="U4" s="12">
        <f>Population!$B$13*MIN(Y3:Z3)</f>
        <v>56.249999999999986</v>
      </c>
      <c r="V4" s="12">
        <f>X3*Population!$B$14</f>
        <v>0.4499999999999999</v>
      </c>
      <c r="W4" s="12">
        <f>AN3*T3*Population!$B$12</f>
        <v>0</v>
      </c>
      <c r="X4" s="12">
        <f t="shared" ref="X4:X12" si="14">X3+U4-W4-V4</f>
        <v>130.79999999999998</v>
      </c>
      <c r="Y4" s="14">
        <f t="shared" ref="Y4:Y35" si="15">(AE4+AG4+AI4+AK4+AM4)-X4</f>
        <v>168.31808751029999</v>
      </c>
      <c r="Z4" s="13">
        <f t="shared" ref="Z4:Z35" si="16">(AF4+AH4+AJ4+AL4+AN4)-X4</f>
        <v>168.31808751029999</v>
      </c>
      <c r="AA4" s="18">
        <f>(G4+Population!$B$11*AA3)*Population!M$29</f>
        <v>74.969549999999984</v>
      </c>
      <c r="AB4" s="18">
        <f>AA3*Population!$B$12*Population!$M$29+AB3*Population!$B$11*Population!$M$30</f>
        <v>0</v>
      </c>
      <c r="AC4" s="14">
        <f>(AB3*Population!$B$12*0.5*Population!$M$30)+(AC3*Population!$B$11*Population!M$31)</f>
        <v>0</v>
      </c>
      <c r="AD4" s="13">
        <f>(AB3*Population!$B$12*0.5*Population!$M$30)+(AD3*Population!$B$11*Population!M$31)</f>
        <v>0</v>
      </c>
      <c r="AE4" s="14">
        <f>(AC3*Population!$B$12*Population!M$31)+(AE3*Population!$B$11*Population!M$33)</f>
        <v>109.99413274139999</v>
      </c>
      <c r="AF4" s="13">
        <f>(AD3*Population!$B$12*Population!M$31)+(AF3*Population!$B$11*Population!M$33)</f>
        <v>109.99413274139999</v>
      </c>
      <c r="AG4" s="14">
        <f>(AE3*Population!$B$12*Population!M$33)+(AG3*Population!$B$11*Population!M$35)</f>
        <v>124.4720099881653</v>
      </c>
      <c r="AH4" s="13">
        <f>(AF3*Population!$B$12*Population!M$33)+(AH3*Population!$B$11*Population!M$35)</f>
        <v>124.4720099881653</v>
      </c>
      <c r="AI4" s="14">
        <f>(AG3*Population!$B$12*Population!M$35)+(AI3*Population!$B$11*Population!M$37)</f>
        <v>54.283710493714274</v>
      </c>
      <c r="AJ4" s="13">
        <f>(AH3*Population!$B$12*Population!M$35)+(AJ3*Population!$B$11*Population!M$37)</f>
        <v>54.283710493714274</v>
      </c>
      <c r="AK4" s="14">
        <f>(AI3*Population!$B$12*Population!M$37)+(AK3*Population!$B$11*Population!M$39)</f>
        <v>9.7583381524897916</v>
      </c>
      <c r="AL4" s="13">
        <f>(AJ3*Population!$B$12*Population!M$37)+(AL3*Population!$B$11*Population!M$39)</f>
        <v>9.7583381524897916</v>
      </c>
      <c r="AM4" s="14">
        <f>(AK3*Population!$B$12*Population!M$39)+(AM3*Population!$B$11*Population!M$41)</f>
        <v>0.60989613453061198</v>
      </c>
      <c r="AN4" s="13">
        <f>(AL3*Population!$B$12*Population!M$39)+(AN3*Population!$B$11*Population!M$41)</f>
        <v>0.60989613453061198</v>
      </c>
      <c r="AO4" s="15">
        <f>(AM3+AN3)*Population!$B$12*Population!$M$41+AO3*Population!$B$11*Population!$M$43</f>
        <v>0</v>
      </c>
      <c r="AP4" s="5">
        <f>AO3*Population!M$43*Population!$B$12+AP3*Population!$B$11*Population!M$44</f>
        <v>0</v>
      </c>
      <c r="AQ4" s="5">
        <f>AP3*Population!M$44*Population!$B$12+AQ3*Population!$B$11*Population!M$45</f>
        <v>0</v>
      </c>
      <c r="AR4" s="5">
        <f>(AQ3*Population!$B$12+AR3)*Population!M$46</f>
        <v>0</v>
      </c>
    </row>
    <row r="5" spans="1:44">
      <c r="A5">
        <f>A4+Population!$B$2</f>
        <v>2</v>
      </c>
      <c r="B5" s="4">
        <f t="shared" si="4"/>
        <v>802</v>
      </c>
      <c r="C5" s="54">
        <f t="shared" si="2"/>
        <v>466</v>
      </c>
      <c r="D5" s="12">
        <f>AD4*Population!$P$32*Population!$C$2+AF4*Population!$P$34*Population!$C$2+AH4*Population!$P$36*Population!$C$2+AJ4*Population!$P$38*Population!$C$2+AL4*Population!$P$40*Population!$C$2+AN3*Population!$P$42*Population!$C$2</f>
        <v>25.692978890070805</v>
      </c>
      <c r="E5" s="12">
        <f>IF(B4&gt;Population!$B$6*Population!$B$15,Population!$B$8,IF(Population!$J$6=1,D5,Population!$B$8*Population!$B$6*0.9/B4))</f>
        <v>142.99470785218384</v>
      </c>
      <c r="F5" s="12">
        <f>IF(B4&gt;Population!$B$6*0.75,Population!$B$8,E5)</f>
        <v>142.99470785218384</v>
      </c>
      <c r="G5" s="15">
        <f>IF(Population!$J$6=1,IF(E5&gt;H4,H4,E5),IF(E5&gt;X4,X4,E5))</f>
        <v>130.79999999999998</v>
      </c>
      <c r="H5" s="15">
        <f t="shared" si="5"/>
        <v>298</v>
      </c>
      <c r="I5" s="15">
        <f>FLOOR(SUM(AA5:AD5),1)</f>
        <v>205</v>
      </c>
      <c r="J5" s="12">
        <f t="shared" si="3"/>
        <v>0.68791946308724827</v>
      </c>
      <c r="K5" s="12">
        <f>AA5*Population!$O$29+AB5*Population!$O$30+AC5*Population!$O$31+AD5*Population!$O$32+AE5*Population!$O$33+AF5*Population!$O$34+AG5*Population!$O$35+AH5*Population!$O$36+AI5*Population!$O$37+AJ5*Population!$O$38+AK5*Population!$O$39+AL5*Population!$O$40+AM5*Population!$O$41+AN5*Population!$O$42+AO5*Population!$O$43+AP5*Population!$O$44+AQ5*Population!$O$45+AR5*Population!$O$46</f>
        <v>1.0471492901012722</v>
      </c>
      <c r="L5" s="12">
        <f t="shared" si="7"/>
        <v>0.43892617449664423</v>
      </c>
      <c r="M5" s="12">
        <f t="shared" si="8"/>
        <v>13.360090061568682</v>
      </c>
      <c r="N5" s="12">
        <f t="shared" si="0"/>
        <v>0.25561097256857856</v>
      </c>
      <c r="O5" s="12">
        <f t="shared" si="9"/>
        <v>252.88678597671492</v>
      </c>
      <c r="P5" s="12">
        <f t="shared" si="10"/>
        <v>86</v>
      </c>
      <c r="Q5" s="12">
        <f t="shared" si="11"/>
        <v>86.056607011642541</v>
      </c>
      <c r="R5" s="12">
        <f t="shared" si="12"/>
        <v>0</v>
      </c>
      <c r="S5" s="12">
        <f t="shared" si="13"/>
        <v>0</v>
      </c>
      <c r="T5" s="12">
        <f t="shared" si="1"/>
        <v>0.57737116446859915</v>
      </c>
      <c r="U5" s="12">
        <f>Population!$B$13*MIN(Y4:Z4)</f>
        <v>42.079521877574997</v>
      </c>
      <c r="V5" s="12">
        <f>X4*Population!$B$14</f>
        <v>0.78479999999999994</v>
      </c>
      <c r="W5" s="12">
        <f>AN4*T4*Population!$B$12</f>
        <v>3.8114865932443398E-2</v>
      </c>
      <c r="X5" s="12">
        <f t="shared" si="14"/>
        <v>172.05660701164254</v>
      </c>
      <c r="Y5" s="14">
        <f t="shared" si="15"/>
        <v>126.50657736357687</v>
      </c>
      <c r="Z5" s="13">
        <f t="shared" si="16"/>
        <v>126.50657736357687</v>
      </c>
      <c r="AA5" s="18">
        <f>(G5+Population!$B$11*AA4)*Population!M$29</f>
        <v>194.98042008231425</v>
      </c>
      <c r="AB5" s="18">
        <f>AA4*Population!$B$12*Population!$M$29+AB4*Population!$B$11*Population!$M$30</f>
        <v>10.705587480385711</v>
      </c>
      <c r="AC5" s="14">
        <f>(AB4*Population!$B$12*0.5*Population!$M$30)+(AC4*Population!$B$11*Population!M$31)</f>
        <v>0</v>
      </c>
      <c r="AD5" s="13">
        <f>(AB4*Population!$B$12*0.5*Population!$M$30)+(AD4*Population!$B$11*Population!M$31)</f>
        <v>0</v>
      </c>
      <c r="AE5" s="14">
        <f>(AC4*Population!$B$12*Population!M$31)+(AE4*Population!$B$11*Population!M$33)</f>
        <v>94.190835713912094</v>
      </c>
      <c r="AF5" s="13">
        <f>(AD4*Population!$B$12*Population!M$31)+(AF4*Population!$B$11*Population!M$33)</f>
        <v>94.190835713912094</v>
      </c>
      <c r="AG5" s="14">
        <f>(AE4*Population!$B$12*Population!M$33)+(AG4*Population!$B$11*Population!M$35)</f>
        <v>122.18392152954652</v>
      </c>
      <c r="AH5" s="13">
        <f>(AF4*Population!$B$12*Population!M$33)+(AH4*Population!$B$11*Population!M$35)</f>
        <v>122.18392152954652</v>
      </c>
      <c r="AI5" s="14">
        <f>(AG4*Population!$B$12*Population!M$35)+(AI4*Population!$B$11*Population!M$37)</f>
        <v>64.187134049483731</v>
      </c>
      <c r="AJ5" s="13">
        <f>(AH4*Population!$B$12*Population!M$35)+(AJ4*Population!$B$11*Population!M$37)</f>
        <v>64.187134049483731</v>
      </c>
      <c r="AK5" s="14">
        <f>(AI4*Population!$B$12*Population!M$37)+(AK4*Population!$B$11*Population!M$39)</f>
        <v>16.088156946998343</v>
      </c>
      <c r="AL5" s="13">
        <f>(AJ4*Population!$B$12*Population!M$37)+(AL4*Population!$B$11*Population!M$39)</f>
        <v>16.088156946998343</v>
      </c>
      <c r="AM5" s="14">
        <f>(AK4*Population!$B$12*Population!M$39)+(AM4*Population!$B$11*Population!M$41)</f>
        <v>1.9131361352786986</v>
      </c>
      <c r="AN5" s="13">
        <f>(AL4*Population!$B$12*Population!M$39)+(AN4*Population!$B$11*Population!M$41)</f>
        <v>1.9131361352786986</v>
      </c>
      <c r="AO5" s="15">
        <f>(AM4+AN4)*Population!$B$12*Population!$M$41+AO4*Population!$B$11*Population!$M$43</f>
        <v>0.17392146684351806</v>
      </c>
      <c r="AP5" s="5">
        <f>AO4*Population!M$43*Population!$B$12+AP4*Population!$B$11*Population!M$44</f>
        <v>0</v>
      </c>
      <c r="AQ5" s="5">
        <f>AP4*Population!M$44*Population!$B$12+AQ4*Population!$B$11*Population!M$45</f>
        <v>0</v>
      </c>
      <c r="AR5" s="5">
        <f>(AQ4*Population!$B$12+AR4)*Population!M$46</f>
        <v>0</v>
      </c>
    </row>
    <row r="6" spans="1:44">
      <c r="A6">
        <f>A5+Population!$B$2</f>
        <v>3</v>
      </c>
      <c r="B6" s="4">
        <f t="shared" si="4"/>
        <v>921</v>
      </c>
      <c r="C6" s="54">
        <f t="shared" si="2"/>
        <v>475</v>
      </c>
      <c r="D6" s="12">
        <f>AD5*Population!$P$32*Population!$C$2+AF5*Population!$P$34*Population!$C$2+AH5*Population!$P$36*Population!$C$2+AJ5*Population!$P$38*Population!$C$2+AL5*Population!$P$40*Population!$C$2+AN4*Population!$P$42*Population!$C$2</f>
        <v>25.173689973143265</v>
      </c>
      <c r="E6" s="12">
        <f>IF(B5&gt;Population!$B$6*Population!$B$15,Population!$B$8,IF(Population!$J$6=1,D6,Population!$B$8*Population!$B$6*0.9/B5))</f>
        <v>119.9943122001493</v>
      </c>
      <c r="F6" s="12">
        <f>IF(B5&gt;Population!$B$6*0.75,Population!$B$8,E6)</f>
        <v>119.9943122001493</v>
      </c>
      <c r="G6" s="15">
        <f>IF(Population!$J$6=1,IF(E6&gt;H5,H5,E6),IF(E6&gt;X5,X5,E6))</f>
        <v>119.9943122001493</v>
      </c>
      <c r="H6" s="15">
        <f t="shared" si="5"/>
        <v>297</v>
      </c>
      <c r="I6" s="15">
        <f t="shared" si="6"/>
        <v>325</v>
      </c>
      <c r="J6" s="12">
        <f t="shared" si="3"/>
        <v>1.0942760942760943</v>
      </c>
      <c r="K6" s="12">
        <f>AA6*Population!$O$29+AB6*Population!$O$30+AC6*Population!$O$31+AD6*Population!$O$32+AE6*Population!$O$33+AF6*Population!$O$34+AG6*Population!$O$35+AH6*Population!$O$36+AI6*Population!$O$37+AJ6*Population!$O$38+AK6*Population!$O$39+AL6*Population!$O$40+AM6*Population!$O$41+AN6*Population!$O$42+AO6*Population!$O$43+AP6*Population!$O$44+AQ6*Population!$O$45+AR6*Population!$O$46</f>
        <v>1.1191076535835951</v>
      </c>
      <c r="L6" s="12">
        <f t="shared" si="7"/>
        <v>0.40402125319915588</v>
      </c>
      <c r="M6" s="12">
        <f t="shared" si="8"/>
        <v>12.902967144533729</v>
      </c>
      <c r="N6" s="12">
        <f t="shared" si="0"/>
        <v>0.3528773072747014</v>
      </c>
      <c r="O6" s="12">
        <f t="shared" si="9"/>
        <v>191.01377361855555</v>
      </c>
      <c r="P6" s="12">
        <f t="shared" si="10"/>
        <v>136</v>
      </c>
      <c r="Q6" s="12">
        <f t="shared" si="11"/>
        <v>66.493113190722227</v>
      </c>
      <c r="R6" s="12">
        <f t="shared" si="12"/>
        <v>0</v>
      </c>
      <c r="S6" s="12">
        <f t="shared" si="13"/>
        <v>0</v>
      </c>
      <c r="T6" s="12">
        <f t="shared" si="1"/>
        <v>0.68179499390815568</v>
      </c>
      <c r="U6" s="12">
        <f>Population!$B$13*MIN(Y5:Z5)</f>
        <v>31.626644340894217</v>
      </c>
      <c r="V6" s="12">
        <f>X5*Population!$B$14</f>
        <v>1.0323396420698552</v>
      </c>
      <c r="W6" s="12">
        <f>AN5*T5*Population!$B$12</f>
        <v>0.15779851974468825</v>
      </c>
      <c r="X6" s="12">
        <f t="shared" si="14"/>
        <v>202.49311319072223</v>
      </c>
      <c r="Y6" s="14">
        <f t="shared" si="15"/>
        <v>95.315131992360818</v>
      </c>
      <c r="Z6" s="13">
        <f t="shared" si="16"/>
        <v>95.315131992360818</v>
      </c>
      <c r="AA6" s="18">
        <f>(G6+Population!$B$11*AA5)*Population!M$29</f>
        <v>287.00381567947676</v>
      </c>
      <c r="AB6" s="18">
        <f>AA5*Population!$B$12*Population!$M$29+AB5*Population!$B$11*Population!$M$30</f>
        <v>37.017190052996654</v>
      </c>
      <c r="AC6" s="14">
        <f>(AB5*Population!$B$12*0.5*Population!$M$30)+(AC5*Population!$B$11*Population!M$31)</f>
        <v>0.76451276594304451</v>
      </c>
      <c r="AD6" s="13">
        <f>(AB5*Population!$B$12*0.5*Population!$M$30)+(AD5*Population!$B$11*Population!M$31)</f>
        <v>0.76451276594304451</v>
      </c>
      <c r="AE6" s="14">
        <f>(AC5*Population!$B$12*Population!M$31)+(AE5*Population!$B$11*Population!M$33)</f>
        <v>80.658061583551486</v>
      </c>
      <c r="AF6" s="13">
        <f>(AD5*Population!$B$12*Population!M$31)+(AF5*Population!$B$11*Population!M$33)</f>
        <v>80.658061583551486</v>
      </c>
      <c r="AG6" s="14">
        <f>(AE5*Population!$B$12*Population!M$33)+(AG5*Population!$B$11*Population!M$35)</f>
        <v>117.97100603553365</v>
      </c>
      <c r="AH6" s="13">
        <f>(AF5*Population!$B$12*Population!M$33)+(AH5*Population!$B$11*Population!M$35)</f>
        <v>117.97100603553365</v>
      </c>
      <c r="AI6" s="14">
        <f>(AG5*Population!$B$12*Population!M$35)+(AI5*Population!$B$11*Population!M$37)</f>
        <v>72.33324241612317</v>
      </c>
      <c r="AJ6" s="13">
        <f>(AH5*Population!$B$12*Population!M$35)+(AJ5*Population!$B$11*Population!M$37)</f>
        <v>72.33324241612317</v>
      </c>
      <c r="AK6" s="14">
        <f>(AI5*Population!$B$12*Population!M$37)+(AK5*Population!$B$11*Population!M$39)</f>
        <v>22.915357266581339</v>
      </c>
      <c r="AL6" s="13">
        <f>(AJ5*Population!$B$12*Population!M$37)+(AL5*Population!$B$11*Population!M$39)</f>
        <v>22.915357266581339</v>
      </c>
      <c r="AM6" s="14">
        <f>(AK5*Population!$B$12*Population!M$39)+(AM5*Population!$B$11*Population!M$41)</f>
        <v>3.9305778812934125</v>
      </c>
      <c r="AN6" s="13">
        <f>(AL5*Population!$B$12*Population!M$39)+(AN5*Population!$B$11*Population!M$41)</f>
        <v>3.9305778812934125</v>
      </c>
      <c r="AO6" s="15">
        <f>(AM5+AN5)*Population!$B$12*Population!$M$41+AO5*Population!$B$11*Population!$M$43</f>
        <v>0.69355557786447741</v>
      </c>
      <c r="AP6" s="5">
        <f>AO5*Population!M$43*Population!$B$12+AP5*Population!$B$11*Population!M$44</f>
        <v>2.4665790886986078E-2</v>
      </c>
      <c r="AQ6" s="5">
        <f>AP5*Population!M$44*Population!$B$12+AQ5*Population!$B$11*Population!M$45</f>
        <v>0</v>
      </c>
      <c r="AR6" s="5">
        <f>(AQ5*Population!$B$12+AR5)*Population!M$46</f>
        <v>0</v>
      </c>
    </row>
    <row r="7" spans="1:44">
      <c r="A7">
        <f>A6+Population!$B$2</f>
        <v>4</v>
      </c>
      <c r="B7" s="4">
        <f t="shared" si="4"/>
        <v>1025</v>
      </c>
      <c r="C7" s="54">
        <f t="shared" si="2"/>
        <v>489</v>
      </c>
      <c r="D7" s="12">
        <f>AD6*Population!$P$32*Population!$C$2+AF6*Population!$P$34*Population!$C$2+AH6*Population!$P$36*Population!$C$2+AJ6*Population!$P$38*Population!$C$2+AL6*Population!$P$40*Population!$C$2+AN5*Population!$P$42*Population!$C$2</f>
        <v>24.57388374494359</v>
      </c>
      <c r="E7" s="12">
        <f>IF(B6&gt;Population!$B$6*Population!$B$15,Population!$B$8,IF(Population!$J$6=1,D7,Population!$B$8*Population!$B$6*0.9/B6))</f>
        <v>104.49016111239928</v>
      </c>
      <c r="F7" s="12">
        <f>IF(B6&gt;Population!$B$6*0.75,Population!$B$8,E7)</f>
        <v>104.49016111239928</v>
      </c>
      <c r="G7" s="15">
        <f>IF(Population!$J$6=1,IF(E7&gt;H6,H6,E7),IF(E7&gt;X6,X6,E7))</f>
        <v>104.49016111239928</v>
      </c>
      <c r="H7" s="15">
        <f t="shared" si="5"/>
        <v>296</v>
      </c>
      <c r="I7" s="15">
        <f t="shared" si="6"/>
        <v>429</v>
      </c>
      <c r="J7" s="12">
        <f t="shared" si="3"/>
        <v>1.4493243243243243</v>
      </c>
      <c r="K7" s="12">
        <f>AA7*Population!$O$29+AB7*Population!$O$30+AC7*Population!$O$31+AD7*Population!$O$32+AE7*Population!$O$33+AF7*Population!$O$34+AG7*Population!$O$35+AH7*Population!$O$36+AI7*Population!$O$37+AJ7*Population!$O$38+AK7*Population!$O$39+AL7*Population!$O$40+AM7*Population!$O$41+AN7*Population!$O$42+AO7*Population!$O$43+AP7*Population!$O$44+AQ7*Population!$O$45+AR7*Population!$O$46</f>
        <v>1.1844974480783057</v>
      </c>
      <c r="L7" s="12">
        <f t="shared" si="7"/>
        <v>0.35300730105540296</v>
      </c>
      <c r="M7" s="12">
        <f t="shared" si="8"/>
        <v>12.395985257231544</v>
      </c>
      <c r="N7" s="12">
        <f t="shared" si="0"/>
        <v>0.41853658536585364</v>
      </c>
      <c r="O7" s="12">
        <f t="shared" si="9"/>
        <v>146.55179592998718</v>
      </c>
      <c r="P7" s="12">
        <f t="shared" si="10"/>
        <v>179</v>
      </c>
      <c r="Q7" s="12">
        <f t="shared" si="11"/>
        <v>45.72410203500641</v>
      </c>
      <c r="R7" s="12">
        <f t="shared" si="12"/>
        <v>0</v>
      </c>
      <c r="S7" s="12">
        <f t="shared" si="13"/>
        <v>0</v>
      </c>
      <c r="T7" s="12">
        <f t="shared" si="1"/>
        <v>0.75920304741556222</v>
      </c>
      <c r="U7" s="12">
        <f>Population!$B$13*MIN(Y6:Z6)</f>
        <v>23.828782998090205</v>
      </c>
      <c r="V7" s="12">
        <f>X6*Population!$B$14</f>
        <v>1.2149586791443334</v>
      </c>
      <c r="W7" s="12">
        <f>AN6*T6*Population!$B$12</f>
        <v>0.38283547466171053</v>
      </c>
      <c r="X7" s="12">
        <f t="shared" si="14"/>
        <v>224.72410203500641</v>
      </c>
      <c r="Y7" s="14">
        <f t="shared" si="15"/>
        <v>72.139026664807204</v>
      </c>
      <c r="Z7" s="13">
        <f t="shared" si="16"/>
        <v>72.139026664807204</v>
      </c>
      <c r="AA7" s="18">
        <f>(G7+Population!$B$11*AA6)*Population!M$29</f>
        <v>350.35113136153984</v>
      </c>
      <c r="AB7" s="18">
        <f>AA6*Population!$B$12*Population!$M$29+AB6*Population!$B$11*Population!$M$30</f>
        <v>72.705779891674183</v>
      </c>
      <c r="AC7" s="14">
        <f>(AB6*Population!$B$12*0.5*Population!$M$30)+(AC6*Population!$B$11*Population!M$31)</f>
        <v>3.2981622434685667</v>
      </c>
      <c r="AD7" s="13">
        <f>(AB6*Population!$B$12*0.5*Population!$M$30)+(AD6*Population!$B$11*Population!M$31)</f>
        <v>3.2981622434685667</v>
      </c>
      <c r="AE7" s="14">
        <f>(AC6*Population!$B$12*Population!M$31)+(AE6*Population!$B$11*Population!M$33)</f>
        <v>69.178707270064464</v>
      </c>
      <c r="AF7" s="13">
        <f>(AD6*Population!$B$12*Population!M$31)+(AF6*Population!$B$11*Population!M$33)</f>
        <v>69.178707270064464</v>
      </c>
      <c r="AG7" s="14">
        <f>(AE6*Population!$B$12*Population!M$33)+(AG6*Population!$B$11*Population!M$35)</f>
        <v>112.43545781064785</v>
      </c>
      <c r="AH7" s="13">
        <f>(AF6*Population!$B$12*Population!M$33)+(AH6*Population!$B$11*Population!M$35)</f>
        <v>112.43545781064785</v>
      </c>
      <c r="AI7" s="14">
        <f>(AG6*Population!$B$12*Population!M$35)+(AI6*Population!$B$11*Population!M$37)</f>
        <v>78.7015253211501</v>
      </c>
      <c r="AJ7" s="13">
        <f>(AH6*Population!$B$12*Population!M$35)+(AJ6*Population!$B$11*Population!M$37)</f>
        <v>78.7015253211501</v>
      </c>
      <c r="AK7" s="14">
        <f>(AI6*Population!$B$12*Population!M$37)+(AK6*Population!$B$11*Population!M$39)</f>
        <v>29.917503039208746</v>
      </c>
      <c r="AL7" s="13">
        <f>(AJ6*Population!$B$12*Population!M$37)+(AL6*Population!$B$11*Population!M$39)</f>
        <v>29.917503039208746</v>
      </c>
      <c r="AM7" s="14">
        <f>(AK6*Population!$B$12*Population!M$39)+(AM6*Population!$B$11*Population!M$41)</f>
        <v>6.6299352587424973</v>
      </c>
      <c r="AN7" s="13">
        <f>(AL6*Population!$B$12*Population!M$39)+(AN6*Population!$B$11*Population!M$41)</f>
        <v>6.6299352587424973</v>
      </c>
      <c r="AO7" s="15">
        <f>(AM6+AN6)*Population!$B$12*Population!$M$41+AO6*Population!$B$11*Population!$M$43</f>
        <v>1.7110323061532025</v>
      </c>
      <c r="AP7" s="5">
        <f>AO6*Population!M$43*Population!$B$12+AP6*Population!$B$11*Population!M$44</f>
        <v>0.11934986904904178</v>
      </c>
      <c r="AQ7" s="5">
        <f>AP6*Population!M$44*Population!$B$12+AQ6*Population!$B$11*Population!M$45</f>
        <v>3.4981377004364897E-3</v>
      </c>
      <c r="AR7" s="5">
        <f>(AQ6*Population!$B$12+AR6)*Population!M$46</f>
        <v>0</v>
      </c>
    </row>
    <row r="8" spans="1:44">
      <c r="A8">
        <f>A7+Population!$B$2</f>
        <v>5</v>
      </c>
      <c r="B8" s="4">
        <f t="shared" si="4"/>
        <v>1117</v>
      </c>
      <c r="C8" s="54">
        <f t="shared" si="2"/>
        <v>497</v>
      </c>
      <c r="D8" s="12">
        <f>AD7*Population!$P$32*Population!$C$2+AF7*Population!$P$34*Population!$C$2+AH7*Population!$P$36*Population!$C$2+AJ7*Population!$P$38*Population!$C$2+AL7*Population!$P$40*Population!$C$2+AN6*Population!$P$42*Population!$C$2</f>
        <v>23.92895304898008</v>
      </c>
      <c r="E8" s="12">
        <f>IF(B7&gt;Population!$B$6*Population!$B$15,Population!$B$8,IF(Population!$J$6=1,D8,Population!$B$8*Population!$B$6*0.9/B7))</f>
        <v>93.888232570263156</v>
      </c>
      <c r="F8" s="12">
        <f>IF(B7&gt;Population!$B$6*0.75,Population!$B$8,E8)</f>
        <v>93.888232570263156</v>
      </c>
      <c r="G8" s="15">
        <f>IF(Population!$J$6=1,IF(E8&gt;H7,H7,E8),IF(E8&gt;X7,X7,E8))</f>
        <v>93.888232570263156</v>
      </c>
      <c r="H8" s="15">
        <f t="shared" si="5"/>
        <v>295</v>
      </c>
      <c r="I8" s="15">
        <f t="shared" si="6"/>
        <v>522</v>
      </c>
      <c r="J8" s="12">
        <f t="shared" si="3"/>
        <v>1.7694915254237289</v>
      </c>
      <c r="K8" s="12">
        <f>AA8*Population!$O$29+AB8*Population!$O$30+AC8*Population!$O$31+AD8*Population!$O$32+AE8*Population!$O$33+AF8*Population!$O$34+AG8*Population!$O$35+AH8*Population!$O$36+AI8*Population!$O$37+AJ8*Population!$O$38+AK8*Population!$O$39+AL8*Population!$O$40+AM8*Population!$O$41+AN8*Population!$O$42+AO8*Population!$O$43+AP8*Population!$O$44+AQ8*Population!$O$45+AR8*Population!$O$46</f>
        <v>1.2490323408628217</v>
      </c>
      <c r="L8" s="12">
        <f t="shared" si="7"/>
        <v>0.31826519515343443</v>
      </c>
      <c r="M8" s="12">
        <f t="shared" si="8"/>
        <v>11.863428988475265</v>
      </c>
      <c r="N8" s="12">
        <f t="shared" si="0"/>
        <v>0.46732318710832588</v>
      </c>
      <c r="O8" s="12">
        <f t="shared" si="9"/>
        <v>113.61710526560512</v>
      </c>
      <c r="P8" s="12">
        <f t="shared" si="10"/>
        <v>218</v>
      </c>
      <c r="Q8" s="12">
        <f t="shared" si="11"/>
        <v>22.691447367197441</v>
      </c>
      <c r="R8" s="12">
        <f t="shared" si="12"/>
        <v>0</v>
      </c>
      <c r="S8" s="12">
        <f t="shared" si="13"/>
        <v>4.2478728530636116E-7</v>
      </c>
      <c r="T8" s="12">
        <f t="shared" si="1"/>
        <v>0.81590321141422861</v>
      </c>
      <c r="U8" s="12">
        <f>Population!$B$13*MIN(Y7:Z7)</f>
        <v>18.034756666201801</v>
      </c>
      <c r="V8" s="12">
        <f>X7*Population!$B$14</f>
        <v>1.3483446122100384</v>
      </c>
      <c r="W8" s="12">
        <f>AN7*T7*Population!$B$12</f>
        <v>0.71906672180074105</v>
      </c>
      <c r="X8" s="12">
        <f t="shared" si="14"/>
        <v>240.69144736719744</v>
      </c>
      <c r="Y8" s="14">
        <f t="shared" si="15"/>
        <v>55.194001837129122</v>
      </c>
      <c r="Z8" s="13">
        <f t="shared" si="16"/>
        <v>55.194001837129122</v>
      </c>
      <c r="AA8" s="18">
        <f>(G8+Population!$B$11*AA7)*Population!M$29</f>
        <v>394.02916149258857</v>
      </c>
      <c r="AB8" s="18">
        <f>AA7*Population!$B$12*Population!$M$29+AB7*Population!$B$11*Population!$M$30</f>
        <v>112.33505933562833</v>
      </c>
      <c r="AC8" s="14">
        <f>(AB7*Population!$B$12*0.5*Population!$M$30)+(AC7*Population!$B$11*Population!M$31)</f>
        <v>8.0164035878146471</v>
      </c>
      <c r="AD8" s="13">
        <f>(AB7*Population!$B$12*0.5*Population!$M$30)+(AD7*Population!$B$11*Population!M$31)</f>
        <v>8.0164035878146471</v>
      </c>
      <c r="AE8" s="14">
        <f>(AC7*Population!$B$12*Population!M$31)+(AE7*Population!$B$11*Population!M$33)</f>
        <v>59.710242695295307</v>
      </c>
      <c r="AF8" s="13">
        <f>(AD7*Population!$B$12*Population!M$31)+(AF7*Population!$B$11*Population!M$33)</f>
        <v>59.710242695295307</v>
      </c>
      <c r="AG8" s="14">
        <f>(AE7*Population!$B$12*Population!M$33)+(AG7*Population!$B$11*Population!M$35)</f>
        <v>106.06146719313493</v>
      </c>
      <c r="AH8" s="13">
        <f>(AF7*Population!$B$12*Population!M$33)+(AH7*Population!$B$11*Population!M$35)</f>
        <v>106.06146719313493</v>
      </c>
      <c r="AI8" s="14">
        <f>(AG7*Population!$B$12*Population!M$35)+(AI7*Population!$B$11*Population!M$37)</f>
        <v>83.360298869550334</v>
      </c>
      <c r="AJ8" s="13">
        <f>(AH7*Population!$B$12*Population!M$35)+(AJ7*Population!$B$11*Population!M$37)</f>
        <v>83.360298869550334</v>
      </c>
      <c r="AK8" s="14">
        <f>(AI7*Population!$B$12*Population!M$37)+(AK7*Population!$B$11*Population!M$39)</f>
        <v>36.815826713253472</v>
      </c>
      <c r="AL8" s="13">
        <f>(AJ7*Population!$B$12*Population!M$37)+(AL7*Population!$B$11*Population!M$39)</f>
        <v>36.815826713253472</v>
      </c>
      <c r="AM8" s="14">
        <f>(AK7*Population!$B$12*Population!M$39)+(AM7*Population!$B$11*Population!M$41)</f>
        <v>9.9376137330925332</v>
      </c>
      <c r="AN8" s="13">
        <f>(AL7*Population!$B$12*Population!M$39)+(AN7*Population!$B$11*Population!M$41)</f>
        <v>9.9376137330925332</v>
      </c>
      <c r="AO8" s="15">
        <f>(AM7+AN7)*Population!$B$12*Population!$M$41+AO7*Population!$B$11*Population!$M$43</f>
        <v>3.3465964996704249</v>
      </c>
      <c r="AP8" s="5">
        <f>AO7*Population!M$43*Population!$B$12+AP7*Population!$B$11*Population!M$44</f>
        <v>0.34421925956060129</v>
      </c>
      <c r="AQ8" s="5">
        <f>AP7*Population!M$44*Population!$B$12+AQ7*Population!$B$11*Population!M$45</f>
        <v>1.9773293314471266E-2</v>
      </c>
      <c r="AR8" s="5">
        <f>(AQ7*Population!$B$12+AR7)*Population!M$46</f>
        <v>4.7448739768720543E-4</v>
      </c>
    </row>
    <row r="9" spans="1:44">
      <c r="A9">
        <f>A8+Population!$B$2</f>
        <v>6</v>
      </c>
      <c r="B9" s="4">
        <f t="shared" si="4"/>
        <v>1202</v>
      </c>
      <c r="C9" s="54">
        <f t="shared" si="2"/>
        <v>503</v>
      </c>
      <c r="D9" s="12">
        <f>AD8*Population!$P$32*Population!$C$2+AF8*Population!$P$34*Population!$C$2+AH8*Population!$P$36*Population!$C$2+AJ8*Population!$P$38*Population!$C$2+AL8*Population!$P$40*Population!$C$2+AN7*Population!$P$42*Population!$C$2</f>
        <v>23.279740710943948</v>
      </c>
      <c r="E9" s="12">
        <f>IF(B8&gt;Population!$B$6*Population!$B$15,Population!$B$8,IF(Population!$J$6=1,D9,Population!$B$8*Population!$B$6*0.9/B8))</f>
        <v>86.155271606553029</v>
      </c>
      <c r="F9" s="12">
        <f>IF(B8&gt;Population!$B$6*0.75,Population!$B$8,E9)</f>
        <v>86.155271606553029</v>
      </c>
      <c r="G9" s="15">
        <f>IF(Population!$J$6=1,IF(E9&gt;H8,H8,E9),IF(E9&gt;X8,X8,E9))</f>
        <v>86.155271606553029</v>
      </c>
      <c r="H9" s="15">
        <f t="shared" si="5"/>
        <v>295</v>
      </c>
      <c r="I9" s="15">
        <f t="shared" si="6"/>
        <v>606</v>
      </c>
      <c r="J9" s="12">
        <f t="shared" si="3"/>
        <v>2.0542372881355933</v>
      </c>
      <c r="K9" s="12">
        <f>AA9*Population!$O$29+AB9*Population!$O$30+AC9*Population!$O$31+AD9*Population!$O$32+AE9*Population!$O$33+AF9*Population!$O$34+AG9*Population!$O$35+AH9*Population!$O$36+AI9*Population!$O$37+AJ9*Population!$O$38+AK9*Population!$O$39+AL9*Population!$O$40+AM9*Population!$O$41+AN9*Population!$O$42+AO9*Population!$O$43+AP9*Population!$O$44+AQ9*Population!$O$45+AR9*Population!$O$46</f>
        <v>1.3170106748405705</v>
      </c>
      <c r="L9" s="12">
        <f t="shared" si="7"/>
        <v>0.29205176815780687</v>
      </c>
      <c r="M9" s="12">
        <f t="shared" si="8"/>
        <v>11.331894031295482</v>
      </c>
      <c r="N9" s="12">
        <f t="shared" si="0"/>
        <v>0.50415973377703827</v>
      </c>
      <c r="O9" s="12">
        <f t="shared" si="9"/>
        <v>92.225010560768169</v>
      </c>
      <c r="P9" s="12">
        <f t="shared" si="10"/>
        <v>253</v>
      </c>
      <c r="Q9" s="12">
        <f t="shared" si="11"/>
        <v>-1.1125052803840845</v>
      </c>
      <c r="R9" s="12">
        <f t="shared" si="12"/>
        <v>4.7448739768720543E-4</v>
      </c>
      <c r="S9" s="12">
        <f t="shared" si="13"/>
        <v>2.60612795302074E-6</v>
      </c>
      <c r="T9" s="12">
        <f t="shared" si="1"/>
        <v>0.85385591430378271</v>
      </c>
      <c r="U9" s="12">
        <f>Population!$B$13*MIN(Y8:Z8)</f>
        <v>13.79850045928228</v>
      </c>
      <c r="V9" s="12">
        <f>X8*Population!$B$14</f>
        <v>1.4441486842031848</v>
      </c>
      <c r="W9" s="12">
        <f>AN8*T8*Population!$B$12</f>
        <v>1.1583044226606196</v>
      </c>
      <c r="X9" s="12">
        <f t="shared" si="14"/>
        <v>251.88749471961592</v>
      </c>
      <c r="Y9" s="14">
        <f t="shared" si="15"/>
        <v>43.214770004134721</v>
      </c>
      <c r="Z9" s="13">
        <f t="shared" si="16"/>
        <v>43.214770004134721</v>
      </c>
      <c r="AA9" s="18">
        <f>(G9+Population!$B$11*AA8)*Population!M$29</f>
        <v>423.72245169744298</v>
      </c>
      <c r="AB9" s="18">
        <f>AA8*Population!$B$12*Population!$M$29+AB8*Population!$B$11*Population!$M$30</f>
        <v>152.53255561952707</v>
      </c>
      <c r="AC9" s="14">
        <f>(AB8*Population!$B$12*0.5*Population!$M$30)+(AC8*Population!$B$11*Population!M$31)</f>
        <v>14.886782243544523</v>
      </c>
      <c r="AD9" s="13">
        <f>(AB8*Population!$B$12*0.5*Population!$M$30)+(AD8*Population!$B$11*Population!M$31)</f>
        <v>14.886782243544523</v>
      </c>
      <c r="AE9" s="14">
        <f>(AC8*Population!$B$12*Population!M$31)+(AE8*Population!$B$11*Population!M$33)</f>
        <v>52.275542422747947</v>
      </c>
      <c r="AF9" s="13">
        <f>(AD8*Population!$B$12*Population!M$31)+(AF8*Population!$B$11*Population!M$33)</f>
        <v>52.275542422747947</v>
      </c>
      <c r="AG9" s="14">
        <f>(AE8*Population!$B$12*Population!M$33)+(AG8*Population!$B$11*Population!M$35)</f>
        <v>99.257187698678763</v>
      </c>
      <c r="AH9" s="13">
        <f>(AF8*Population!$B$12*Population!M$33)+(AH8*Population!$B$11*Population!M$35)</f>
        <v>99.257187698678763</v>
      </c>
      <c r="AI9" s="14">
        <f>(AG8*Population!$B$12*Population!M$35)+(AI8*Population!$B$11*Population!M$37)</f>
        <v>86.437044535778412</v>
      </c>
      <c r="AJ9" s="13">
        <f>(AH8*Population!$B$12*Population!M$35)+(AJ8*Population!$B$11*Population!M$37)</f>
        <v>86.437044535778412</v>
      </c>
      <c r="AK9" s="14">
        <f>(AI8*Population!$B$12*Population!M$37)+(AK8*Population!$B$11*Population!M$39)</f>
        <v>43.381584150214991</v>
      </c>
      <c r="AL9" s="13">
        <f>(AJ8*Population!$B$12*Population!M$37)+(AL8*Population!$B$11*Population!M$39)</f>
        <v>43.381584150214991</v>
      </c>
      <c r="AM9" s="14">
        <f>(AK8*Population!$B$12*Population!M$39)+(AM8*Population!$B$11*Population!M$41)</f>
        <v>13.750905916330572</v>
      </c>
      <c r="AN9" s="13">
        <f>(AL8*Population!$B$12*Population!M$39)+(AN8*Population!$B$11*Population!M$41)</f>
        <v>13.750905916330572</v>
      </c>
      <c r="AO9" s="15">
        <f>(AM8+AN8)*Population!$B$12*Population!$M$41+AO8*Population!$B$11*Population!$M$43</f>
        <v>5.6815812971052679</v>
      </c>
      <c r="AP9" s="5">
        <f>AO8*Population!M$43*Population!$B$12+AP8*Population!$B$11*Population!M$44</f>
        <v>0.76752509923150525</v>
      </c>
      <c r="AQ9" s="5">
        <f>AP8*Population!M$44*Population!$B$12+AQ8*Population!$B$11*Population!M$45</f>
        <v>6.4909964163733139E-2</v>
      </c>
      <c r="AR9" s="5">
        <f>(AQ8*Population!$B$12+AR8)*Population!M$46</f>
        <v>3.1325657995309297E-3</v>
      </c>
    </row>
    <row r="10" spans="1:44">
      <c r="A10">
        <f>A9+Population!$B$2</f>
        <v>7</v>
      </c>
      <c r="B10" s="4">
        <f t="shared" si="4"/>
        <v>1281</v>
      </c>
      <c r="C10" s="54">
        <f t="shared" si="2"/>
        <v>509</v>
      </c>
      <c r="D10" s="12">
        <f>AD9*Population!$P$32*Population!$C$2+AF9*Population!$P$34*Population!$C$2+AH9*Population!$P$36*Population!$C$2+AJ9*Population!$P$38*Population!$C$2+AL9*Population!$P$40*Population!$C$2+AN8*Population!$P$42*Population!$C$2</f>
        <v>22.666238295372505</v>
      </c>
      <c r="E10" s="12">
        <f>IF(B9&gt;Population!$B$6*Population!$B$15,Population!$B$8,IF(Population!$J$6=1,D10,Population!$B$8*Population!$B$6*0.9/B9))</f>
        <v>80.06276071923439</v>
      </c>
      <c r="F10" s="12">
        <f>IF(B9&gt;Population!$B$6*0.75,Population!$B$8,E10)</f>
        <v>80.06276071923439</v>
      </c>
      <c r="G10" s="15">
        <f>IF(Population!$J$6=1,IF(E10&gt;H9,H9,E10),IF(E10&gt;X9,X9,E10))</f>
        <v>80.06276071923439</v>
      </c>
      <c r="H10" s="15">
        <f t="shared" si="5"/>
        <v>294</v>
      </c>
      <c r="I10" s="15">
        <f t="shared" si="6"/>
        <v>681</v>
      </c>
      <c r="J10" s="12">
        <f t="shared" si="3"/>
        <v>2.3163265306122449</v>
      </c>
      <c r="K10" s="12">
        <f>AA10*Population!$O$29+AB10*Population!$O$30+AC10*Population!$O$31+AD10*Population!$O$32+AE10*Population!$O$33+AF10*Population!$O$34+AG10*Population!$O$35+AH10*Population!$O$36+AI10*Population!$O$37+AJ10*Population!$O$38+AK10*Population!$O$39+AL10*Population!$O$40+AM10*Population!$O$41+AN10*Population!$O$42+AO10*Population!$O$43+AP10*Population!$O$44+AQ10*Population!$O$45+AR10*Population!$O$46</f>
        <v>1.3919481380815359</v>
      </c>
      <c r="L10" s="12">
        <f t="shared" si="7"/>
        <v>0.27232231537154555</v>
      </c>
      <c r="M10" s="12">
        <f t="shared" si="8"/>
        <v>10.826839943574825</v>
      </c>
      <c r="N10" s="12">
        <f t="shared" si="0"/>
        <v>0.53161592505854804</v>
      </c>
      <c r="O10" s="12">
        <f t="shared" si="9"/>
        <v>80.994930450677316</v>
      </c>
      <c r="P10" s="12">
        <f t="shared" si="10"/>
        <v>284</v>
      </c>
      <c r="Q10" s="12">
        <f t="shared" si="11"/>
        <v>-24.497465225338658</v>
      </c>
      <c r="R10" s="12">
        <f t="shared" si="12"/>
        <v>3.1325657995309297E-3</v>
      </c>
      <c r="S10" s="12">
        <f t="shared" si="13"/>
        <v>9.1949228060166973E-6</v>
      </c>
      <c r="T10" s="12">
        <f t="shared" si="1"/>
        <v>0.88266168290701141</v>
      </c>
      <c r="U10" s="12">
        <f>Population!$B$13*MIN(Y9:Z9)</f>
        <v>10.80369250103368</v>
      </c>
      <c r="V10" s="12">
        <f>X9*Population!$B$14</f>
        <v>1.5113249683176955</v>
      </c>
      <c r="W10" s="12">
        <f>AN9*T9*Population!$B$12</f>
        <v>1.6773274776705336</v>
      </c>
      <c r="X10" s="12">
        <f t="shared" si="14"/>
        <v>259.50253477466134</v>
      </c>
      <c r="Y10" s="14">
        <f t="shared" si="15"/>
        <v>35.247697045070424</v>
      </c>
      <c r="Z10" s="13">
        <f t="shared" si="16"/>
        <v>35.247697045070424</v>
      </c>
      <c r="AA10" s="18">
        <f>(G10+Population!$B$11*AA9)*Population!M$29</f>
        <v>443.07347270871423</v>
      </c>
      <c r="AB10" s="18">
        <f>AA9*Population!$B$12*Population!$M$29+AB9*Population!$B$11*Population!$M$30</f>
        <v>191.21997644987573</v>
      </c>
      <c r="AC10" s="14">
        <f>(AB9*Population!$B$12*0.5*Population!$M$30)+(AC9*Population!$B$11*Population!M$31)</f>
        <v>23.640669819664986</v>
      </c>
      <c r="AD10" s="13">
        <f>(AB9*Population!$B$12*0.5*Population!$M$30)+(AD9*Population!$B$11*Population!M$31)</f>
        <v>23.640669819664986</v>
      </c>
      <c r="AE10" s="14">
        <f>(AC9*Population!$B$12*Population!M$31)+(AE9*Population!$B$11*Population!M$33)</f>
        <v>46.889562589282981</v>
      </c>
      <c r="AF10" s="13">
        <f>(AD9*Population!$B$12*Population!M$31)+(AF9*Population!$B$11*Population!M$33)</f>
        <v>46.889562589282981</v>
      </c>
      <c r="AG10" s="14">
        <f>(AE9*Population!$B$12*Population!M$33)+(AG9*Population!$B$11*Population!M$35)</f>
        <v>92.375058174371844</v>
      </c>
      <c r="AH10" s="13">
        <f>(AF9*Population!$B$12*Population!M$33)+(AH9*Population!$B$11*Population!M$35)</f>
        <v>92.375058174371844</v>
      </c>
      <c r="AI10" s="14">
        <f>(AG9*Population!$B$12*Population!M$35)+(AI9*Population!$B$11*Population!M$37)</f>
        <v>88.099018051416508</v>
      </c>
      <c r="AJ10" s="13">
        <f>(AH9*Population!$B$12*Population!M$35)+(AJ9*Population!$B$11*Population!M$37)</f>
        <v>88.099018051416508</v>
      </c>
      <c r="AK10" s="14">
        <f>(AI9*Population!$B$12*Population!M$37)+(AK9*Population!$B$11*Population!M$39)</f>
        <v>49.437262066021304</v>
      </c>
      <c r="AL10" s="13">
        <f>(AJ9*Population!$B$12*Population!M$37)+(AL9*Population!$B$11*Population!M$39)</f>
        <v>49.437262066021304</v>
      </c>
      <c r="AM10" s="14">
        <f>(AK9*Population!$B$12*Population!M$39)+(AM9*Population!$B$11*Population!M$41)</f>
        <v>17.949330938639125</v>
      </c>
      <c r="AN10" s="13">
        <f>(AL9*Population!$B$12*Population!M$39)+(AN9*Population!$B$11*Population!M$41)</f>
        <v>17.949330938639125</v>
      </c>
      <c r="AO10" s="15">
        <f>(AM9+AN9)*Population!$B$12*Population!$M$41+AO9*Population!$B$11*Population!$M$43</f>
        <v>8.755906764307138</v>
      </c>
      <c r="AP10" s="5">
        <f>AO9*Population!M$43*Population!$B$12+AP9*Population!$B$11*Population!M$44</f>
        <v>1.4588790123248165</v>
      </c>
      <c r="AQ10" s="5">
        <f>AP9*Population!M$44*Population!$B$12+AQ9*Population!$B$11*Population!M$45</f>
        <v>0.16167783127245214</v>
      </c>
      <c r="AR10" s="5">
        <f>(AQ9*Population!$B$12+AR9)*Population!M$46</f>
        <v>1.177869611450739E-2</v>
      </c>
    </row>
    <row r="11" spans="1:44">
      <c r="A11">
        <f>A10+Population!$B$2</f>
        <v>8</v>
      </c>
      <c r="B11" s="4">
        <f t="shared" si="4"/>
        <v>1355</v>
      </c>
      <c r="C11" s="54">
        <f t="shared" si="2"/>
        <v>515</v>
      </c>
      <c r="D11" s="12">
        <f>AD10*Population!$P$32*Population!$C$2+AF10*Population!$P$34*Population!$C$2+AH10*Population!$P$36*Population!$C$2+AJ10*Population!$P$38*Population!$C$2+AL10*Population!$P$40*Population!$C$2+AN9*Population!$P$42*Population!$C$2</f>
        <v>22.124145125050461</v>
      </c>
      <c r="E11" s="12">
        <f>IF(B10&gt;Population!$B$6*Population!$B$15,Population!$B$8,IF(Population!$J$6=1,D11,Population!$B$8*Population!$B$6*0.9/B10))</f>
        <v>75.125244640530624</v>
      </c>
      <c r="F11" s="12">
        <f>IF(B10&gt;Population!$B$6*0.75,Population!$B$8,E11)</f>
        <v>75.125244640530624</v>
      </c>
      <c r="G11" s="15">
        <f>IF(Population!$J$6=1,IF(E11&gt;H10,H10,E11),IF(E11&gt;X10,X10,E11))</f>
        <v>75.125244640530624</v>
      </c>
      <c r="H11" s="15">
        <f t="shared" si="5"/>
        <v>295</v>
      </c>
      <c r="I11" s="15">
        <f t="shared" si="6"/>
        <v>749</v>
      </c>
      <c r="J11" s="12">
        <f t="shared" si="3"/>
        <v>2.5389830508474578</v>
      </c>
      <c r="K11" s="12">
        <f>AA11*Population!$O$29+AB11*Population!$O$30+AC11*Population!$O$31+AD11*Population!$O$32+AE11*Population!$O$33+AF11*Population!$O$34+AG11*Population!$O$35+AH11*Population!$O$36+AI11*Population!$O$37+AJ11*Population!$O$38+AK11*Population!$O$39+AL11*Population!$O$40+AM11*Population!$O$41+AN11*Population!$O$42+AO11*Population!$O$43+AP11*Population!$O$44+AQ11*Population!$O$45+AR11*Population!$O$46</f>
        <v>1.4770260987548878</v>
      </c>
      <c r="L11" s="12">
        <f t="shared" si="7"/>
        <v>0.25466184623908689</v>
      </c>
      <c r="M11" s="12">
        <f t="shared" si="8"/>
        <v>10.370716817507216</v>
      </c>
      <c r="N11" s="12">
        <f t="shared" si="0"/>
        <v>0.5527675276752767</v>
      </c>
      <c r="O11" s="12">
        <f t="shared" si="9"/>
        <v>77.01173710353919</v>
      </c>
      <c r="P11" s="12">
        <f t="shared" si="10"/>
        <v>313</v>
      </c>
      <c r="Q11" s="12">
        <f t="shared" si="11"/>
        <v>-48.505868551769595</v>
      </c>
      <c r="R11" s="12">
        <f t="shared" si="12"/>
        <v>1.177869611450739E-2</v>
      </c>
      <c r="S11" s="12">
        <f t="shared" si="13"/>
        <v>2.4438094037341609E-5</v>
      </c>
      <c r="T11" s="12">
        <f t="shared" si="1"/>
        <v>0.8965902760956963</v>
      </c>
      <c r="U11" s="12">
        <f>Population!$B$13*MIN(Y10:Z10)</f>
        <v>8.8119242612676061</v>
      </c>
      <c r="V11" s="12">
        <f>X10*Population!$B$14</f>
        <v>1.5570152086479681</v>
      </c>
      <c r="W11" s="12">
        <f>AN10*T10*Population!$B$12</f>
        <v>2.2633123790505851</v>
      </c>
      <c r="X11" s="12">
        <f t="shared" si="14"/>
        <v>264.49413144823041</v>
      </c>
      <c r="Y11" s="14">
        <f t="shared" si="15"/>
        <v>30.55027528172991</v>
      </c>
      <c r="Z11" s="13">
        <f t="shared" si="16"/>
        <v>30.55027528172991</v>
      </c>
      <c r="AA11" s="18">
        <f>(G11+Population!$B$11*AA10)*Population!M$29</f>
        <v>454.71781654445903</v>
      </c>
      <c r="AB11" s="18">
        <f>AA10*Population!$B$12*Population!$M$29+AB10*Population!$B$11*Population!$M$30</f>
        <v>227.1364709442631</v>
      </c>
      <c r="AC11" s="14">
        <f>(AB10*Population!$B$12*0.5*Population!$M$30)+(AC10*Population!$B$11*Population!M$31)</f>
        <v>33.899616792221188</v>
      </c>
      <c r="AD11" s="13">
        <f>(AB10*Population!$B$12*0.5*Population!$M$30)+(AD10*Population!$B$11*Population!M$31)</f>
        <v>33.899616792221188</v>
      </c>
      <c r="AE11" s="14">
        <f>(AC10*Population!$B$12*Population!M$31)+(AE10*Population!$B$11*Population!M$33)</f>
        <v>43.526771611162744</v>
      </c>
      <c r="AF11" s="13">
        <f>(AD10*Population!$B$12*Population!M$31)+(AF10*Population!$B$11*Population!M$33)</f>
        <v>43.526771611162744</v>
      </c>
      <c r="AG11" s="14">
        <f>(AE10*Population!$B$12*Population!M$33)+(AG10*Population!$B$11*Population!M$35)</f>
        <v>85.718723601742525</v>
      </c>
      <c r="AH11" s="13">
        <f>(AF10*Population!$B$12*Population!M$33)+(AH10*Population!$B$11*Population!M$35)</f>
        <v>85.718723601742525</v>
      </c>
      <c r="AI11" s="14">
        <f>(AG10*Population!$B$12*Population!M$35)+(AI10*Population!$B$11*Population!M$37)</f>
        <v>88.539557954746257</v>
      </c>
      <c r="AJ11" s="13">
        <f>(AH10*Population!$B$12*Population!M$35)+(AJ10*Population!$B$11*Population!M$37)</f>
        <v>88.539557954746257</v>
      </c>
      <c r="AK11" s="14">
        <f>(AI10*Population!$B$12*Population!M$37)+(AK10*Population!$B$11*Population!M$39)</f>
        <v>54.854846153412154</v>
      </c>
      <c r="AL11" s="13">
        <f>(AJ10*Population!$B$12*Population!M$37)+(AL10*Population!$B$11*Population!M$39)</f>
        <v>54.854846153412154</v>
      </c>
      <c r="AM11" s="14">
        <f>(AK10*Population!$B$12*Population!M$39)+(AM10*Population!$B$11*Population!M$41)</f>
        <v>22.404507408896595</v>
      </c>
      <c r="AN11" s="13">
        <f>(AL10*Population!$B$12*Population!M$39)+(AN10*Population!$B$11*Population!M$41)</f>
        <v>22.404507408896595</v>
      </c>
      <c r="AO11" s="15">
        <f>(AM10+AN10)*Population!$B$12*Population!$M$41+AO10*Population!$B$11*Population!$M$43</f>
        <v>12.569185012581334</v>
      </c>
      <c r="AP11" s="5">
        <f>AO10*Population!M$43*Population!$B$12+AP10*Population!$B$11*Population!M$44</f>
        <v>2.4831770395969546</v>
      </c>
      <c r="AQ11" s="5">
        <f>AP10*Population!M$44*Population!$B$12+AQ10*Population!$B$11*Population!M$45</f>
        <v>0.33848019184355271</v>
      </c>
      <c r="AR11" s="5">
        <f>(AQ10*Population!$B$12+AR10)*Population!M$46</f>
        <v>3.3113617420597881E-2</v>
      </c>
    </row>
    <row r="12" spans="1:44">
      <c r="A12">
        <f>A11+Population!$B$2</f>
        <v>9</v>
      </c>
      <c r="B12" s="4">
        <f t="shared" si="4"/>
        <v>1424</v>
      </c>
      <c r="C12" s="54">
        <f t="shared" si="2"/>
        <v>521</v>
      </c>
      <c r="D12" s="12">
        <f>AD11*Population!$P$32*Population!$C$2+AF11*Population!$P$34*Population!$C$2+AH11*Population!$P$36*Population!$C$2+AJ11*Population!$P$38*Population!$C$2+AL11*Population!$P$40*Population!$C$2+AN10*Population!$P$42*Population!$C$2</f>
        <v>21.683201215929476</v>
      </c>
      <c r="E12" s="12">
        <f>IF(B11&gt;Population!$B$6*Population!$B$15,Population!$B$8,IF(Population!$J$6=1,D12,Population!$B$8*Population!$B$6*0.9/B11))</f>
        <v>71.022463752413088</v>
      </c>
      <c r="F12" s="12">
        <f>IF(B11&gt;Population!$B$6*0.75,Population!$B$8,E12)</f>
        <v>71.022463752413088</v>
      </c>
      <c r="G12" s="15">
        <f>IF(Population!$J$6=1,IF(E12&gt;H11,H11,E12),IF(E12&gt;X11,X11,E12))</f>
        <v>71.022463752413088</v>
      </c>
      <c r="H12" s="15">
        <f t="shared" si="5"/>
        <v>296</v>
      </c>
      <c r="I12" s="15">
        <f t="shared" si="6"/>
        <v>810</v>
      </c>
      <c r="J12" s="12">
        <f t="shared" si="3"/>
        <v>2.7364864864864864</v>
      </c>
      <c r="K12" s="12">
        <f>AA12*Population!$O$29+AB12*Population!$O$30+AC12*Population!$O$31+AD12*Population!$O$32+AE12*Population!$O$33+AF12*Population!$O$34+AG12*Population!$O$35+AH12*Population!$O$36+AI12*Population!$O$37+AJ12*Population!$O$38+AK12*Population!$O$39+AL12*Population!$O$40+AM12*Population!$O$41+AN12*Population!$O$42+AO12*Population!$O$43+AP12*Population!$O$44+AQ12*Population!$O$45+AR12*Population!$O$46</f>
        <v>1.5751983993627028</v>
      </c>
      <c r="L12" s="12">
        <f t="shared" si="7"/>
        <v>0.2399407559203145</v>
      </c>
      <c r="M12" s="12">
        <f t="shared" si="8"/>
        <v>9.9820457294555673</v>
      </c>
      <c r="N12" s="12">
        <f t="shared" si="0"/>
        <v>0.5688202247191011</v>
      </c>
      <c r="O12" s="12">
        <f t="shared" si="9"/>
        <v>78.64986146391891</v>
      </c>
      <c r="P12" s="12">
        <f t="shared" si="10"/>
        <v>338</v>
      </c>
      <c r="Q12" s="12">
        <f t="shared" si="11"/>
        <v>-70.324930731959455</v>
      </c>
      <c r="R12" s="12">
        <f t="shared" si="12"/>
        <v>3.3113617420597881E-2</v>
      </c>
      <c r="S12" s="12">
        <f t="shared" si="13"/>
        <v>5.4320344585792661E-5</v>
      </c>
      <c r="T12" s="12">
        <f t="shared" si="1"/>
        <v>0.90430766644608296</v>
      </c>
      <c r="U12" s="12">
        <f>Population!$B$13*MIN(Y11:Z11)</f>
        <v>7.6375688204324774</v>
      </c>
      <c r="V12" s="12">
        <f>X11*Population!$B$14</f>
        <v>1.5869647886893825</v>
      </c>
      <c r="W12" s="12">
        <f>AN11*T11*Population!$B$12</f>
        <v>2.869666211932953</v>
      </c>
      <c r="X12" s="12">
        <f t="shared" si="14"/>
        <v>267.67506926804055</v>
      </c>
      <c r="Y12" s="14">
        <f t="shared" si="15"/>
        <v>28.488631118109993</v>
      </c>
      <c r="Z12" s="13">
        <f t="shared" si="16"/>
        <v>28.488631118109993</v>
      </c>
      <c r="AA12" s="18">
        <f>(G12+Population!$B$11*AA11)*Population!M$29</f>
        <v>460.59351529865131</v>
      </c>
      <c r="AB12" s="18">
        <f>AA11*Population!$B$12*Population!$M$29+AB11*Population!$B$11*Population!$M$30</f>
        <v>259.57791322010655</v>
      </c>
      <c r="AC12" s="14">
        <f>(AB11*Population!$B$12*0.5*Population!$M$30)+(AC11*Population!$B$11*Population!M$31)</f>
        <v>45.24950648052279</v>
      </c>
      <c r="AD12" s="13">
        <f>(AB11*Population!$B$12*0.5*Population!$M$30)+(AD11*Population!$B$11*Population!M$31)</f>
        <v>45.24950648052279</v>
      </c>
      <c r="AE12" s="14">
        <f>(AC11*Population!$B$12*Population!M$31)+(AE11*Population!$B$11*Population!M$33)</f>
        <v>42.111293434903146</v>
      </c>
      <c r="AF12" s="13">
        <f>(AD11*Population!$B$12*Population!M$31)+(AF11*Population!$B$11*Population!M$33)</f>
        <v>42.111293434903146</v>
      </c>
      <c r="AG12" s="14">
        <f>(AE11*Population!$B$12*Population!M$33)+(AG11*Population!$B$11*Population!M$35)</f>
        <v>79.544307501768628</v>
      </c>
      <c r="AH12" s="13">
        <f>(AF11*Population!$B$12*Population!M$33)+(AH11*Population!$B$11*Population!M$35)</f>
        <v>79.544307501768628</v>
      </c>
      <c r="AI12" s="14">
        <f>(AG11*Population!$B$12*Population!M$35)+(AI11*Population!$B$11*Population!M$37)</f>
        <v>87.96735938189515</v>
      </c>
      <c r="AJ12" s="13">
        <f>(AH11*Population!$B$12*Population!M$35)+(AJ11*Population!$B$11*Population!M$37)</f>
        <v>87.96735938189515</v>
      </c>
      <c r="AK12" s="14">
        <f>(AI11*Population!$B$12*Population!M$37)+(AK11*Population!$B$11*Population!M$39)</f>
        <v>59.552387299465536</v>
      </c>
      <c r="AL12" s="13">
        <f>(AJ11*Population!$B$12*Population!M$37)+(AL11*Population!$B$11*Population!M$39)</f>
        <v>59.552387299465536</v>
      </c>
      <c r="AM12" s="14">
        <f>(AK11*Population!$B$12*Population!M$39)+(AM11*Population!$B$11*Population!M$41)</f>
        <v>26.988352768118098</v>
      </c>
      <c r="AN12" s="13">
        <f>(AL11*Population!$B$12*Population!M$39)+(AN11*Population!$B$11*Population!M$41)</f>
        <v>26.988352768118098</v>
      </c>
      <c r="AO12" s="15">
        <f>(AM11+AN11)*Population!$B$12*Population!$M$41+AO11*Population!$B$11*Population!$M$43</f>
        <v>17.084476005254821</v>
      </c>
      <c r="AP12" s="5">
        <f>AO11*Population!M$43*Population!$B$12+AP11*Population!$B$11*Population!M$44</f>
        <v>3.8955860653713401</v>
      </c>
      <c r="AQ12" s="5">
        <f>AP11*Population!M$44*Population!$B$12+AQ11*Population!$B$11*Population!M$45</f>
        <v>0.62763643448136786</v>
      </c>
      <c r="AR12" s="5">
        <f>(AQ11*Population!$B$12+AR11)*Population!M$46</f>
        <v>7.7352170690168753E-2</v>
      </c>
    </row>
    <row r="13" spans="1:44">
      <c r="A13">
        <f>A12+Population!$B$2</f>
        <v>10</v>
      </c>
      <c r="B13" s="4">
        <f t="shared" si="4"/>
        <v>1490</v>
      </c>
      <c r="C13" s="54">
        <f t="shared" si="2"/>
        <v>529</v>
      </c>
      <c r="D13" s="12">
        <f>AD12*Population!$P$32*Population!$C$2+AF12*Population!$P$34*Population!$C$2+AH12*Population!$P$36*Population!$C$2+AJ12*Population!$P$38*Population!$C$2+AL12*Population!$P$40*Population!$C$2+AN11*Population!$P$42*Population!$C$2</f>
        <v>21.366564532342665</v>
      </c>
      <c r="E13" s="12">
        <f>IF(B12&gt;Population!$B$6*Population!$B$15,Population!$B$8,IF(Population!$J$6=1,D13,Population!$B$8*Population!$B$6*0.9/B12))</f>
        <v>67.581066281263858</v>
      </c>
      <c r="F13" s="12">
        <f>IF(B12&gt;Population!$B$6*0.75,Population!$B$8,E13)</f>
        <v>67.581066281263858</v>
      </c>
      <c r="G13" s="15">
        <f>IF(Population!$J$6=1,IF(E13&gt;H12,H12,E13),IF(E13&gt;X12,X12,E13))</f>
        <v>67.581066281263858</v>
      </c>
      <c r="H13" s="15">
        <f t="shared" si="5"/>
        <v>298</v>
      </c>
      <c r="I13" s="15">
        <f t="shared" si="6"/>
        <v>864</v>
      </c>
      <c r="J13" s="12">
        <f t="shared" si="3"/>
        <v>2.8993288590604025</v>
      </c>
      <c r="K13" s="12">
        <f>AA13*Population!$O$29+AB13*Population!$O$30+AC13*Population!$O$31+AD13*Population!$O$32+AE13*Population!$O$33+AF13*Population!$O$34+AG13*Population!$O$35+AH13*Population!$O$36+AI13*Population!$O$37+AJ13*Population!$O$38+AK13*Population!$O$39+AL13*Population!$O$40+AM13*Population!$O$41+AN13*Population!$O$42+AO13*Population!$O$43+AP13*Population!$O$44+AQ13*Population!$O$45+AR13*Population!$O$46</f>
        <v>1.6892373541411461</v>
      </c>
      <c r="L13" s="12">
        <f t="shared" si="7"/>
        <v>0.22678210161497939</v>
      </c>
      <c r="M13" s="12">
        <f t="shared" si="8"/>
        <v>9.6750772968538286</v>
      </c>
      <c r="N13" s="12">
        <f t="shared" si="0"/>
        <v>0.57986577181208054</v>
      </c>
      <c r="O13" s="12">
        <f t="shared" si="9"/>
        <v>86.590725111211896</v>
      </c>
      <c r="P13" s="12">
        <f t="shared" si="10"/>
        <v>360</v>
      </c>
      <c r="Q13" s="12">
        <f t="shared" si="11"/>
        <v>-90.295362555605948</v>
      </c>
      <c r="R13" s="12">
        <f t="shared" si="12"/>
        <v>7.7352170690168753E-2</v>
      </c>
      <c r="S13" s="12">
        <f t="shared" si="13"/>
        <v>1.0642747986574103E-4</v>
      </c>
      <c r="T13" s="12">
        <f t="shared" si="1"/>
        <v>0.90504911894091966</v>
      </c>
      <c r="U13" s="12">
        <f>Population!$B$13*MIN(Y12:Z12)</f>
        <v>7.1221577795274982</v>
      </c>
      <c r="V13" s="12">
        <f>X12*Population!$B$14</f>
        <v>1.6060504156082434</v>
      </c>
      <c r="W13" s="12">
        <f>AN12*T12*Population!$B$12</f>
        <v>3.4865391875657941</v>
      </c>
      <c r="X13" s="12">
        <f t="shared" ref="X13:X76" si="17">X12+U13-W13-V13</f>
        <v>269.70463744439405</v>
      </c>
      <c r="Y13" s="14">
        <f t="shared" si="15"/>
        <v>28.541128624915757</v>
      </c>
      <c r="Z13" s="13">
        <f t="shared" si="16"/>
        <v>28.541128624915757</v>
      </c>
      <c r="AA13" s="18">
        <f>(G13+Population!$B$11*AA12)*Population!M$29</f>
        <v>462.18778350958803</v>
      </c>
      <c r="AB13" s="18">
        <f>AA12*Population!$B$12*Population!$M$29+AB12*Population!$B$11*Population!$M$30</f>
        <v>288.21765192417604</v>
      </c>
      <c r="AC13" s="14">
        <f>(AB12*Population!$B$12*0.5*Population!$M$30)+(AC12*Population!$B$11*Population!M$31)</f>
        <v>57.285436614271021</v>
      </c>
      <c r="AD13" s="13">
        <f>(AB12*Population!$B$12*0.5*Population!$M$30)+(AD12*Population!$B$11*Population!M$31)</f>
        <v>57.285436614271021</v>
      </c>
      <c r="AE13" s="14">
        <f>(AC12*Population!$B$12*Population!M$31)+(AE12*Population!$B$11*Population!M$33)</f>
        <v>42.51905027634357</v>
      </c>
      <c r="AF13" s="13">
        <f>(AD12*Population!$B$12*Population!M$31)+(AF12*Population!$B$11*Population!M$33)</f>
        <v>42.51905027634357</v>
      </c>
      <c r="AG13" s="14">
        <f>(AE12*Population!$B$12*Population!M$33)+(AG12*Population!$B$11*Population!M$35)</f>
        <v>74.060093708635875</v>
      </c>
      <c r="AH13" s="13">
        <f>(AF12*Population!$B$12*Population!M$33)+(AH12*Population!$B$11*Population!M$35)</f>
        <v>74.060093708635875</v>
      </c>
      <c r="AI13" s="14">
        <f>(AG12*Population!$B$12*Population!M$35)+(AI12*Population!$B$11*Population!M$37)</f>
        <v>86.597479248950961</v>
      </c>
      <c r="AJ13" s="13">
        <f>(AH12*Population!$B$12*Population!M$35)+(AJ12*Population!$B$11*Population!M$37)</f>
        <v>86.597479248950961</v>
      </c>
      <c r="AK13" s="14">
        <f>(AI12*Population!$B$12*Population!M$37)+(AK12*Population!$B$11*Population!M$39)</f>
        <v>63.489534620997901</v>
      </c>
      <c r="AL13" s="13">
        <f>(AJ12*Population!$B$12*Population!M$37)+(AL12*Population!$B$11*Population!M$39)</f>
        <v>63.489534620997901</v>
      </c>
      <c r="AM13" s="14">
        <f>(AK12*Population!$B$12*Population!M$39)+(AM12*Population!$B$11*Population!M$41)</f>
        <v>31.579608214381487</v>
      </c>
      <c r="AN13" s="13">
        <f>(AL12*Population!$B$12*Population!M$39)+(AN12*Population!$B$11*Population!M$41)</f>
        <v>31.579608214381487</v>
      </c>
      <c r="AO13" s="15">
        <f>(AM12+AN12)*Population!$B$12*Population!$M$41+AO12*Population!$B$11*Population!$M$43</f>
        <v>22.233821655272422</v>
      </c>
      <c r="AP13" s="5">
        <f>AO12*Population!M$43*Population!$B$12+AP12*Population!$B$11*Population!M$44</f>
        <v>5.7378102789430159</v>
      </c>
      <c r="AQ13" s="5">
        <f>AP12*Population!M$44*Population!$B$12+AQ12*Population!$B$11*Population!M$45</f>
        <v>1.0632732167522305</v>
      </c>
      <c r="AR13" s="5">
        <f>(AQ12*Population!$B$12+AR12)*Population!M$46</f>
        <v>0.15857694499995414</v>
      </c>
    </row>
    <row r="14" spans="1:44">
      <c r="A14">
        <f>A13+Population!$B$2</f>
        <v>11</v>
      </c>
      <c r="B14" s="4">
        <f t="shared" si="4"/>
        <v>1553</v>
      </c>
      <c r="C14" s="54">
        <f t="shared" si="2"/>
        <v>538</v>
      </c>
      <c r="D14" s="12">
        <f>AD13*Population!$P$32*Population!$C$2+AF13*Population!$P$34*Population!$C$2+AH13*Population!$P$36*Population!$C$2+AJ13*Population!$P$38*Population!$C$2+AL13*Population!$P$40*Population!$C$2+AN12*Population!$P$42*Population!$C$2</f>
        <v>21.19082681824149</v>
      </c>
      <c r="E14" s="12">
        <f>IF(B13&gt;Population!$B$6*Population!$B$15,Population!$B$8,IF(Population!$J$6=1,D14,Population!$B$8*Population!$B$6*0.9/B13))</f>
        <v>64.587542539946128</v>
      </c>
      <c r="F14" s="12">
        <f>IF(B13&gt;Population!$B$6*0.75,Population!$B$8,E14)</f>
        <v>64.587542539946128</v>
      </c>
      <c r="G14" s="15">
        <f>IF(Population!$J$6=1,IF(E14&gt;H13,H13,E14),IF(E14&gt;X13,X13,E14))</f>
        <v>64.587542539946128</v>
      </c>
      <c r="H14" s="15">
        <f t="shared" si="5"/>
        <v>301</v>
      </c>
      <c r="I14" s="15">
        <f t="shared" si="6"/>
        <v>912</v>
      </c>
      <c r="J14" s="12">
        <f t="shared" si="3"/>
        <v>3.0299003322259135</v>
      </c>
      <c r="K14" s="12">
        <f>AA14*Population!$O$29+AB14*Population!$O$30+AC14*Population!$O$31+AD14*Population!$O$32+AE14*Population!$O$33+AF14*Population!$O$34+AG14*Population!$O$35+AH14*Population!$O$36+AI14*Population!$O$37+AJ14*Population!$O$38+AK14*Population!$O$39+AL14*Population!$O$40+AM14*Population!$O$41+AN14*Population!$O$42+AO14*Population!$O$43+AP14*Population!$O$44+AQ14*Population!$O$45+AR14*Population!$O$46</f>
        <v>1.8216707324138526</v>
      </c>
      <c r="L14" s="12">
        <f t="shared" si="7"/>
        <v>0.21457655328885758</v>
      </c>
      <c r="M14" s="12">
        <f t="shared" si="8"/>
        <v>9.459817086918056</v>
      </c>
      <c r="N14" s="12">
        <f t="shared" si="0"/>
        <v>0.58725048293625237</v>
      </c>
      <c r="O14" s="12">
        <f t="shared" si="9"/>
        <v>98.722644045494008</v>
      </c>
      <c r="P14" s="12">
        <f t="shared" si="10"/>
        <v>380</v>
      </c>
      <c r="Q14" s="12">
        <f t="shared" si="11"/>
        <v>-108.861322022747</v>
      </c>
      <c r="R14" s="12">
        <f t="shared" si="12"/>
        <v>0.15857694499995414</v>
      </c>
      <c r="S14" s="12">
        <f t="shared" si="13"/>
        <v>1.89818426824745E-4</v>
      </c>
      <c r="T14" s="12">
        <f t="shared" si="1"/>
        <v>0.9007929500905415</v>
      </c>
      <c r="U14" s="12">
        <f>Population!$B$13*MIN(Y13:Z13)</f>
        <v>7.1352821562289392</v>
      </c>
      <c r="V14" s="12">
        <f>X13*Population!$B$14</f>
        <v>1.6182278246663644</v>
      </c>
      <c r="W14" s="12">
        <f>AN13*T13*Population!$B$12</f>
        <v>4.0830137987036279</v>
      </c>
      <c r="X14" s="12">
        <f t="shared" si="17"/>
        <v>271.138677977253</v>
      </c>
      <c r="Y14" s="14">
        <f t="shared" si="15"/>
        <v>30.248696175187831</v>
      </c>
      <c r="Z14" s="13">
        <f t="shared" si="16"/>
        <v>30.248696175187831</v>
      </c>
      <c r="AA14" s="18">
        <f>(G14+Population!$B$11*AA13)*Population!M$29</f>
        <v>460.56143594294622</v>
      </c>
      <c r="AB14" s="18">
        <f>AA13*Population!$B$12*Population!$M$29+AB13*Population!$B$11*Population!$M$30</f>
        <v>312.98813614063454</v>
      </c>
      <c r="AC14" s="14">
        <f>(AB13*Population!$B$12*0.5*Population!$M$30)+(AC13*Population!$B$11*Population!M$31)</f>
        <v>69.637351862187472</v>
      </c>
      <c r="AD14" s="13">
        <f>(AB13*Population!$B$12*0.5*Population!$M$30)+(AD13*Population!$B$11*Population!M$31)</f>
        <v>69.637351862187472</v>
      </c>
      <c r="AE14" s="14">
        <f>(AC13*Population!$B$12*Population!M$31)+(AE13*Population!$B$11*Population!M$33)</f>
        <v>44.586003045965562</v>
      </c>
      <c r="AF14" s="13">
        <f>(AD13*Population!$B$12*Population!M$31)+(AF13*Population!$B$11*Population!M$33)</f>
        <v>44.586003045965562</v>
      </c>
      <c r="AG14" s="14">
        <f>(AE13*Population!$B$12*Population!M$33)+(AG13*Population!$B$11*Population!M$35)</f>
        <v>69.426559941960292</v>
      </c>
      <c r="AH14" s="13">
        <f>(AF13*Population!$B$12*Population!M$33)+(AH13*Population!$B$11*Population!M$35)</f>
        <v>69.426559941960292</v>
      </c>
      <c r="AI14" s="14">
        <f>(AG13*Population!$B$12*Population!M$35)+(AI13*Population!$B$11*Population!M$37)</f>
        <v>84.643595837353317</v>
      </c>
      <c r="AJ14" s="13">
        <f>(AH13*Population!$B$12*Population!M$35)+(AJ13*Population!$B$11*Population!M$37)</f>
        <v>84.643595837353317</v>
      </c>
      <c r="AK14" s="14">
        <f>(AI13*Population!$B$12*Population!M$37)+(AK13*Population!$B$11*Population!M$39)</f>
        <v>66.662431482278066</v>
      </c>
      <c r="AL14" s="13">
        <f>(AJ13*Population!$B$12*Population!M$37)+(AL13*Population!$B$11*Population!M$39)</f>
        <v>66.662431482278066</v>
      </c>
      <c r="AM14" s="14">
        <f>(AK13*Population!$B$12*Population!M$39)+(AM13*Population!$B$11*Population!M$41)</f>
        <v>36.068783844883548</v>
      </c>
      <c r="AN14" s="13">
        <f>(AL13*Population!$B$12*Population!M$39)+(AN13*Population!$B$11*Population!M$41)</f>
        <v>36.068783844883548</v>
      </c>
      <c r="AO14" s="15">
        <f>(AM13+AN13)*Population!$B$12*Population!$M$41+AO13*Population!$B$11*Population!$M$43</f>
        <v>27.924815631835706</v>
      </c>
      <c r="AP14" s="5">
        <f>AO13*Population!M$43*Population!$B$12+AP13*Population!$B$11*Population!M$44</f>
        <v>8.0356990535422526</v>
      </c>
      <c r="AQ14" s="5">
        <f>AP13*Population!M$44*Population!$B$12+AQ13*Population!$B$11*Population!M$45</f>
        <v>1.6790787253531607</v>
      </c>
      <c r="AR14" s="5">
        <f>(AQ13*Population!$B$12+AR13)*Population!M$46</f>
        <v>0.29478801685882899</v>
      </c>
    </row>
    <row r="15" spans="1:44">
      <c r="A15">
        <f>A14+Population!$B$2</f>
        <v>12</v>
      </c>
      <c r="B15" s="4">
        <f t="shared" si="4"/>
        <v>1613</v>
      </c>
      <c r="C15" s="54">
        <f t="shared" si="2"/>
        <v>549</v>
      </c>
      <c r="D15" s="12">
        <f>AD14*Population!$P$32*Population!$C$2+AF14*Population!$P$34*Population!$C$2+AH14*Population!$P$36*Population!$C$2+AJ14*Population!$P$38*Population!$C$2+AL14*Population!$P$40*Population!$C$2+AN13*Population!$P$42*Population!$C$2</f>
        <v>21.166409350173943</v>
      </c>
      <c r="E15" s="12">
        <f>IF(B14&gt;Population!$B$6*Population!$B$15,Population!$B$8,IF(Population!$J$6=1,D15,Population!$B$8*Population!$B$6*0.9/B14))</f>
        <v>61.967442617205236</v>
      </c>
      <c r="F15" s="12">
        <f>IF(B14&gt;Population!$B$6*0.75,Population!$B$8,E15)</f>
        <v>61.967442617205236</v>
      </c>
      <c r="G15" s="15">
        <f>IF(Population!$J$6=1,IF(E15&gt;H14,H14,E15),IF(E15&gt;X14,X14,E15))</f>
        <v>61.967442617205236</v>
      </c>
      <c r="H15" s="15">
        <f t="shared" si="5"/>
        <v>305</v>
      </c>
      <c r="I15" s="15">
        <f t="shared" si="6"/>
        <v>954</v>
      </c>
      <c r="J15" s="12">
        <f t="shared" si="3"/>
        <v>3.1278688524590166</v>
      </c>
      <c r="K15" s="12">
        <f>AA15*Population!$O$29+AB15*Population!$O$30+AC15*Population!$O$31+AD15*Population!$O$32+AE15*Population!$O$33+AF15*Population!$O$34+AG15*Population!$O$35+AH15*Population!$O$36+AI15*Population!$O$37+AJ15*Population!$O$38+AK15*Population!$O$39+AL15*Population!$O$40+AM15*Population!$O$41+AN15*Population!$O$42+AO15*Population!$O$43+AP15*Population!$O$44+AQ15*Population!$O$45+AR15*Population!$O$46</f>
        <v>1.9747790304686201</v>
      </c>
      <c r="L15" s="12">
        <f t="shared" si="7"/>
        <v>0.20317194300723029</v>
      </c>
      <c r="M15" s="12">
        <f t="shared" si="8"/>
        <v>9.3422781155746772</v>
      </c>
      <c r="N15" s="12">
        <f t="shared" si="0"/>
        <v>0.59144451332920023</v>
      </c>
      <c r="O15" s="12">
        <f t="shared" si="9"/>
        <v>114.13496186671591</v>
      </c>
      <c r="P15" s="12">
        <f t="shared" si="10"/>
        <v>398</v>
      </c>
      <c r="Q15" s="12">
        <f t="shared" si="11"/>
        <v>-125.56748093335796</v>
      </c>
      <c r="R15" s="12">
        <f t="shared" si="12"/>
        <v>0.29478801685882899</v>
      </c>
      <c r="S15" s="12">
        <f t="shared" si="13"/>
        <v>3.1472136674149016E-4</v>
      </c>
      <c r="T15" s="12">
        <f t="shared" si="1"/>
        <v>0.89322137398899026</v>
      </c>
      <c r="U15" s="12">
        <f>Population!$B$13*MIN(Y14:Z14)</f>
        <v>7.5621740437969578</v>
      </c>
      <c r="V15" s="12">
        <f>X14*Population!$B$14</f>
        <v>1.626832067863518</v>
      </c>
      <c r="W15" s="12">
        <f>AN14*T14*Population!$B$12</f>
        <v>4.6415008865443879</v>
      </c>
      <c r="X15" s="12">
        <f t="shared" si="17"/>
        <v>272.43251906664204</v>
      </c>
      <c r="Y15" s="14">
        <f t="shared" si="15"/>
        <v>33.215228233223115</v>
      </c>
      <c r="Z15" s="13">
        <f t="shared" si="16"/>
        <v>33.215228233223115</v>
      </c>
      <c r="AA15" s="18">
        <f>(G15+Population!$B$11*AA14)*Population!M$29</f>
        <v>456.54895354974843</v>
      </c>
      <c r="AB15" s="18">
        <f>AA14*Population!$B$12*Population!$M$29+AB14*Population!$B$11*Population!$M$30</f>
        <v>333.98296155142441</v>
      </c>
      <c r="AC15" s="14">
        <f>(AB14*Population!$B$12*0.5*Population!$M$30)+(AC14*Population!$B$11*Population!M$31)</f>
        <v>81.983540242882611</v>
      </c>
      <c r="AD15" s="13">
        <f>(AB14*Population!$B$12*0.5*Population!$M$30)+(AD14*Population!$B$11*Population!M$31)</f>
        <v>81.983540242882611</v>
      </c>
      <c r="AE15" s="14">
        <f>(AC14*Population!$B$12*Population!M$31)+(AE14*Population!$B$11*Population!M$33)</f>
        <v>48.118866139462767</v>
      </c>
      <c r="AF15" s="13">
        <f>(AD14*Population!$B$12*Population!M$31)+(AF14*Population!$B$11*Population!M$33)</f>
        <v>48.118866139462767</v>
      </c>
      <c r="AG15" s="14">
        <f>(AE14*Population!$B$12*Population!M$33)+(AG14*Population!$B$11*Population!M$35)</f>
        <v>65.757582609470447</v>
      </c>
      <c r="AH15" s="13">
        <f>(AF14*Population!$B$12*Population!M$33)+(AH14*Population!$B$11*Population!M$35)</f>
        <v>65.757582609470447</v>
      </c>
      <c r="AI15" s="14">
        <f>(AG14*Population!$B$12*Population!M$35)+(AI14*Population!$B$11*Population!M$37)</f>
        <v>82.311391678135038</v>
      </c>
      <c r="AJ15" s="13">
        <f>(AH14*Population!$B$12*Population!M$35)+(AJ14*Population!$B$11*Population!M$37)</f>
        <v>82.311391678135038</v>
      </c>
      <c r="AK15" s="14">
        <f>(AI14*Population!$B$12*Population!M$37)+(AK14*Population!$B$11*Population!M$39)</f>
        <v>69.098245402334015</v>
      </c>
      <c r="AL15" s="13">
        <f>(AJ14*Population!$B$12*Population!M$37)+(AL14*Population!$B$11*Population!M$39)</f>
        <v>69.098245402334015</v>
      </c>
      <c r="AM15" s="14">
        <f>(AK14*Population!$B$12*Population!M$39)+(AM14*Population!$B$11*Population!M$41)</f>
        <v>40.361661470462906</v>
      </c>
      <c r="AN15" s="13">
        <f>(AL14*Population!$B$12*Population!M$39)+(AN14*Population!$B$11*Population!M$41)</f>
        <v>40.361661470462906</v>
      </c>
      <c r="AO15" s="15">
        <f>(AM14+AN14)*Population!$B$12*Population!$M$41+AO14*Population!$B$11*Population!$M$43</f>
        <v>34.047603981547454</v>
      </c>
      <c r="AP15" s="5">
        <f>AO14*Population!M$43*Population!$B$12+AP14*Population!$B$11*Population!M$44</f>
        <v>10.798143161561333</v>
      </c>
      <c r="AQ15" s="5">
        <f>AP14*Population!M$44*Population!$B$12+AQ14*Population!$B$11*Population!M$45</f>
        <v>2.506135749184855</v>
      </c>
      <c r="AR15" s="5">
        <f>(AQ14*Population!$B$12+AR14)*Population!M$46</f>
        <v>0.50764556455402365</v>
      </c>
    </row>
    <row r="16" spans="1:44">
      <c r="A16">
        <f>A15+Population!$B$2</f>
        <v>13</v>
      </c>
      <c r="B16" s="4">
        <f t="shared" si="4"/>
        <v>1671</v>
      </c>
      <c r="C16" s="54">
        <f t="shared" si="2"/>
        <v>562</v>
      </c>
      <c r="D16" s="12">
        <f>AD15*Population!$P$32*Population!$C$2+AF15*Population!$P$34*Population!$C$2+AH15*Population!$P$36*Population!$C$2+AJ15*Population!$P$38*Population!$C$2+AL15*Population!$P$40*Population!$C$2+AN14*Population!$P$42*Population!$C$2</f>
        <v>21.298176288665907</v>
      </c>
      <c r="E16" s="12">
        <f>IF(B15&gt;Population!$B$6*Population!$B$15,Population!$B$8,IF(Population!$J$6=1,D16,Population!$B$8*Population!$B$6*0.9/B15))</f>
        <v>59.662392054878943</v>
      </c>
      <c r="F16" s="12">
        <f>IF(B15&gt;Population!$B$6*0.75,Population!$B$8,E16)</f>
        <v>59.662392054878943</v>
      </c>
      <c r="G16" s="15">
        <f>IF(Population!$J$6=1,IF(E16&gt;H15,H15,E16),IF(E16&gt;X15,X15,E16))</f>
        <v>59.662392054878943</v>
      </c>
      <c r="H16" s="15">
        <f t="shared" si="5"/>
        <v>311</v>
      </c>
      <c r="I16" s="15">
        <f t="shared" si="6"/>
        <v>990</v>
      </c>
      <c r="J16" s="12">
        <f t="shared" si="3"/>
        <v>3.1832797427652735</v>
      </c>
      <c r="K16" s="12">
        <f>AA16*Population!$O$29+AB16*Population!$O$30+AC16*Population!$O$31+AD16*Population!$O$32+AE16*Population!$O$33+AF16*Population!$O$34+AG16*Population!$O$35+AH16*Population!$O$36+AI16*Population!$O$37+AJ16*Population!$O$38+AK16*Population!$O$39+AL16*Population!$O$40+AM16*Population!$O$41+AN16*Population!$O$42+AO16*Population!$O$43+AP16*Population!$O$44+AQ16*Population!$O$45+AR16*Population!$O$46</f>
        <v>2.150534844156943</v>
      </c>
      <c r="L16" s="12">
        <f t="shared" si="7"/>
        <v>0.19184048892244032</v>
      </c>
      <c r="M16" s="12">
        <f t="shared" si="8"/>
        <v>9.3248700077683964</v>
      </c>
      <c r="N16" s="12">
        <f t="shared" si="0"/>
        <v>0.59245960502692996</v>
      </c>
      <c r="O16" s="12">
        <f t="shared" si="9"/>
        <v>133.09708046893991</v>
      </c>
      <c r="P16" s="12">
        <f t="shared" si="10"/>
        <v>413</v>
      </c>
      <c r="Q16" s="12">
        <f t="shared" si="11"/>
        <v>-139.04854023446995</v>
      </c>
      <c r="R16" s="12">
        <f t="shared" si="12"/>
        <v>0.50764556455402365</v>
      </c>
      <c r="S16" s="12">
        <f t="shared" si="13"/>
        <v>4.9188005006115388E-4</v>
      </c>
      <c r="T16" s="12">
        <f t="shared" si="1"/>
        <v>0.88087286098241169</v>
      </c>
      <c r="U16" s="12">
        <f>Population!$B$13*MIN(Y15:Z15)</f>
        <v>8.3038070583057788</v>
      </c>
      <c r="V16" s="12">
        <f>X15*Population!$B$14</f>
        <v>1.6345951143998523</v>
      </c>
      <c r="W16" s="12">
        <f>AN15*T15*Population!$B$12</f>
        <v>5.1502712450179091</v>
      </c>
      <c r="X16" s="12">
        <f t="shared" si="17"/>
        <v>273.95145976553005</v>
      </c>
      <c r="Y16" s="14">
        <f t="shared" si="15"/>
        <v>37.101866638589343</v>
      </c>
      <c r="Z16" s="13">
        <f t="shared" si="16"/>
        <v>37.101866638589343</v>
      </c>
      <c r="AA16" s="18">
        <f>(G16+Population!$B$11*AA15)*Population!M$29</f>
        <v>450.8069645590823</v>
      </c>
      <c r="AB16" s="18">
        <f>AA15*Population!$B$12*Population!$M$29+AB15*Population!$B$11*Population!$M$30</f>
        <v>351.40149814072277</v>
      </c>
      <c r="AC16" s="14">
        <f>(AB15*Population!$B$12*0.5*Population!$M$30)+(AC15*Population!$B$11*Population!M$31)</f>
        <v>94.055195323817784</v>
      </c>
      <c r="AD16" s="13">
        <f>(AB15*Population!$B$12*0.5*Population!$M$30)+(AD15*Population!$B$11*Population!M$31)</f>
        <v>94.055195323817784</v>
      </c>
      <c r="AE16" s="14">
        <f>(AC15*Population!$B$12*Population!M$31)+(AE15*Population!$B$11*Population!M$33)</f>
        <v>52.906209012746046</v>
      </c>
      <c r="AF16" s="13">
        <f>(AD15*Population!$B$12*Population!M$31)+(AF15*Population!$B$11*Population!M$33)</f>
        <v>52.906209012746046</v>
      </c>
      <c r="AG16" s="14">
        <f>(AE15*Population!$B$12*Population!M$33)+(AG15*Population!$B$11*Population!M$35)</f>
        <v>63.122996737884783</v>
      </c>
      <c r="AH16" s="13">
        <f>(AF15*Population!$B$12*Population!M$33)+(AH15*Population!$B$11*Population!M$35)</f>
        <v>63.122996737884783</v>
      </c>
      <c r="AI16" s="14">
        <f>(AG15*Population!$B$12*Population!M$35)+(AI15*Population!$B$11*Population!M$37)</f>
        <v>79.793064412505487</v>
      </c>
      <c r="AJ16" s="13">
        <f>(AH15*Population!$B$12*Population!M$35)+(AJ15*Population!$B$11*Population!M$37)</f>
        <v>79.793064412505487</v>
      </c>
      <c r="AK16" s="14">
        <f>(AI15*Population!$B$12*Population!M$37)+(AK15*Population!$B$11*Population!M$39)</f>
        <v>70.849544919011748</v>
      </c>
      <c r="AL16" s="13">
        <f>(AJ15*Population!$B$12*Population!M$37)+(AL15*Population!$B$11*Population!M$39)</f>
        <v>70.849544919011748</v>
      </c>
      <c r="AM16" s="14">
        <f>(AK15*Population!$B$12*Population!M$39)+(AM15*Population!$B$11*Population!M$41)</f>
        <v>44.381511321971317</v>
      </c>
      <c r="AN16" s="13">
        <f>(AL15*Population!$B$12*Population!M$39)+(AN15*Population!$B$11*Population!M$41)</f>
        <v>44.381511321971317</v>
      </c>
      <c r="AO16" s="15">
        <f>(AM15+AN15)*Population!$B$12*Population!$M$41+AO15*Population!$B$11*Population!$M$43</f>
        <v>40.48184103956666</v>
      </c>
      <c r="AP16" s="5">
        <f>AO15*Population!M$43*Population!$B$12+AP15*Population!$B$11*Population!M$44</f>
        <v>14.017128370645903</v>
      </c>
      <c r="AQ16" s="5">
        <f>AP15*Population!M$44*Population!$B$12+AQ15*Population!$B$11*Population!M$45</f>
        <v>3.5710016072080331</v>
      </c>
      <c r="AR16" s="5">
        <f>(AQ15*Population!$B$12+AR15)*Population!M$46</f>
        <v>0.82193156365218811</v>
      </c>
    </row>
    <row r="17" spans="1:44">
      <c r="A17">
        <f>A16+Population!$B$2</f>
        <v>14</v>
      </c>
      <c r="B17" s="4">
        <f t="shared" si="4"/>
        <v>1726</v>
      </c>
      <c r="C17" s="54">
        <f t="shared" si="2"/>
        <v>577</v>
      </c>
      <c r="D17" s="12">
        <f>AD16*Population!$P$32*Population!$C$2+AF16*Population!$P$34*Population!$C$2+AH16*Population!$P$36*Population!$C$2+AJ16*Population!$P$38*Population!$C$2+AL16*Population!$P$40*Population!$C$2+AN15*Population!$P$42*Population!$C$2</f>
        <v>21.586147103536575</v>
      </c>
      <c r="E17" s="12">
        <f>IF(B16&gt;Population!$B$6*Population!$B$15,Population!$B$8,IF(Population!$J$6=1,D17,Population!$B$8*Population!$B$6*0.9/B16))</f>
        <v>57.591525065541433</v>
      </c>
      <c r="F17" s="12">
        <f>IF(B16&gt;Population!$B$6*0.75,Population!$B$8,E17)</f>
        <v>57.591525065541433</v>
      </c>
      <c r="G17" s="15">
        <f>IF(Population!$J$6=1,IF(E17&gt;H16,H16,E17),IF(E17&gt;X16,X16,E17))</f>
        <v>57.591525065541433</v>
      </c>
      <c r="H17" s="15">
        <f t="shared" si="5"/>
        <v>317</v>
      </c>
      <c r="I17" s="15">
        <f t="shared" si="6"/>
        <v>1020</v>
      </c>
      <c r="J17" s="12">
        <f t="shared" si="3"/>
        <v>3.2176656151419558</v>
      </c>
      <c r="K17" s="12">
        <f>AA17*Population!$O$29+AB17*Population!$O$30+AC17*Population!$O$31+AD17*Population!$O$32+AE17*Population!$O$33+AF17*Population!$O$34+AG17*Population!$O$35+AH17*Population!$O$36+AI17*Population!$O$37+AJ17*Population!$O$38+AK17*Population!$O$39+AL17*Population!$O$40+AM17*Population!$O$41+AN17*Population!$O$42+AO17*Population!$O$43+AP17*Population!$O$44+AQ17*Population!$O$45+AR17*Population!$O$46</f>
        <v>2.3505322607441905</v>
      </c>
      <c r="L17" s="12">
        <f t="shared" si="7"/>
        <v>0.18167673522252817</v>
      </c>
      <c r="M17" s="12">
        <f t="shared" si="8"/>
        <v>9.4068561969633304</v>
      </c>
      <c r="N17" s="12">
        <f t="shared" si="0"/>
        <v>0.59096176129779843</v>
      </c>
      <c r="O17" s="12">
        <f t="shared" si="9"/>
        <v>154.00341291051961</v>
      </c>
      <c r="P17" s="12">
        <f t="shared" si="10"/>
        <v>425</v>
      </c>
      <c r="Q17" s="12">
        <f t="shared" si="11"/>
        <v>-149.00170645525981</v>
      </c>
      <c r="R17" s="12">
        <f t="shared" si="12"/>
        <v>0.82193156365218811</v>
      </c>
      <c r="S17" s="12">
        <f t="shared" si="13"/>
        <v>7.3277997627936109E-4</v>
      </c>
      <c r="T17" s="12">
        <f t="shared" si="1"/>
        <v>0.87065707742820253</v>
      </c>
      <c r="U17" s="12">
        <f>Population!$B$13*MIN(Y16:Z16)</f>
        <v>9.2754666596473356</v>
      </c>
      <c r="V17" s="12">
        <f>X16*Population!$B$14</f>
        <v>1.6437087585931802</v>
      </c>
      <c r="W17" s="12">
        <f>AN16*T16*Population!$B$12</f>
        <v>5.5849241218440246</v>
      </c>
      <c r="X17" s="12">
        <f t="shared" si="17"/>
        <v>275.99829354474019</v>
      </c>
      <c r="Y17" s="14">
        <f t="shared" si="15"/>
        <v>41.604579620004472</v>
      </c>
      <c r="Z17" s="13">
        <f t="shared" si="16"/>
        <v>41.604579620004472</v>
      </c>
      <c r="AA17" s="18">
        <f>(G17+Population!$B$11*AA16)*Population!M$29</f>
        <v>443.8172317047688</v>
      </c>
      <c r="AB17" s="18">
        <f>AA16*Population!$B$12*Population!$M$29+AB16*Population!$B$11*Population!$M$30</f>
        <v>365.50836196475973</v>
      </c>
      <c r="AC17" s="14">
        <f>(AB16*Population!$B$12*0.5*Population!$M$30)+(AC16*Population!$B$11*Population!M$31)</f>
        <v>105.63636867683795</v>
      </c>
      <c r="AD17" s="13">
        <f>(AB16*Population!$B$12*0.5*Population!$M$30)+(AD16*Population!$B$11*Population!M$31)</f>
        <v>105.63636867683795</v>
      </c>
      <c r="AE17" s="14">
        <f>(AC16*Population!$B$12*Population!M$31)+(AE16*Population!$B$11*Population!M$33)</f>
        <v>58.72861387085937</v>
      </c>
      <c r="AF17" s="13">
        <f>(AD16*Population!$B$12*Population!M$31)+(AF16*Population!$B$11*Population!M$33)</f>
        <v>58.72861387085937</v>
      </c>
      <c r="AG17" s="14">
        <f>(AE16*Population!$B$12*Population!M$33)+(AG16*Population!$B$11*Population!M$35)</f>
        <v>61.552370414349312</v>
      </c>
      <c r="AH17" s="13">
        <f>(AF16*Population!$B$12*Population!M$33)+(AH16*Population!$B$11*Population!M$35)</f>
        <v>61.552370414349312</v>
      </c>
      <c r="AI17" s="14">
        <f>(AG16*Population!$B$12*Population!M$35)+(AI16*Population!$B$11*Population!M$37)</f>
        <v>77.262995851021259</v>
      </c>
      <c r="AJ17" s="13">
        <f>(AH16*Population!$B$12*Population!M$35)+(AJ16*Population!$B$11*Population!M$37)</f>
        <v>77.262995851021259</v>
      </c>
      <c r="AK17" s="14">
        <f>(AI16*Population!$B$12*Population!M$37)+(AK16*Population!$B$11*Population!M$39)</f>
        <v>71.988706355062433</v>
      </c>
      <c r="AL17" s="13">
        <f>(AJ16*Population!$B$12*Population!M$37)+(AL16*Population!$B$11*Population!M$39)</f>
        <v>71.988706355062433</v>
      </c>
      <c r="AM17" s="14">
        <f>(AK16*Population!$B$12*Population!M$39)+(AM16*Population!$B$11*Population!M$41)</f>
        <v>48.070186673452291</v>
      </c>
      <c r="AN17" s="13">
        <f>(AL16*Population!$B$12*Population!M$39)+(AN16*Population!$B$11*Population!M$41)</f>
        <v>48.070186673452291</v>
      </c>
      <c r="AO17" s="15">
        <f>(AM16+AN16)*Population!$B$12*Population!$M$41+AO16*Population!$B$11*Population!$M$43</f>
        <v>47.103240541806443</v>
      </c>
      <c r="AP17" s="5">
        <f>AO16*Population!M$43*Population!$B$12+AP16*Population!$B$11*Population!M$44</f>
        <v>17.668767547397447</v>
      </c>
      <c r="AQ17" s="5">
        <f>AP16*Population!M$44*Population!$B$12+AQ16*Population!$B$11*Population!M$45</f>
        <v>4.8941531180042883</v>
      </c>
      <c r="AR17" s="5">
        <f>(AQ16*Population!$B$12+AR16)*Population!M$46</f>
        <v>1.2647782390581772</v>
      </c>
    </row>
    <row r="18" spans="1:44">
      <c r="A18">
        <f>A17+Population!$B$2</f>
        <v>15</v>
      </c>
      <c r="B18" s="4">
        <f t="shared" si="4"/>
        <v>1780</v>
      </c>
      <c r="C18" s="54">
        <f t="shared" si="2"/>
        <v>595</v>
      </c>
      <c r="D18" s="12">
        <f>AD17*Population!$P$32*Population!$C$2+AF17*Population!$P$34*Population!$C$2+AH17*Population!$P$36*Population!$C$2+AJ17*Population!$P$38*Population!$C$2+AL17*Population!$P$40*Population!$C$2+AN16*Population!$P$42*Population!$C$2</f>
        <v>22.026242988744265</v>
      </c>
      <c r="E18" s="12">
        <f>IF(B17&gt;Population!$B$6*Population!$B$15,Population!$B$8,IF(Population!$J$6=1,D18,Population!$B$8*Population!$B$6*0.9/B17))</f>
        <v>55.756337418609348</v>
      </c>
      <c r="F18" s="12">
        <f>IF(B17&gt;Population!$B$6*0.75,Population!$B$8,E18)</f>
        <v>55.756337418609348</v>
      </c>
      <c r="G18" s="15">
        <f>IF(Population!$J$6=1,IF(E18&gt;H17,H17,E18),IF(E18&gt;X17,X17,E18))</f>
        <v>55.756337418609348</v>
      </c>
      <c r="H18" s="15">
        <f t="shared" si="5"/>
        <v>325</v>
      </c>
      <c r="I18" s="15">
        <f t="shared" si="6"/>
        <v>1045</v>
      </c>
      <c r="J18" s="12">
        <f t="shared" si="3"/>
        <v>3.2153846153846155</v>
      </c>
      <c r="K18" s="12">
        <f>AA18*Population!$O$29+AB18*Population!$O$30+AC18*Population!$O$31+AD18*Population!$O$32+AE18*Population!$O$33+AF18*Population!$O$34+AG18*Population!$O$35+AH18*Population!$O$36+AI18*Population!$O$37+AJ18*Population!$O$38+AK18*Population!$O$39+AL18*Population!$O$40+AM18*Population!$O$41+AN18*Population!$O$42+AO18*Population!$O$43+AP18*Population!$O$44+AQ18*Population!$O$45+AR18*Population!$O$46</f>
        <v>2.5759708736056059</v>
      </c>
      <c r="L18" s="12">
        <f t="shared" si="7"/>
        <v>0.17155796128802878</v>
      </c>
      <c r="M18" s="12">
        <f t="shared" si="8"/>
        <v>9.5848397970501509</v>
      </c>
      <c r="N18" s="12">
        <f t="shared" si="0"/>
        <v>0.5870786516853933</v>
      </c>
      <c r="O18" s="12">
        <f t="shared" si="9"/>
        <v>177.47100212035025</v>
      </c>
      <c r="P18" s="12">
        <f t="shared" si="10"/>
        <v>436</v>
      </c>
      <c r="Q18" s="12">
        <f t="shared" si="11"/>
        <v>-157.23550106017512</v>
      </c>
      <c r="R18" s="12">
        <f t="shared" si="12"/>
        <v>1.2647782390581772</v>
      </c>
      <c r="S18" s="12">
        <f t="shared" si="13"/>
        <v>1.0475980737904829E-3</v>
      </c>
      <c r="T18" s="12">
        <f t="shared" si="1"/>
        <v>0.85773691981484579</v>
      </c>
      <c r="U18" s="12">
        <f>Population!$B$13*MIN(Y17:Z17)</f>
        <v>10.401144905001118</v>
      </c>
      <c r="V18" s="12">
        <f>X17*Population!$B$14</f>
        <v>1.6559897612684411</v>
      </c>
      <c r="W18" s="12">
        <f>AN17*T17*Population!$B$12</f>
        <v>5.9789497486480139</v>
      </c>
      <c r="X18" s="12">
        <f t="shared" si="17"/>
        <v>278.76449893982488</v>
      </c>
      <c r="Y18" s="14">
        <f t="shared" si="15"/>
        <v>46.50791089269228</v>
      </c>
      <c r="Z18" s="13">
        <f t="shared" si="16"/>
        <v>46.50791089269228</v>
      </c>
      <c r="AA18" s="18">
        <f>(G18+Population!$B$11*AA17)*Population!M$29</f>
        <v>435.99402198164313</v>
      </c>
      <c r="AB18" s="18">
        <f>AA17*Population!$B$12*Population!$M$29+AB17*Population!$B$11*Population!$M$30</f>
        <v>376.59911105837182</v>
      </c>
      <c r="AC18" s="14">
        <f>(AB17*Population!$B$12*0.5*Population!$M$30)+(AC17*Population!$B$11*Population!M$31)</f>
        <v>116.56103494237034</v>
      </c>
      <c r="AD18" s="13">
        <f>(AB17*Population!$B$12*0.5*Population!$M$30)+(AD17*Population!$B$11*Population!M$31)</f>
        <v>116.56103494237034</v>
      </c>
      <c r="AE18" s="14">
        <f>(AC17*Population!$B$12*Population!M$31)+(AE17*Population!$B$11*Population!M$33)</f>
        <v>65.367367175504512</v>
      </c>
      <c r="AF18" s="13">
        <f>(AD17*Population!$B$12*Population!M$31)+(AF17*Population!$B$11*Population!M$33)</f>
        <v>65.367367175504512</v>
      </c>
      <c r="AG18" s="14">
        <f>(AE17*Population!$B$12*Population!M$33)+(AG17*Population!$B$11*Population!M$35)</f>
        <v>61.039683525823293</v>
      </c>
      <c r="AH18" s="13">
        <f>(AF17*Population!$B$12*Population!M$33)+(AH17*Population!$B$11*Population!M$35)</f>
        <v>61.039683525823293</v>
      </c>
      <c r="AI18" s="14">
        <f>(AG17*Population!$B$12*Population!M$35)+(AI17*Population!$B$11*Population!M$37)</f>
        <v>74.874585036725364</v>
      </c>
      <c r="AJ18" s="13">
        <f>(AH17*Population!$B$12*Population!M$35)+(AJ17*Population!$B$11*Population!M$37)</f>
        <v>74.874585036725364</v>
      </c>
      <c r="AK18" s="14">
        <f>(AI17*Population!$B$12*Population!M$37)+(AK17*Population!$B$11*Population!M$39)</f>
        <v>72.602511304593079</v>
      </c>
      <c r="AL18" s="13">
        <f>(AJ17*Population!$B$12*Population!M$37)+(AL17*Population!$B$11*Population!M$39)</f>
        <v>72.602511304593079</v>
      </c>
      <c r="AM18" s="14">
        <f>(AK17*Population!$B$12*Population!M$39)+(AM17*Population!$B$11*Population!M$41)</f>
        <v>51.388262789870893</v>
      </c>
      <c r="AN18" s="13">
        <f>(AL17*Population!$B$12*Population!M$39)+(AN17*Population!$B$11*Population!M$41)</f>
        <v>51.388262789870893</v>
      </c>
      <c r="AO18" s="15">
        <f>(AM17+AN17)*Population!$B$12*Population!$M$41+AO17*Population!$B$11*Population!$M$43</f>
        <v>53.789462302478377</v>
      </c>
      <c r="AP18" s="5">
        <f>AO17*Population!M$43*Population!$B$12+AP17*Population!$B$11*Population!M$44</f>
        <v>21.715107991993037</v>
      </c>
      <c r="AQ18" s="5">
        <f>AP17*Population!M$44*Population!$B$12+AQ17*Population!$B$11*Population!M$45</f>
        <v>6.4888674282250118</v>
      </c>
      <c r="AR18" s="5">
        <f>(AQ17*Population!$B$12+AR17)*Population!M$46</f>
        <v>1.8647245713470597</v>
      </c>
    </row>
    <row r="19" spans="1:44">
      <c r="A19">
        <f>A18+Population!$B$2</f>
        <v>16</v>
      </c>
      <c r="B19" s="4">
        <f t="shared" si="4"/>
        <v>1831</v>
      </c>
      <c r="C19" s="54">
        <f t="shared" si="2"/>
        <v>613</v>
      </c>
      <c r="D19" s="12">
        <f>AD18*Population!$P$32*Population!$C$2+AF18*Population!$P$34*Population!$C$2+AH18*Population!$P$36*Population!$C$2+AJ18*Population!$P$38*Population!$C$2+AL18*Population!$P$40*Population!$C$2+AN17*Population!$P$42*Population!$C$2</f>
        <v>22.61102460562044</v>
      </c>
      <c r="E19" s="12">
        <f>IF(B18&gt;Population!$B$6*Population!$B$15,Population!$B$8,IF(Population!$J$6=1,D19,Population!$B$8*Population!$B$6*0.9/B18))</f>
        <v>54.064853025011082</v>
      </c>
      <c r="F19" s="12">
        <f>IF(B18&gt;Population!$B$6*0.75,Population!$B$8,E19)</f>
        <v>54.064853025011082</v>
      </c>
      <c r="G19" s="15">
        <f>IF(Population!$J$6=1,IF(E19&gt;H18,H18,E19),IF(E19&gt;X18,X18,E19))</f>
        <v>54.064853025011082</v>
      </c>
      <c r="H19" s="15">
        <f t="shared" si="5"/>
        <v>334</v>
      </c>
      <c r="I19" s="15">
        <f t="shared" si="6"/>
        <v>1066</v>
      </c>
      <c r="J19" s="12">
        <f t="shared" si="3"/>
        <v>3.191616766467066</v>
      </c>
      <c r="K19" s="12">
        <f>AA19*Population!$O$29+AB19*Population!$O$30+AC19*Population!$O$31+AD19*Population!$O$32+AE19*Population!$O$33+AF19*Population!$O$34+AG19*Population!$O$35+AH19*Population!$O$36+AI19*Population!$O$37+AJ19*Population!$O$38+AK19*Population!$O$39+AL19*Population!$O$40+AM19*Population!$O$41+AN19*Population!$O$42+AO19*Population!$O$43+AP19*Population!$O$44+AQ19*Population!$O$45+AR19*Population!$O$46</f>
        <v>2.8275806580298442</v>
      </c>
      <c r="L19" s="12">
        <f t="shared" si="7"/>
        <v>0.16187081744015294</v>
      </c>
      <c r="M19" s="12">
        <f t="shared" si="8"/>
        <v>9.8532504975039394</v>
      </c>
      <c r="N19" s="12">
        <f t="shared" si="0"/>
        <v>0.58219552157291099</v>
      </c>
      <c r="O19" s="12">
        <f t="shared" si="9"/>
        <v>200.15582358700192</v>
      </c>
      <c r="P19" s="12">
        <f t="shared" si="10"/>
        <v>445</v>
      </c>
      <c r="Q19" s="12">
        <f t="shared" si="11"/>
        <v>-162.57791179350096</v>
      </c>
      <c r="R19" s="12">
        <f t="shared" si="12"/>
        <v>1.8647245713470597</v>
      </c>
      <c r="S19" s="12">
        <f t="shared" si="13"/>
        <v>1.4476617498454651E-3</v>
      </c>
      <c r="T19" s="12">
        <f t="shared" si="1"/>
        <v>0.84557511439071564</v>
      </c>
      <c r="U19" s="12">
        <f>Population!$B$13*MIN(Y18:Z18)</f>
        <v>11.62697772317307</v>
      </c>
      <c r="V19" s="12">
        <f>X18*Population!$B$14</f>
        <v>1.6725869936389492</v>
      </c>
      <c r="W19" s="12">
        <f>AN18*T18*Population!$B$12</f>
        <v>6.2968014628599587</v>
      </c>
      <c r="X19" s="12">
        <f t="shared" si="17"/>
        <v>282.42208820649904</v>
      </c>
      <c r="Y19" s="14">
        <f t="shared" si="15"/>
        <v>51.597630979020721</v>
      </c>
      <c r="Z19" s="13">
        <f t="shared" si="16"/>
        <v>51.597630979020721</v>
      </c>
      <c r="AA19" s="18">
        <f>(G19+Population!$B$11*AA18)*Population!M$29</f>
        <v>427.6003384735846</v>
      </c>
      <c r="AB19" s="18">
        <f>AA18*Population!$B$12*Population!$M$29+AB18*Population!$B$11*Population!$M$30</f>
        <v>384.98618085128868</v>
      </c>
      <c r="AC19" s="14">
        <f>(AB18*Population!$B$12*0.5*Population!$M$30)+(AC18*Population!$B$11*Population!M$31)</f>
        <v>126.70812882651622</v>
      </c>
      <c r="AD19" s="13">
        <f>(AB18*Population!$B$12*0.5*Population!$M$30)+(AD18*Population!$B$11*Population!M$31)</f>
        <v>126.70812882651622</v>
      </c>
      <c r="AE19" s="14">
        <f>(AC18*Population!$B$12*Population!M$31)+(AE18*Population!$B$11*Population!M$33)</f>
        <v>72.611483531941118</v>
      </c>
      <c r="AF19" s="13">
        <f>(AD18*Population!$B$12*Population!M$31)+(AF18*Population!$B$11*Population!M$33)</f>
        <v>72.611483531941118</v>
      </c>
      <c r="AG19" s="14">
        <f>(AE18*Population!$B$12*Population!M$33)+(AG18*Population!$B$11*Population!M$35)</f>
        <v>61.548570867901219</v>
      </c>
      <c r="AH19" s="13">
        <f>(AF18*Population!$B$12*Population!M$33)+(AH18*Population!$B$11*Population!M$35)</f>
        <v>61.548570867901219</v>
      </c>
      <c r="AI19" s="14">
        <f>(AG18*Population!$B$12*Population!M$35)+(AI18*Population!$B$11*Population!M$37)</f>
        <v>72.758206047740401</v>
      </c>
      <c r="AJ19" s="13">
        <f>(AH18*Population!$B$12*Population!M$35)+(AJ18*Population!$B$11*Population!M$37)</f>
        <v>72.758206047740401</v>
      </c>
      <c r="AK19" s="14">
        <f>(AI18*Population!$B$12*Population!M$37)+(AK18*Population!$B$11*Population!M$39)</f>
        <v>72.787073247254924</v>
      </c>
      <c r="AL19" s="13">
        <f>(AJ18*Population!$B$12*Population!M$37)+(AL18*Population!$B$11*Population!M$39)</f>
        <v>72.787073247254924</v>
      </c>
      <c r="AM19" s="14">
        <f>(AK18*Population!$B$12*Population!M$39)+(AM18*Population!$B$11*Population!M$41)</f>
        <v>54.314385490682049</v>
      </c>
      <c r="AN19" s="13">
        <f>(AL18*Population!$B$12*Population!M$39)+(AN18*Population!$B$11*Population!M$41)</f>
        <v>54.314385490682049</v>
      </c>
      <c r="AO19" s="15">
        <f>(AM18+AN18)*Population!$B$12*Population!$M$41+AO18*Population!$B$11*Population!$M$43</f>
        <v>60.42516097933445</v>
      </c>
      <c r="AP19" s="5">
        <f>AO18*Population!M$43*Population!$B$12+AP18*Population!$B$11*Population!M$44</f>
        <v>26.106504207870277</v>
      </c>
      <c r="AQ19" s="5">
        <f>AP18*Population!M$44*Population!$B$12+AQ18*Population!$B$11*Population!M$45</f>
        <v>8.3605675047939414</v>
      </c>
      <c r="AR19" s="5">
        <f>(AQ18*Population!$B$12+AR18)*Population!M$46</f>
        <v>2.6506686639670467</v>
      </c>
    </row>
    <row r="20" spans="1:44">
      <c r="A20">
        <f>A19+Population!$B$2</f>
        <v>17</v>
      </c>
      <c r="B20" s="4">
        <f t="shared" si="4"/>
        <v>1881</v>
      </c>
      <c r="C20" s="54">
        <f t="shared" si="2"/>
        <v>635</v>
      </c>
      <c r="D20" s="12">
        <f>AD19*Population!$P$32*Population!$C$2+AF19*Population!$P$34*Population!$C$2+AH19*Population!$P$36*Population!$C$2+AJ19*Population!$P$38*Population!$C$2+AL19*Population!$P$40*Population!$C$2+AN18*Population!$P$42*Population!$C$2</f>
        <v>23.330389210382123</v>
      </c>
      <c r="E20" s="12">
        <f>IF(B19&gt;Population!$B$6*Population!$B$15,Population!$B$8,IF(Population!$J$6=1,D20,Population!$B$8*Population!$B$6*0.9/B19))</f>
        <v>52.558950510387618</v>
      </c>
      <c r="F20" s="12">
        <f>IF(B19&gt;Population!$B$6*0.75,Population!$B$8,E20)</f>
        <v>52.558950510387618</v>
      </c>
      <c r="G20" s="15">
        <f>IF(Population!$J$6=1,IF(E20&gt;H19,H19,E20),IF(E20&gt;X19,X19,E20))</f>
        <v>52.558950510387618</v>
      </c>
      <c r="H20" s="15">
        <f t="shared" si="5"/>
        <v>343</v>
      </c>
      <c r="I20" s="15">
        <f t="shared" si="6"/>
        <v>1081</v>
      </c>
      <c r="J20" s="12">
        <f t="shared" si="3"/>
        <v>3.1516034985422738</v>
      </c>
      <c r="K20" s="12">
        <f>AA20*Population!$O$29+AB20*Population!$O$30+AC20*Population!$O$31+AD20*Population!$O$32+AE20*Population!$O$33+AF20*Population!$O$34+AG20*Population!$O$35+AH20*Population!$O$36+AI20*Population!$O$37+AJ20*Population!$O$38+AK20*Population!$O$39+AL20*Population!$O$40+AM20*Population!$O$41+AN20*Population!$O$42+AO20*Population!$O$43+AP20*Population!$O$44+AQ20*Population!$O$45+AR20*Population!$O$46</f>
        <v>3.105659299871864</v>
      </c>
      <c r="L20" s="12">
        <f t="shared" si="7"/>
        <v>0.15323309186701931</v>
      </c>
      <c r="M20" s="12">
        <f t="shared" si="8"/>
        <v>10.204810983212976</v>
      </c>
      <c r="N20" s="12">
        <f t="shared" si="0"/>
        <v>0.57469431153641681</v>
      </c>
      <c r="O20" s="12">
        <f t="shared" si="9"/>
        <v>225.86804250578234</v>
      </c>
      <c r="P20" s="12">
        <f t="shared" si="10"/>
        <v>451</v>
      </c>
      <c r="Q20" s="12">
        <f t="shared" si="11"/>
        <v>-163.93402125289117</v>
      </c>
      <c r="R20" s="12">
        <f t="shared" si="12"/>
        <v>2.6506686639670467</v>
      </c>
      <c r="S20" s="12">
        <f t="shared" si="13"/>
        <v>1.9408741411024357E-3</v>
      </c>
      <c r="T20" s="12">
        <f t="shared" si="1"/>
        <v>0.83692705174084203</v>
      </c>
      <c r="U20" s="12">
        <f>Population!$B$13*MIN(Y19:Z19)</f>
        <v>12.89940774475518</v>
      </c>
      <c r="V20" s="12">
        <f>X19*Population!$B$14</f>
        <v>1.6945325292389943</v>
      </c>
      <c r="W20" s="12">
        <f>AN19*T19*Population!$B$12</f>
        <v>6.5609846749064147</v>
      </c>
      <c r="X20" s="12">
        <f t="shared" si="17"/>
        <v>287.06597874710883</v>
      </c>
      <c r="Y20" s="14">
        <f t="shared" si="15"/>
        <v>56.722248469179362</v>
      </c>
      <c r="Z20" s="13">
        <f t="shared" si="16"/>
        <v>56.722248469179362</v>
      </c>
      <c r="AA20" s="18">
        <f>(G20+Population!$B$11*AA19)*Population!M$29</f>
        <v>418.90338249319268</v>
      </c>
      <c r="AB20" s="18">
        <f>AA19*Population!$B$12*Population!$M$29+AB19*Population!$B$11*Population!$M$30</f>
        <v>390.97486949996392</v>
      </c>
      <c r="AC20" s="14">
        <f>(AB19*Population!$B$12*0.5*Population!$M$30)+(AC19*Population!$B$11*Population!M$31)</f>
        <v>135.99629076553799</v>
      </c>
      <c r="AD20" s="13">
        <f>(AB19*Population!$B$12*0.5*Population!$M$30)+(AD19*Population!$B$11*Population!M$31)</f>
        <v>135.99629076553799</v>
      </c>
      <c r="AE20" s="14">
        <f>(AC19*Population!$B$12*Population!M$31)+(AE19*Population!$B$11*Population!M$33)</f>
        <v>80.263012101222245</v>
      </c>
      <c r="AF20" s="13">
        <f>(AD19*Population!$B$12*Population!M$31)+(AF19*Population!$B$11*Population!M$33)</f>
        <v>80.263012101222245</v>
      </c>
      <c r="AG20" s="14">
        <f>(AE19*Population!$B$12*Population!M$33)+(AG19*Population!$B$11*Population!M$35)</f>
        <v>63.017810065592037</v>
      </c>
      <c r="AH20" s="13">
        <f>(AF19*Population!$B$12*Population!M$33)+(AH19*Population!$B$11*Population!M$35)</f>
        <v>63.017810065592037</v>
      </c>
      <c r="AI20" s="14">
        <f>(AG19*Population!$B$12*Population!M$35)+(AI19*Population!$B$11*Population!M$37)</f>
        <v>71.020208480658184</v>
      </c>
      <c r="AJ20" s="13">
        <f>(AH19*Population!$B$12*Population!M$35)+(AJ19*Population!$B$11*Population!M$37)</f>
        <v>71.020208480658184</v>
      </c>
      <c r="AK20" s="14">
        <f>(AI19*Population!$B$12*Population!M$37)+(AK19*Population!$B$11*Population!M$39)</f>
        <v>72.643206098835705</v>
      </c>
      <c r="AL20" s="13">
        <f>(AJ19*Population!$B$12*Population!M$37)+(AL19*Population!$B$11*Population!M$39)</f>
        <v>72.643206098835705</v>
      </c>
      <c r="AM20" s="14">
        <f>(AK19*Population!$B$12*Population!M$39)+(AM19*Population!$B$11*Population!M$41)</f>
        <v>56.843990469979978</v>
      </c>
      <c r="AN20" s="13">
        <f>(AL19*Population!$B$12*Population!M$39)+(AN19*Population!$B$11*Population!M$41)</f>
        <v>56.843990469979978</v>
      </c>
      <c r="AO20" s="15">
        <f>(AM19+AN19)*Population!$B$12*Population!$M$41+AO19*Population!$B$11*Population!$M$43</f>
        <v>66.906096444926504</v>
      </c>
      <c r="AP20" s="5">
        <f>AO19*Population!M$43*Population!$B$12+AP19*Population!$B$11*Population!M$44</f>
        <v>30.784352982344799</v>
      </c>
      <c r="AQ20" s="5">
        <f>AP19*Population!M$44*Population!$B$12+AQ19*Population!$B$11*Population!M$45</f>
        <v>10.506625979867676</v>
      </c>
      <c r="AR20" s="5">
        <f>(AQ19*Population!$B$12+AR19)*Population!M$46</f>
        <v>3.6507842594136815</v>
      </c>
    </row>
    <row r="21" spans="1:44">
      <c r="A21">
        <f>A20+Population!$B$2</f>
        <v>18</v>
      </c>
      <c r="B21" s="4">
        <f t="shared" si="4"/>
        <v>1929</v>
      </c>
      <c r="C21" s="54">
        <f t="shared" si="2"/>
        <v>658</v>
      </c>
      <c r="D21" s="12">
        <f>AD20*Population!$P$32*Population!$C$2+AF20*Population!$P$34*Population!$C$2+AH20*Population!$P$36*Population!$C$2+AJ20*Population!$P$38*Population!$C$2+AL20*Population!$P$40*Population!$C$2+AN19*Population!$P$42*Population!$C$2</f>
        <v>24.17221634226005</v>
      </c>
      <c r="E21" s="12">
        <f>IF(B20&gt;Population!$B$6*Population!$B$15,Population!$B$8,IF(Population!$J$6=1,D21,Population!$B$8*Population!$B$6*0.9/B20))</f>
        <v>51.161849220903633</v>
      </c>
      <c r="F21" s="12">
        <f>IF(B20&gt;Population!$B$6*0.75,Population!$B$8,E21)</f>
        <v>51.161849220903633</v>
      </c>
      <c r="G21" s="15">
        <f>IF(Population!$J$6=1,IF(E21&gt;H20,H20,E21),IF(E21&gt;X20,X20,E21))</f>
        <v>51.161849220903633</v>
      </c>
      <c r="H21" s="15">
        <f t="shared" si="5"/>
        <v>354</v>
      </c>
      <c r="I21" s="15">
        <f t="shared" si="6"/>
        <v>1093</v>
      </c>
      <c r="J21" s="12">
        <f t="shared" si="3"/>
        <v>3.0875706214689265</v>
      </c>
      <c r="K21" s="12">
        <f>AA21*Population!$O$29+AB21*Population!$O$30+AC21*Population!$O$31+AD21*Population!$O$32+AE21*Population!$O$33+AF21*Population!$O$34+AG21*Population!$O$35+AH21*Population!$O$36+AI21*Population!$O$37+AJ21*Population!$O$38+AK21*Population!$O$39+AL21*Population!$O$40+AM21*Population!$O$41+AN21*Population!$O$42+AO21*Population!$O$43+AP21*Population!$O$44+AQ21*Population!$O$45+AR21*Population!$O$46</f>
        <v>3.4100197244445662</v>
      </c>
      <c r="L21" s="12">
        <f t="shared" si="7"/>
        <v>0.14452499779916281</v>
      </c>
      <c r="M21" s="12">
        <f t="shared" si="8"/>
        <v>10.630973779791711</v>
      </c>
      <c r="N21" s="12">
        <f t="shared" si="0"/>
        <v>0.56661482633488858</v>
      </c>
      <c r="O21" s="12">
        <f t="shared" si="9"/>
        <v>250.54435954565088</v>
      </c>
      <c r="P21" s="12">
        <f t="shared" si="10"/>
        <v>456</v>
      </c>
      <c r="Q21" s="12">
        <f t="shared" si="11"/>
        <v>-163.27217977282544</v>
      </c>
      <c r="R21" s="12">
        <f t="shared" si="12"/>
        <v>3.6507842594136815</v>
      </c>
      <c r="S21" s="12">
        <f t="shared" si="13"/>
        <v>2.5357518851930293E-3</v>
      </c>
      <c r="T21" s="12">
        <f t="shared" si="1"/>
        <v>0.82691474640444795</v>
      </c>
      <c r="U21" s="12">
        <f>Population!$B$13*MIN(Y20:Z20)</f>
        <v>14.180562117294841</v>
      </c>
      <c r="V21" s="12">
        <f>X20*Population!$B$14</f>
        <v>1.7223958724826529</v>
      </c>
      <c r="W21" s="12">
        <f>AN20*T20*Population!$B$12</f>
        <v>6.7963247647464096</v>
      </c>
      <c r="X21" s="12">
        <f t="shared" si="17"/>
        <v>292.72782022717456</v>
      </c>
      <c r="Y21" s="14">
        <f t="shared" si="15"/>
        <v>61.782495967297507</v>
      </c>
      <c r="Z21" s="13">
        <f t="shared" si="16"/>
        <v>61.782495967297507</v>
      </c>
      <c r="AA21" s="18">
        <f>(G21+Population!$B$11*AA20)*Population!M$29</f>
        <v>410.05534127003466</v>
      </c>
      <c r="AB21" s="18">
        <f>AA20*Population!$B$12*Population!$M$29+AB20*Population!$B$11*Population!$M$30</f>
        <v>394.86495837797986</v>
      </c>
      <c r="AC21" s="14">
        <f>(AB20*Population!$B$12*0.5*Population!$M$30)+(AC20*Population!$B$11*Population!M$31)</f>
        <v>144.37765255425626</v>
      </c>
      <c r="AD21" s="13">
        <f>(AB20*Population!$B$12*0.5*Population!$M$30)+(AD20*Population!$B$11*Population!M$31)</f>
        <v>144.37765255425626</v>
      </c>
      <c r="AE21" s="14">
        <f>(AC20*Population!$B$12*Population!M$31)+(AE20*Population!$B$11*Population!M$33)</f>
        <v>88.140830714939597</v>
      </c>
      <c r="AF21" s="13">
        <f>(AD20*Population!$B$12*Population!M$31)+(AF20*Population!$B$11*Population!M$33)</f>
        <v>88.140830714939597</v>
      </c>
      <c r="AG21" s="14">
        <f>(AE20*Population!$B$12*Population!M$33)+(AG20*Population!$B$11*Population!M$35)</f>
        <v>65.36677381032662</v>
      </c>
      <c r="AH21" s="13">
        <f>(AF20*Population!$B$12*Population!M$33)+(AH20*Population!$B$11*Population!M$35)</f>
        <v>65.36677381032662</v>
      </c>
      <c r="AI21" s="14">
        <f>(AG20*Population!$B$12*Population!M$35)+(AI20*Population!$B$11*Population!M$37)</f>
        <v>69.742844850359717</v>
      </c>
      <c r="AJ21" s="13">
        <f>(AH20*Population!$B$12*Population!M$35)+(AJ20*Population!$B$11*Population!M$37)</f>
        <v>69.742844850359717</v>
      </c>
      <c r="AK21" s="14">
        <f>(AI20*Population!$B$12*Population!M$37)+(AK20*Population!$B$11*Population!M$39)</f>
        <v>72.272319505590147</v>
      </c>
      <c r="AL21" s="13">
        <f>(AJ20*Population!$B$12*Population!M$37)+(AL20*Population!$B$11*Population!M$39)</f>
        <v>72.272319505590147</v>
      </c>
      <c r="AM21" s="14">
        <f>(AK20*Population!$B$12*Population!M$39)+(AM20*Population!$B$11*Population!M$41)</f>
        <v>58.987547313255952</v>
      </c>
      <c r="AN21" s="13">
        <f>(AL20*Population!$B$12*Population!M$39)+(AN20*Population!$B$11*Population!M$41)</f>
        <v>58.987547313255952</v>
      </c>
      <c r="AO21" s="15">
        <f>(AM20+AN20)*Population!$B$12*Population!$M$41+AO20*Population!$B$11*Population!$M$43</f>
        <v>73.142266212965708</v>
      </c>
      <c r="AP21" s="5">
        <f>AO20*Population!M$43*Population!$B$12+AP20*Population!$B$11*Population!M$44</f>
        <v>35.684003683576805</v>
      </c>
      <c r="AQ21" s="5">
        <f>AP20*Population!M$44*Population!$B$12+AQ20*Population!$B$11*Population!M$45</f>
        <v>12.916593405058766</v>
      </c>
      <c r="AR21" s="5">
        <f>(AQ20*Population!$B$12+AR20)*Population!M$46</f>
        <v>4.8914653865373534</v>
      </c>
    </row>
    <row r="22" spans="1:44">
      <c r="A22">
        <f>A21+Population!$B$2</f>
        <v>19</v>
      </c>
      <c r="B22" s="4">
        <f t="shared" si="4"/>
        <v>1975</v>
      </c>
      <c r="C22" s="54">
        <f t="shared" si="2"/>
        <v>682</v>
      </c>
      <c r="D22" s="12">
        <f>AD21*Population!$P$32*Population!$C$2+AF21*Population!$P$34*Population!$C$2+AH21*Population!$P$36*Population!$C$2+AJ21*Population!$P$38*Population!$C$2+AL21*Population!$P$40*Population!$C$2+AN20*Population!$P$42*Population!$C$2</f>
        <v>25.122944364997693</v>
      </c>
      <c r="E22" s="12">
        <f>IF(B21&gt;Population!$B$6*Population!$B$15,Population!$B$8,IF(Population!$J$6=1,D22,Population!$B$8*Population!$B$6*0.9/B21))</f>
        <v>49.888770546666528</v>
      </c>
      <c r="F22" s="12">
        <f>IF(B21&gt;Population!$B$6*0.75,Population!$B$8,E22)</f>
        <v>49.888770546666528</v>
      </c>
      <c r="G22" s="15">
        <f>IF(Population!$J$6=1,IF(E22&gt;H21,H21,E22),IF(E22&gt;X21,X21,E22))</f>
        <v>49.888770546666528</v>
      </c>
      <c r="H22" s="15">
        <f t="shared" si="5"/>
        <v>366</v>
      </c>
      <c r="I22" s="15">
        <f t="shared" si="6"/>
        <v>1101</v>
      </c>
      <c r="J22" s="12">
        <f t="shared" si="3"/>
        <v>3.0081967213114753</v>
      </c>
      <c r="K22" s="12">
        <f>AA22*Population!$O$29+AB22*Population!$O$30+AC22*Population!$O$31+AD22*Population!$O$32+AE22*Population!$O$33+AF22*Population!$O$34+AG22*Population!$O$35+AH22*Population!$O$36+AI22*Population!$O$37+AJ22*Population!$O$38+AK22*Population!$O$39+AL22*Population!$O$40+AM22*Population!$O$41+AN22*Population!$O$42+AO22*Population!$O$43+AP22*Population!$O$44+AQ22*Population!$O$45+AR22*Population!$O$46</f>
        <v>3.7400444274343743</v>
      </c>
      <c r="L22" s="12">
        <f t="shared" si="7"/>
        <v>0.13630811624772277</v>
      </c>
      <c r="M22" s="12">
        <f t="shared" si="8"/>
        <v>11.122315693442228</v>
      </c>
      <c r="N22" s="12">
        <f t="shared" si="0"/>
        <v>0.55746835443037979</v>
      </c>
      <c r="O22" s="12">
        <f t="shared" si="9"/>
        <v>275.10232332688861</v>
      </c>
      <c r="P22" s="12">
        <f t="shared" si="10"/>
        <v>459</v>
      </c>
      <c r="Q22" s="12">
        <f t="shared" si="11"/>
        <v>-159.5511616634443</v>
      </c>
      <c r="R22" s="12">
        <f t="shared" si="12"/>
        <v>4.8914653865373534</v>
      </c>
      <c r="S22" s="12">
        <f t="shared" si="13"/>
        <v>3.2386609036312189E-3</v>
      </c>
      <c r="T22" s="12">
        <f t="shared" si="1"/>
        <v>0.81816622496326696</v>
      </c>
      <c r="U22" s="12">
        <f>Population!$B$13*MIN(Y21:Z21)</f>
        <v>15.445623991824377</v>
      </c>
      <c r="V22" s="12">
        <f>X21*Population!$B$14</f>
        <v>1.7563669213630475</v>
      </c>
      <c r="W22" s="12">
        <f>AN21*T21*Population!$B$12</f>
        <v>6.9682389610802034</v>
      </c>
      <c r="X22" s="12">
        <f t="shared" si="17"/>
        <v>299.4488383365557</v>
      </c>
      <c r="Y22" s="14">
        <f t="shared" si="15"/>
        <v>66.661160152546813</v>
      </c>
      <c r="Z22" s="13">
        <f t="shared" si="16"/>
        <v>66.661160152546813</v>
      </c>
      <c r="AA22" s="18">
        <f>(G22+Population!$B$11*AA21)*Population!M$29</f>
        <v>401.20182324994948</v>
      </c>
      <c r="AB22" s="18">
        <f>AA21*Population!$B$12*Population!$M$29+AB21*Population!$B$11*Population!$M$30</f>
        <v>396.93507733936394</v>
      </c>
      <c r="AC22" s="14">
        <f>(AB21*Population!$B$12*0.5*Population!$M$30)+(AC21*Population!$B$11*Population!M$31)</f>
        <v>151.83263154134355</v>
      </c>
      <c r="AD22" s="13">
        <f>(AB21*Population!$B$12*0.5*Population!$M$30)+(AD21*Population!$B$11*Population!M$31)</f>
        <v>151.83263154134355</v>
      </c>
      <c r="AE22" s="14">
        <f>(AC21*Population!$B$12*Population!M$31)+(AE21*Population!$B$11*Population!M$33)</f>
        <v>96.083007952997391</v>
      </c>
      <c r="AF22" s="13">
        <f>(AD21*Population!$B$12*Population!M$31)+(AF21*Population!$B$11*Population!M$33)</f>
        <v>96.083007952997391</v>
      </c>
      <c r="AG22" s="14">
        <f>(AE21*Population!$B$12*Population!M$33)+(AG21*Population!$B$11*Population!M$35)</f>
        <v>68.500635732990432</v>
      </c>
      <c r="AH22" s="13">
        <f>(AF21*Population!$B$12*Population!M$33)+(AH21*Population!$B$11*Population!M$35)</f>
        <v>68.500635732990432</v>
      </c>
      <c r="AI22" s="14">
        <f>(AG21*Population!$B$12*Population!M$35)+(AI21*Population!$B$11*Population!M$37)</f>
        <v>68.984985876298992</v>
      </c>
      <c r="AJ22" s="13">
        <f>(AH21*Population!$B$12*Population!M$35)+(AJ21*Population!$B$11*Population!M$37)</f>
        <v>68.984985876298992</v>
      </c>
      <c r="AK22" s="14">
        <f>(AI21*Population!$B$12*Population!M$37)+(AK21*Population!$B$11*Population!M$39)</f>
        <v>71.772896928726226</v>
      </c>
      <c r="AL22" s="13">
        <f>(AJ21*Population!$B$12*Population!M$37)+(AL21*Population!$B$11*Population!M$39)</f>
        <v>71.772896928726226</v>
      </c>
      <c r="AM22" s="14">
        <f>(AK21*Population!$B$12*Population!M$39)+(AM21*Population!$B$11*Population!M$41)</f>
        <v>60.768471998089495</v>
      </c>
      <c r="AN22" s="13">
        <f>(AL21*Population!$B$12*Population!M$39)+(AN21*Population!$B$11*Population!M$41)</f>
        <v>60.768471998089495</v>
      </c>
      <c r="AO22" s="15">
        <f>(AM21+AN21)*Population!$B$12*Population!$M$41+AO21*Population!$B$11*Population!$M$43</f>
        <v>79.060070163194183</v>
      </c>
      <c r="AP22" s="5">
        <f>AO21*Population!M$43*Population!$B$12+AP21*Population!$B$11*Population!M$44</f>
        <v>40.737678960592419</v>
      </c>
      <c r="AQ22" s="5">
        <f>AP21*Population!M$44*Population!$B$12+AQ21*Population!$B$11*Population!M$45</f>
        <v>15.57279675632601</v>
      </c>
      <c r="AR22" s="5">
        <f>(AQ21*Population!$B$12+AR21)*Population!M$46</f>
        <v>6.3963552846716576</v>
      </c>
    </row>
    <row r="23" spans="1:44">
      <c r="A23">
        <f>A22+Population!$B$2</f>
        <v>20</v>
      </c>
      <c r="B23" s="4">
        <f t="shared" si="4"/>
        <v>2020</v>
      </c>
      <c r="C23" s="54">
        <f t="shared" si="2"/>
        <v>708</v>
      </c>
      <c r="D23" s="12">
        <f>AD22*Population!$P$32*Population!$C$2+AF22*Population!$P$34*Population!$C$2+AH22*Population!$P$36*Population!$C$2+AJ22*Population!$P$38*Population!$C$2+AL22*Population!$P$40*Population!$C$2+AN21*Population!$P$42*Population!$C$2</f>
        <v>26.168083862994845</v>
      </c>
      <c r="E23" s="12">
        <f>IF(B22&gt;Population!$B$6*Population!$B$15,Population!$B$8,IF(Population!$J$6=1,D23,Population!$B$8*Population!$B$6*0.9/B22))</f>
        <v>48.726804245326448</v>
      </c>
      <c r="F23" s="12">
        <f>IF(B22&gt;Population!$B$6*0.75,Population!$B$8,E23)</f>
        <v>48.726804245326448</v>
      </c>
      <c r="G23" s="15">
        <f>IF(Population!$J$6=1,IF(E23&gt;H22,H22,E23),IF(E23&gt;X22,X22,E23))</f>
        <v>48.726804245326448</v>
      </c>
      <c r="H23" s="15">
        <f t="shared" si="5"/>
        <v>378</v>
      </c>
      <c r="I23" s="15">
        <f t="shared" si="6"/>
        <v>1106</v>
      </c>
      <c r="J23" s="12">
        <f t="shared" si="3"/>
        <v>2.925925925925926</v>
      </c>
      <c r="K23" s="12">
        <f>AA23*Population!$O$29+AB23*Population!$O$30+AC23*Population!$O$31+AD23*Population!$O$32+AE23*Population!$O$33+AF23*Population!$O$34+AG23*Population!$O$35+AH23*Population!$O$36+AI23*Population!$O$37+AJ23*Population!$O$38+AK23*Population!$O$39+AL23*Population!$O$40+AM23*Population!$O$41+AN23*Population!$O$42+AO23*Population!$O$43+AP23*Population!$O$44+AQ23*Population!$O$45+AR23*Population!$O$46</f>
        <v>4.0947026947279275</v>
      </c>
      <c r="L23" s="12">
        <f t="shared" si="7"/>
        <v>0.12890688953790067</v>
      </c>
      <c r="M23" s="12">
        <f t="shared" si="8"/>
        <v>11.668891365820359</v>
      </c>
      <c r="N23" s="12">
        <f t="shared" si="0"/>
        <v>0.54752475247524757</v>
      </c>
      <c r="O23" s="12">
        <f t="shared" si="9"/>
        <v>299.57047540535757</v>
      </c>
      <c r="P23" s="12">
        <f t="shared" si="10"/>
        <v>461</v>
      </c>
      <c r="Q23" s="12">
        <f t="shared" si="11"/>
        <v>-153.78523770267878</v>
      </c>
      <c r="R23" s="12">
        <f t="shared" si="12"/>
        <v>6.3963552846716576</v>
      </c>
      <c r="S23" s="12">
        <f t="shared" si="13"/>
        <v>4.0522304790683687E-3</v>
      </c>
      <c r="T23" s="12">
        <f t="shared" si="1"/>
        <v>0.81273746639502964</v>
      </c>
      <c r="U23" s="12">
        <f>Population!$B$13*MIN(Y22:Z22)</f>
        <v>16.665290038136703</v>
      </c>
      <c r="V23" s="12">
        <f>X22*Population!$B$14</f>
        <v>1.7966930300193342</v>
      </c>
      <c r="W23" s="12">
        <f>AN22*T22*Population!$B$12</f>
        <v>7.1026730473518391</v>
      </c>
      <c r="X23" s="12">
        <f t="shared" si="17"/>
        <v>307.21476229732122</v>
      </c>
      <c r="Y23" s="14">
        <f t="shared" si="15"/>
        <v>71.290379907891577</v>
      </c>
      <c r="Z23" s="13">
        <f t="shared" si="16"/>
        <v>71.290379907891577</v>
      </c>
      <c r="AA23" s="18">
        <f>(G23+Population!$B$11*AA22)*Population!M$29</f>
        <v>392.45467999969713</v>
      </c>
      <c r="AB23" s="18">
        <f>AA22*Population!$B$12*Population!$M$29+AB22*Population!$B$11*Population!$M$30</f>
        <v>397.44479099878367</v>
      </c>
      <c r="AC23" s="14">
        <f>(AB22*Population!$B$12*0.5*Population!$M$30)+(AC22*Population!$B$11*Population!M$31)</f>
        <v>158.3643562477699</v>
      </c>
      <c r="AD23" s="13">
        <f>(AB22*Population!$B$12*0.5*Population!$M$30)+(AD22*Population!$B$11*Population!M$31)</f>
        <v>158.3643562477699</v>
      </c>
      <c r="AE23" s="14">
        <f>(AC22*Population!$B$12*Population!M$31)+(AE22*Population!$B$11*Population!M$33)</f>
        <v>103.94808287457053</v>
      </c>
      <c r="AF23" s="13">
        <f>(AD22*Population!$B$12*Population!M$31)+(AF22*Population!$B$11*Population!M$33)</f>
        <v>103.94808287457053</v>
      </c>
      <c r="AG23" s="14">
        <f>(AE22*Population!$B$12*Population!M$33)+(AG22*Population!$B$11*Population!M$35)</f>
        <v>72.315161131530971</v>
      </c>
      <c r="AH23" s="13">
        <f>(AF22*Population!$B$12*Population!M$33)+(AH22*Population!$B$11*Population!M$35)</f>
        <v>72.315161131530971</v>
      </c>
      <c r="AI23" s="14">
        <f>(AG22*Population!$B$12*Population!M$35)+(AI22*Population!$B$11*Population!M$37)</f>
        <v>68.783474676126019</v>
      </c>
      <c r="AJ23" s="13">
        <f>(AH22*Population!$B$12*Population!M$35)+(AJ22*Population!$B$11*Population!M$37)</f>
        <v>68.783474676126019</v>
      </c>
      <c r="AK23" s="14">
        <f>(AI22*Population!$B$12*Population!M$37)+(AK22*Population!$B$11*Population!M$39)</f>
        <v>71.237584643307855</v>
      </c>
      <c r="AL23" s="13">
        <f>(AJ22*Population!$B$12*Population!M$37)+(AL22*Population!$B$11*Population!M$39)</f>
        <v>71.237584643307855</v>
      </c>
      <c r="AM23" s="14">
        <f>(AK22*Population!$B$12*Population!M$39)+(AM22*Population!$B$11*Population!M$41)</f>
        <v>62.220838879677437</v>
      </c>
      <c r="AN23" s="13">
        <f>(AL22*Population!$B$12*Population!M$39)+(AN22*Population!$B$11*Population!M$41)</f>
        <v>62.220838879677437</v>
      </c>
      <c r="AO23" s="15">
        <f>(AM22+AN22)*Population!$B$12*Population!$M$41+AO22*Population!$B$11*Population!$M$43</f>
        <v>84.603557284396061</v>
      </c>
      <c r="AP23" s="5">
        <f>AO22*Population!M$43*Population!$B$12+AP22*Population!$B$11*Population!M$44</f>
        <v>45.877267054754256</v>
      </c>
      <c r="AQ23" s="5">
        <f>AP22*Population!M$44*Population!$B$12+AQ22*Population!$B$11*Population!M$45</f>
        <v>18.451240739043808</v>
      </c>
      <c r="AR23" s="5">
        <f>(AQ22*Population!$B$12+AR22)*Population!M$46</f>
        <v>8.1855055677181046</v>
      </c>
    </row>
    <row r="24" spans="1:44">
      <c r="A24">
        <f>A23+Population!$B$2</f>
        <v>21</v>
      </c>
      <c r="B24" s="4">
        <f t="shared" si="4"/>
        <v>2064</v>
      </c>
      <c r="C24" s="54">
        <f t="shared" si="2"/>
        <v>735</v>
      </c>
      <c r="D24" s="12">
        <f>AD23*Population!$P$32*Population!$C$2+AF23*Population!$P$34*Population!$C$2+AH23*Population!$P$36*Population!$C$2+AJ23*Population!$P$38*Population!$C$2+AL23*Population!$P$40*Population!$C$2+AN22*Population!$P$42*Population!$C$2</f>
        <v>27.292659161609787</v>
      </c>
      <c r="E24" s="12">
        <f>IF(B23&gt;Population!$B$6*Population!$B$15,Population!$B$8,IF(Population!$J$6=1,D24,Population!$B$8*Population!$B$6*0.9/B23))</f>
        <v>47.641306130950362</v>
      </c>
      <c r="F24" s="12">
        <f>IF(B23&gt;Population!$B$6*0.75,Population!$B$8,E24)</f>
        <v>47.641306130950362</v>
      </c>
      <c r="G24" s="15">
        <f>IF(Population!$J$6=1,IF(E24&gt;H23,H23,E24),IF(E24&gt;X23,X23,E24))</f>
        <v>47.641306130950362</v>
      </c>
      <c r="H24" s="15">
        <f t="shared" si="5"/>
        <v>391</v>
      </c>
      <c r="I24" s="15">
        <f t="shared" si="6"/>
        <v>1108</v>
      </c>
      <c r="J24" s="12">
        <f t="shared" si="3"/>
        <v>2.8337595907928388</v>
      </c>
      <c r="K24" s="12">
        <f>AA24*Population!$O$29+AB24*Population!$O$30+AC24*Population!$O$31+AD24*Population!$O$32+AE24*Population!$O$33+AF24*Population!$O$34+AG24*Population!$O$35+AH24*Population!$O$36+AI24*Population!$O$37+AJ24*Population!$O$38+AK24*Population!$O$39+AL24*Population!$O$40+AM24*Population!$O$41+AN24*Population!$O$42+AO24*Population!$O$43+AP24*Population!$O$44+AQ24*Population!$O$45+AR24*Population!$O$46</f>
        <v>4.472584987538184</v>
      </c>
      <c r="L24" s="12">
        <f t="shared" si="7"/>
        <v>0.12184477271342803</v>
      </c>
      <c r="M24" s="12">
        <f t="shared" si="8"/>
        <v>12.260539129666665</v>
      </c>
      <c r="N24" s="12">
        <f t="shared" si="0"/>
        <v>0.53682170542635654</v>
      </c>
      <c r="O24" s="12">
        <f t="shared" si="9"/>
        <v>324.0602074412775</v>
      </c>
      <c r="P24" s="12">
        <f t="shared" si="10"/>
        <v>462</v>
      </c>
      <c r="Q24" s="12">
        <f t="shared" si="11"/>
        <v>-146.03010372063875</v>
      </c>
      <c r="R24" s="12">
        <f t="shared" si="12"/>
        <v>8.1855055677181046</v>
      </c>
      <c r="S24" s="12">
        <f t="shared" si="13"/>
        <v>4.9780523838570193E-3</v>
      </c>
      <c r="T24" s="12">
        <f t="shared" si="1"/>
        <v>0.80810715160961955</v>
      </c>
      <c r="U24" s="12">
        <f>Population!$B$13*MIN(Y23:Z23)</f>
        <v>17.822594976972894</v>
      </c>
      <c r="V24" s="12">
        <f>X23*Population!$B$14</f>
        <v>1.8432885737839273</v>
      </c>
      <c r="W24" s="12">
        <f>AN23*T23*Population!$B$12</f>
        <v>7.2241724211489124</v>
      </c>
      <c r="X24" s="12">
        <f t="shared" si="17"/>
        <v>315.96989627936125</v>
      </c>
      <c r="Y24" s="14">
        <f t="shared" si="15"/>
        <v>75.639328155705527</v>
      </c>
      <c r="Z24" s="13">
        <f t="shared" si="16"/>
        <v>75.639328155705527</v>
      </c>
      <c r="AA24" s="18">
        <f>(G24+Population!$B$11*AA23)*Population!M$29</f>
        <v>383.87511524604741</v>
      </c>
      <c r="AB24" s="18">
        <f>AA23*Population!$B$12*Population!$M$29+AB23*Population!$B$11*Population!$M$30</f>
        <v>396.63250556063866</v>
      </c>
      <c r="AC24" s="14">
        <f>(AB23*Population!$B$12*0.5*Population!$M$30)+(AC23*Population!$B$11*Population!M$31)</f>
        <v>163.99404186542844</v>
      </c>
      <c r="AD24" s="13">
        <f>(AB23*Population!$B$12*0.5*Population!$M$30)+(AD23*Population!$B$11*Population!M$31)</f>
        <v>163.99404186542844</v>
      </c>
      <c r="AE24" s="14">
        <f>(AC23*Population!$B$12*Population!M$31)+(AE23*Population!$B$11*Population!M$33)</f>
        <v>111.61536530368747</v>
      </c>
      <c r="AF24" s="13">
        <f>(AD23*Population!$B$12*Population!M$31)+(AF23*Population!$B$11*Population!M$33)</f>
        <v>111.61536530368747</v>
      </c>
      <c r="AG24" s="14">
        <f>(AE23*Population!$B$12*Population!M$33)+(AG23*Population!$B$11*Population!M$35)</f>
        <v>76.700988069220244</v>
      </c>
      <c r="AH24" s="13">
        <f>(AF23*Population!$B$12*Population!M$33)+(AH23*Population!$B$11*Population!M$35)</f>
        <v>76.700988069220244</v>
      </c>
      <c r="AI24" s="14">
        <f>(AG23*Population!$B$12*Population!M$35)+(AI23*Population!$B$11*Population!M$37)</f>
        <v>69.154968350092233</v>
      </c>
      <c r="AJ24" s="13">
        <f>(AH23*Population!$B$12*Population!M$35)+(AJ23*Population!$B$11*Population!M$37)</f>
        <v>69.154968350092233</v>
      </c>
      <c r="AK24" s="14">
        <f>(AI23*Population!$B$12*Population!M$37)+(AK23*Population!$B$11*Population!M$39)</f>
        <v>70.75089446992915</v>
      </c>
      <c r="AL24" s="13">
        <f>(AJ23*Population!$B$12*Population!M$37)+(AL23*Population!$B$11*Population!M$39)</f>
        <v>70.75089446992915</v>
      </c>
      <c r="AM24" s="14">
        <f>(AK23*Population!$B$12*Population!M$39)+(AM23*Population!$B$11*Population!M$41)</f>
        <v>63.38700824213764</v>
      </c>
      <c r="AN24" s="13">
        <f>(AL23*Population!$B$12*Population!M$39)+(AN23*Population!$B$11*Population!M$41)</f>
        <v>63.38700824213764</v>
      </c>
      <c r="AO24" s="15">
        <f>(AM23+AN23)*Population!$B$12*Population!$M$41+AO23*Population!$B$11*Population!$M$43</f>
        <v>89.734834100366015</v>
      </c>
      <c r="AP24" s="5">
        <f>AO23*Population!M$43*Population!$B$12+AP23*Population!$B$11*Population!M$44</f>
        <v>51.036874672246846</v>
      </c>
      <c r="AQ24" s="5">
        <f>AP23*Population!M$44*Population!$B$12+AQ23*Population!$B$11*Population!M$45</f>
        <v>21.522737315721599</v>
      </c>
      <c r="AR24" s="5">
        <f>(AQ23*Population!$B$12+AR23)*Population!M$46</f>
        <v>10.274700120280889</v>
      </c>
    </row>
    <row r="25" spans="1:44">
      <c r="A25">
        <f>A24+Population!$B$2</f>
        <v>22</v>
      </c>
      <c r="B25" s="4">
        <f t="shared" si="4"/>
        <v>2106</v>
      </c>
      <c r="C25" s="54">
        <f t="shared" si="2"/>
        <v>764</v>
      </c>
      <c r="D25" s="12">
        <f>AD24*Population!$P$32*Population!$C$2+AF24*Population!$P$34*Population!$C$2+AH24*Population!$P$36*Population!$C$2+AJ24*Population!$P$38*Population!$C$2+AL24*Population!$P$40*Population!$C$2+AN23*Population!$P$42*Population!$C$2</f>
        <v>28.481585081147728</v>
      </c>
      <c r="E25" s="12">
        <f>IF(B24&gt;Population!$B$6*Population!$B$15,Population!$B$8,IF(Population!$J$6=1,D25,Population!$B$8*Population!$B$6*0.9/B24))</f>
        <v>46.625696891724672</v>
      </c>
      <c r="F25" s="12">
        <f>IF(B24&gt;Population!$B$6*0.75,Population!$B$8,E25)</f>
        <v>46.625696891724672</v>
      </c>
      <c r="G25" s="15">
        <f>IF(Population!$J$6=1,IF(E25&gt;H24,H24,E25),IF(E25&gt;X24,X24,E25))</f>
        <v>46.625696891724672</v>
      </c>
      <c r="H25" s="15">
        <f t="shared" si="5"/>
        <v>405</v>
      </c>
      <c r="I25" s="15">
        <f t="shared" si="6"/>
        <v>1107</v>
      </c>
      <c r="J25" s="12">
        <f t="shared" si="3"/>
        <v>2.7333333333333334</v>
      </c>
      <c r="K25" s="12">
        <f>AA25*Population!$O$29+AB25*Population!$O$30+AC25*Population!$O$31+AD25*Population!$O$32+AE25*Population!$O$33+AF25*Population!$O$34+AG25*Population!$O$35+AH25*Population!$O$36+AI25*Population!$O$37+AJ25*Population!$O$38+AK25*Population!$O$39+AL25*Population!$O$40+AM25*Population!$O$41+AN25*Population!$O$42+AO25*Population!$O$43+AP25*Population!$O$44+AQ25*Population!$O$45+AR25*Population!$O$46</f>
        <v>4.8719685866074842</v>
      </c>
      <c r="L25" s="12">
        <f t="shared" si="7"/>
        <v>0.11512517751043129</v>
      </c>
      <c r="M25" s="12">
        <f t="shared" si="8"/>
        <v>12.887142358077918</v>
      </c>
      <c r="N25" s="12">
        <f t="shared" si="0"/>
        <v>0.52564102564102566</v>
      </c>
      <c r="O25" s="12">
        <f t="shared" si="9"/>
        <v>347.66746631295121</v>
      </c>
      <c r="P25" s="12">
        <f t="shared" si="10"/>
        <v>462</v>
      </c>
      <c r="Q25" s="12">
        <f t="shared" si="11"/>
        <v>-136.3337331564756</v>
      </c>
      <c r="R25" s="12">
        <f t="shared" si="12"/>
        <v>10.274700120280889</v>
      </c>
      <c r="S25" s="12">
        <f t="shared" si="13"/>
        <v>6.018502544970928E-3</v>
      </c>
      <c r="T25" s="12">
        <f t="shared" si="1"/>
        <v>0.80411423911981328</v>
      </c>
      <c r="U25" s="12">
        <f>Population!$B$13*MIN(Y24:Z24)</f>
        <v>18.909832038926382</v>
      </c>
      <c r="V25" s="12">
        <f>X24*Population!$B$14</f>
        <v>1.8958193776761676</v>
      </c>
      <c r="W25" s="12">
        <f>AN24*T24*Population!$B$12</f>
        <v>7.3176420970870462</v>
      </c>
      <c r="X25" s="12">
        <f t="shared" si="17"/>
        <v>325.6662668435244</v>
      </c>
      <c r="Y25" s="14">
        <f t="shared" si="15"/>
        <v>79.66649284704971</v>
      </c>
      <c r="Z25" s="13">
        <f t="shared" si="16"/>
        <v>79.66649284704971</v>
      </c>
      <c r="AA25" s="18">
        <f>(G25+Population!$B$11*AA24)*Population!M$29</f>
        <v>375.50899138672168</v>
      </c>
      <c r="AB25" s="18">
        <f>AA24*Population!$B$12*Population!$M$29+AB24*Population!$B$11*Population!$M$30</f>
        <v>394.71126306151177</v>
      </c>
      <c r="AC25" s="14">
        <f>(AB24*Population!$B$12*0.5*Population!$M$30)+(AC24*Population!$B$11*Population!M$31)</f>
        <v>168.75688069780398</v>
      </c>
      <c r="AD25" s="13">
        <f>(AB24*Population!$B$12*0.5*Population!$M$30)+(AD24*Population!$B$11*Population!M$31)</f>
        <v>168.75688069780398</v>
      </c>
      <c r="AE25" s="14">
        <f>(AC24*Population!$B$12*Population!M$31)+(AE24*Population!$B$11*Population!M$33)</f>
        <v>118.98453295812129</v>
      </c>
      <c r="AF25" s="13">
        <f>(AD24*Population!$B$12*Population!M$31)+(AF24*Population!$B$11*Population!M$33)</f>
        <v>118.98453295812129</v>
      </c>
      <c r="AG25" s="14">
        <f>(AE24*Population!$B$12*Population!M$33)+(AG24*Population!$B$11*Population!M$35)</f>
        <v>81.547332699045313</v>
      </c>
      <c r="AH25" s="13">
        <f>(AF24*Population!$B$12*Population!M$33)+(AH24*Population!$B$11*Population!M$35)</f>
        <v>81.547332699045313</v>
      </c>
      <c r="AI25" s="14">
        <f>(AG24*Population!$B$12*Population!M$35)+(AI24*Population!$B$11*Population!M$37)</f>
        <v>70.098123862469663</v>
      </c>
      <c r="AJ25" s="13">
        <f>(AH24*Population!$B$12*Population!M$35)+(AJ24*Population!$B$11*Population!M$37)</f>
        <v>70.098123862469663</v>
      </c>
      <c r="AK25" s="14">
        <f>(AI24*Population!$B$12*Population!M$37)+(AK24*Population!$B$11*Population!M$39)</f>
        <v>70.387501046591623</v>
      </c>
      <c r="AL25" s="13">
        <f>(AJ24*Population!$B$12*Population!M$37)+(AL24*Population!$B$11*Population!M$39)</f>
        <v>70.387501046591623</v>
      </c>
      <c r="AM25" s="14">
        <f>(AK24*Population!$B$12*Population!M$39)+(AM24*Population!$B$11*Population!M$41)</f>
        <v>64.315269124346187</v>
      </c>
      <c r="AN25" s="13">
        <f>(AL24*Population!$B$12*Population!M$39)+(AN24*Population!$B$11*Population!M$41)</f>
        <v>64.315269124346187</v>
      </c>
      <c r="AO25" s="15">
        <f>(AM24+AN24)*Population!$B$12*Population!$M$41+AO24*Population!$B$11*Population!$M$43</f>
        <v>94.433735670207952</v>
      </c>
      <c r="AP25" s="5">
        <f>AO24*Population!M$43*Population!$B$12+AP24*Population!$B$11*Population!M$44</f>
        <v>56.155057219768111</v>
      </c>
      <c r="AQ25" s="5">
        <f>AP24*Population!M$44*Population!$B$12+AQ24*Population!$B$11*Population!M$45</f>
        <v>24.754187012865877</v>
      </c>
      <c r="AR25" s="5">
        <f>(AQ24*Population!$B$12+AR24)*Population!M$46</f>
        <v>12.674966359708774</v>
      </c>
    </row>
    <row r="26" spans="1:44">
      <c r="A26">
        <f>A25+Population!$B$2</f>
        <v>23</v>
      </c>
      <c r="B26" s="4">
        <f t="shared" si="4"/>
        <v>2147</v>
      </c>
      <c r="C26" s="54">
        <f t="shared" si="2"/>
        <v>793</v>
      </c>
      <c r="D26" s="12">
        <f>AD25*Population!$P$32*Population!$C$2+AF25*Population!$P$34*Population!$C$2+AH25*Population!$P$36*Population!$C$2+AJ25*Population!$P$38*Population!$C$2+AL25*Population!$P$40*Population!$C$2+AN24*Population!$P$42*Population!$C$2</f>
        <v>29.719982415474789</v>
      </c>
      <c r="E26" s="12">
        <f>IF(B25&gt;Population!$B$6*Population!$B$15,Population!$B$8,IF(Population!$J$6=1,D26,Population!$B$8*Population!$B$6*0.9/B25))</f>
        <v>45.695839688755804</v>
      </c>
      <c r="F26" s="12">
        <f>IF(B25&gt;Population!$B$6*0.75,Population!$B$8,E26)</f>
        <v>45.695839688755804</v>
      </c>
      <c r="G26" s="15">
        <f>IF(Population!$J$6=1,IF(E26&gt;H25,H25,E26),IF(E26&gt;X25,X25,E26))</f>
        <v>45.695839688755804</v>
      </c>
      <c r="H26" s="15">
        <f t="shared" si="5"/>
        <v>419</v>
      </c>
      <c r="I26" s="15">
        <f t="shared" si="6"/>
        <v>1104</v>
      </c>
      <c r="J26" s="12">
        <f t="shared" si="3"/>
        <v>2.6348448687350836</v>
      </c>
      <c r="K26" s="12">
        <f>AA26*Population!$O$29+AB26*Population!$O$30+AC26*Population!$O$31+AD26*Population!$O$32+AE26*Population!$O$33+AF26*Population!$O$34+AG26*Population!$O$35+AH26*Population!$O$36+AI26*Population!$O$37+AJ26*Population!$O$38+AK26*Population!$O$39+AL26*Population!$O$40+AM26*Population!$O$41+AN26*Population!$O$42+AO26*Population!$O$43+AP26*Population!$O$44+AQ26*Population!$O$45+AR26*Population!$O$46</f>
        <v>5.2908874632361202</v>
      </c>
      <c r="L26" s="12">
        <f t="shared" si="7"/>
        <v>0.10905928326672029</v>
      </c>
      <c r="M26" s="12">
        <f t="shared" si="8"/>
        <v>13.538847522501694</v>
      </c>
      <c r="N26" s="12">
        <f t="shared" si="0"/>
        <v>0.51420586865393569</v>
      </c>
      <c r="O26" s="12">
        <f t="shared" si="9"/>
        <v>370.51845043317996</v>
      </c>
      <c r="P26" s="12">
        <f t="shared" si="10"/>
        <v>460</v>
      </c>
      <c r="Q26" s="12">
        <f t="shared" si="11"/>
        <v>-123.75922521658998</v>
      </c>
      <c r="R26" s="12">
        <f t="shared" si="12"/>
        <v>12.674966359708774</v>
      </c>
      <c r="S26" s="12">
        <f t="shared" si="13"/>
        <v>7.1692058619661925E-3</v>
      </c>
      <c r="T26" s="12">
        <f t="shared" si="1"/>
        <v>0.80248394936374701</v>
      </c>
      <c r="U26" s="12">
        <f>Population!$B$13*MIN(Y25:Z25)</f>
        <v>19.916623211762428</v>
      </c>
      <c r="V26" s="12">
        <f>X25*Population!$B$14</f>
        <v>1.9539976010611464</v>
      </c>
      <c r="W26" s="12">
        <f>AN25*T25*Population!$B$12</f>
        <v>7.3881176708156646</v>
      </c>
      <c r="X26" s="12">
        <f t="shared" si="17"/>
        <v>336.24077478341002</v>
      </c>
      <c r="Y26" s="14">
        <f t="shared" si="15"/>
        <v>83.343699992338941</v>
      </c>
      <c r="Z26" s="13">
        <f t="shared" si="16"/>
        <v>83.343699992338941</v>
      </c>
      <c r="AA26" s="18">
        <f>(G26+Population!$B$11*AA25)*Population!M$29</f>
        <v>367.41145980888678</v>
      </c>
      <c r="AB26" s="18">
        <f>AA25*Population!$B$12*Population!$M$29+AB25*Population!$B$11*Population!$M$30</f>
        <v>391.87017898573663</v>
      </c>
      <c r="AC26" s="14">
        <f>(AB25*Population!$B$12*0.5*Population!$M$30)+(AC25*Population!$B$11*Population!M$31)</f>
        <v>172.69822269380791</v>
      </c>
      <c r="AD26" s="13">
        <f>(AB25*Population!$B$12*0.5*Population!$M$30)+(AD25*Population!$B$11*Population!M$31)</f>
        <v>172.69822269380791</v>
      </c>
      <c r="AE26" s="14">
        <f>(AC25*Population!$B$12*Population!M$31)+(AE25*Population!$B$11*Population!M$33)</f>
        <v>125.97469993996746</v>
      </c>
      <c r="AF26" s="13">
        <f>(AD25*Population!$B$12*Population!M$31)+(AF25*Population!$B$11*Population!M$33)</f>
        <v>125.97469993996746</v>
      </c>
      <c r="AG26" s="14">
        <f>(AE25*Population!$B$12*Population!M$33)+(AG25*Population!$B$11*Population!M$35)</f>
        <v>86.74510165997016</v>
      </c>
      <c r="AH26" s="13">
        <f>(AF25*Population!$B$12*Population!M$33)+(AH25*Population!$B$11*Population!M$35)</f>
        <v>86.74510165997016</v>
      </c>
      <c r="AI26" s="14">
        <f>(AG25*Population!$B$12*Population!M$35)+(AI25*Population!$B$11*Population!M$37)</f>
        <v>71.595996372597924</v>
      </c>
      <c r="AJ26" s="13">
        <f>(AH25*Population!$B$12*Population!M$35)+(AJ25*Population!$B$11*Population!M$37)</f>
        <v>71.595996372597924</v>
      </c>
      <c r="AK26" s="14">
        <f>(AI25*Population!$B$12*Population!M$37)+(AK25*Population!$B$11*Population!M$39)</f>
        <v>70.211096818878104</v>
      </c>
      <c r="AL26" s="13">
        <f>(AJ25*Population!$B$12*Population!M$37)+(AL25*Population!$B$11*Population!M$39)</f>
        <v>70.211096818878104</v>
      </c>
      <c r="AM26" s="14">
        <f>(AK25*Population!$B$12*Population!M$39)+(AM25*Population!$B$11*Population!M$41)</f>
        <v>65.057579984335263</v>
      </c>
      <c r="AN26" s="13">
        <f>(AL25*Population!$B$12*Population!M$39)+(AN25*Population!$B$11*Population!M$41)</f>
        <v>65.057579984335263</v>
      </c>
      <c r="AO26" s="15">
        <f>(AM25+AN25)*Population!$B$12*Population!$M$41+AO25*Population!$B$11*Population!$M$43</f>
        <v>98.696873447835515</v>
      </c>
      <c r="AP26" s="5">
        <f>AO25*Population!M$43*Population!$B$12+AP25*Population!$B$11*Population!M$44</f>
        <v>61.17666991659253</v>
      </c>
      <c r="AQ26" s="5">
        <f>AP25*Population!M$44*Population!$B$12+AQ25*Population!$B$11*Population!M$45</f>
        <v>28.109937994968593</v>
      </c>
      <c r="AR26" s="5">
        <f>(AQ25*Population!$B$12+AR25)*Population!M$46</f>
        <v>15.392284985641416</v>
      </c>
    </row>
    <row r="27" spans="1:44">
      <c r="A27">
        <f>A26+Population!$B$2</f>
        <v>24</v>
      </c>
      <c r="B27" s="4">
        <f t="shared" si="4"/>
        <v>2186</v>
      </c>
      <c r="C27" s="54">
        <f t="shared" si="2"/>
        <v>823</v>
      </c>
      <c r="D27" s="12">
        <f>AD26*Population!$P$32*Population!$C$2+AF26*Population!$P$34*Population!$C$2+AH26*Population!$P$36*Population!$C$2+AJ26*Population!$P$38*Population!$C$2+AL26*Population!$P$40*Population!$C$2+AN25*Population!$P$42*Population!$C$2</f>
        <v>30.993433506262331</v>
      </c>
      <c r="E27" s="12">
        <f>IF(B26&gt;Population!$B$6*Population!$B$15,Population!$B$8,IF(Population!$J$6=1,D27,Population!$B$8*Population!$B$6*0.9/B26))</f>
        <v>44.823213034243004</v>
      </c>
      <c r="F27" s="12">
        <f>IF(B26&gt;Population!$B$6*0.75,Population!$B$8,E27)</f>
        <v>44.823213034243004</v>
      </c>
      <c r="G27" s="15">
        <f>IF(Population!$J$6=1,IF(E27&gt;H26,H26,E27),IF(E27&gt;X26,X26,E27))</f>
        <v>44.823213034243004</v>
      </c>
      <c r="H27" s="15">
        <f t="shared" si="5"/>
        <v>434</v>
      </c>
      <c r="I27" s="15">
        <f t="shared" si="6"/>
        <v>1099</v>
      </c>
      <c r="J27" s="12">
        <f t="shared" si="3"/>
        <v>2.532258064516129</v>
      </c>
      <c r="K27" s="12">
        <f>AA27*Population!$O$29+AB27*Population!$O$30+AC27*Population!$O$31+AD27*Population!$O$32+AE27*Population!$O$33+AF27*Population!$O$34+AG27*Population!$O$35+AH27*Population!$O$36+AI27*Population!$O$37+AJ27*Population!$O$38+AK27*Population!$O$39+AL27*Population!$O$40+AM27*Population!$O$41+AN27*Population!$O$42+AO27*Population!$O$43+AP27*Population!$O$44+AQ27*Population!$O$45+AR27*Population!$O$46</f>
        <v>5.7271794245724204</v>
      </c>
      <c r="L27" s="12">
        <f t="shared" si="7"/>
        <v>0.10327929270562904</v>
      </c>
      <c r="M27" s="12">
        <f t="shared" si="8"/>
        <v>14.206239547312309</v>
      </c>
      <c r="N27" s="12">
        <f t="shared" si="0"/>
        <v>0.50274473924977126</v>
      </c>
      <c r="O27" s="12">
        <f t="shared" si="9"/>
        <v>391.79796508351922</v>
      </c>
      <c r="P27" s="12">
        <f t="shared" si="10"/>
        <v>458</v>
      </c>
      <c r="Q27" s="12">
        <f t="shared" si="11"/>
        <v>-110.39898254175961</v>
      </c>
      <c r="R27" s="12">
        <f t="shared" si="12"/>
        <v>15.392284985641416</v>
      </c>
      <c r="S27" s="12">
        <f t="shared" si="13"/>
        <v>8.4297798434603624E-3</v>
      </c>
      <c r="T27" s="12">
        <f t="shared" si="1"/>
        <v>0.80092400336000091</v>
      </c>
      <c r="U27" s="12">
        <f>Population!$B$13*MIN(Y26:Z26)</f>
        <v>20.835924998084735</v>
      </c>
      <c r="V27" s="12">
        <f>X26*Population!$B$14</f>
        <v>2.0174446487004603</v>
      </c>
      <c r="W27" s="12">
        <f>AN26*T26*Population!$B$12</f>
        <v>7.4582376745538879</v>
      </c>
      <c r="X27" s="12">
        <f t="shared" si="17"/>
        <v>347.60101745824039</v>
      </c>
      <c r="Y27" s="14">
        <f t="shared" si="15"/>
        <v>86.671240068897475</v>
      </c>
      <c r="Z27" s="13">
        <f t="shared" si="16"/>
        <v>86.671240068897475</v>
      </c>
      <c r="AA27" s="18">
        <f>(G27+Population!$B$11*AA26)*Population!M$29</f>
        <v>359.60126402935487</v>
      </c>
      <c r="AB27" s="18">
        <f>AA26*Population!$B$12*Population!$M$29+AB26*Population!$B$11*Population!$M$30</f>
        <v>388.27919141842767</v>
      </c>
      <c r="AC27" s="14">
        <f>(AB26*Population!$B$12*0.5*Population!$M$30)+(AC26*Population!$B$11*Population!M$31)</f>
        <v>175.8704074033167</v>
      </c>
      <c r="AD27" s="13">
        <f>(AB26*Population!$B$12*0.5*Population!$M$30)+(AD26*Population!$B$11*Population!M$31)</f>
        <v>175.8704074033167</v>
      </c>
      <c r="AE27" s="14">
        <f>(AC26*Population!$B$12*Population!M$31)+(AE26*Population!$B$11*Population!M$33)</f>
        <v>132.52307394187554</v>
      </c>
      <c r="AF27" s="13">
        <f>(AD26*Population!$B$12*Population!M$31)+(AF26*Population!$B$11*Population!M$33)</f>
        <v>132.52307394187554</v>
      </c>
      <c r="AG27" s="14">
        <f>(AE26*Population!$B$12*Population!M$33)+(AG26*Population!$B$11*Population!M$35)</f>
        <v>92.189421777088967</v>
      </c>
      <c r="AH27" s="13">
        <f>(AF26*Population!$B$12*Population!M$33)+(AH26*Population!$B$11*Population!M$35)</f>
        <v>92.189421777088967</v>
      </c>
      <c r="AI27" s="14">
        <f>(AG26*Population!$B$12*Population!M$35)+(AI26*Population!$B$11*Population!M$37)</f>
        <v>73.618534774594025</v>
      </c>
      <c r="AJ27" s="13">
        <f>(AH26*Population!$B$12*Population!M$35)+(AJ26*Population!$B$11*Population!M$37)</f>
        <v>73.618534774594025</v>
      </c>
      <c r="AK27" s="14">
        <f>(AI26*Population!$B$12*Population!M$37)+(AK26*Population!$B$11*Population!M$39)</f>
        <v>70.273754448211093</v>
      </c>
      <c r="AL27" s="13">
        <f>(AJ26*Population!$B$12*Population!M$37)+(AL26*Population!$B$11*Population!M$39)</f>
        <v>70.273754448211093</v>
      </c>
      <c r="AM27" s="14">
        <f>(AK26*Population!$B$12*Population!M$39)+(AM26*Population!$B$11*Population!M$41)</f>
        <v>65.667472585368273</v>
      </c>
      <c r="AN27" s="13">
        <f>(AL26*Population!$B$12*Population!M$39)+(AN26*Population!$B$11*Population!M$41)</f>
        <v>65.667472585368273</v>
      </c>
      <c r="AO27" s="15">
        <f>(AM26+AN26)*Population!$B$12*Population!$M$41+AO26*Population!$B$11*Population!$M$43</f>
        <v>102.53618079336613</v>
      </c>
      <c r="AP27" s="5">
        <f>AO26*Population!M$43*Population!$B$12+AP26*Population!$B$11*Population!M$44</f>
        <v>66.054307924788887</v>
      </c>
      <c r="AQ27" s="5">
        <f>AP26*Population!M$44*Population!$B$12+AQ26*Population!$B$11*Population!M$45</f>
        <v>31.55315466063913</v>
      </c>
      <c r="AR27" s="5">
        <f>(AQ26*Population!$B$12+AR26)*Population!M$46</f>
        <v>18.427498737804353</v>
      </c>
    </row>
    <row r="28" spans="1:44">
      <c r="A28">
        <f>A27+Population!$B$2</f>
        <v>25</v>
      </c>
      <c r="B28" s="4">
        <f t="shared" si="4"/>
        <v>2225</v>
      </c>
      <c r="C28" s="54">
        <f t="shared" si="2"/>
        <v>855</v>
      </c>
      <c r="D28" s="12">
        <f>AD27*Population!$P$32*Population!$C$2+AF27*Population!$P$34*Population!$C$2+AH27*Population!$P$36*Population!$C$2+AJ27*Population!$P$38*Population!$C$2+AL27*Population!$P$40*Population!$C$2+AN26*Population!$P$42*Population!$C$2</f>
        <v>32.288184270816792</v>
      </c>
      <c r="E28" s="12">
        <f>IF(B27&gt;Population!$B$6*Population!$B$15,Population!$B$8,IF(Population!$J$6=1,D28,Population!$B$8*Population!$B$6*0.9/B27))</f>
        <v>44.023530825489352</v>
      </c>
      <c r="F28" s="12">
        <f>IF(B27&gt;Population!$B$6*0.75,Population!$B$8,E28)</f>
        <v>44.023530825489352</v>
      </c>
      <c r="G28" s="15">
        <f>IF(Population!$J$6=1,IF(E28&gt;H27,H27,E28),IF(E28&gt;X27,X27,E28))</f>
        <v>44.023530825489352</v>
      </c>
      <c r="H28" s="15">
        <f t="shared" si="5"/>
        <v>449</v>
      </c>
      <c r="I28" s="15">
        <f t="shared" si="6"/>
        <v>1092</v>
      </c>
      <c r="J28" s="12">
        <f t="shared" si="3"/>
        <v>2.4320712694877504</v>
      </c>
      <c r="K28" s="12">
        <f>AA28*Population!$O$29+AB28*Population!$O$30+AC28*Population!$O$31+AD28*Population!$O$32+AE28*Population!$O$33+AF28*Population!$O$34+AG28*Population!$O$35+AH28*Population!$O$36+AI28*Population!$O$37+AJ28*Population!$O$38+AK28*Population!$O$39+AL28*Population!$O$40+AM28*Population!$O$41+AN28*Population!$O$42+AO28*Population!$O$43+AP28*Population!$O$44+AQ28*Population!$O$45+AR28*Population!$O$46</f>
        <v>6.1785729190605316</v>
      </c>
      <c r="L28" s="12">
        <f t="shared" si="7"/>
        <v>9.8047952840733518E-2</v>
      </c>
      <c r="M28" s="12">
        <f t="shared" si="8"/>
        <v>14.880478291223291</v>
      </c>
      <c r="N28" s="12">
        <f t="shared" si="0"/>
        <v>0.4907865168539326</v>
      </c>
      <c r="O28" s="12">
        <f t="shared" si="9"/>
        <v>413.66060155388539</v>
      </c>
      <c r="P28" s="12">
        <f t="shared" si="10"/>
        <v>455</v>
      </c>
      <c r="Q28" s="12">
        <f t="shared" si="11"/>
        <v>-95.330300776942693</v>
      </c>
      <c r="R28" s="12">
        <f t="shared" si="12"/>
        <v>18.427498737804353</v>
      </c>
      <c r="S28" s="12">
        <f t="shared" si="13"/>
        <v>9.7871511908941885E-3</v>
      </c>
      <c r="T28" s="12">
        <f t="shared" si="1"/>
        <v>0.801046100719504</v>
      </c>
      <c r="U28" s="12">
        <f>Population!$B$13*MIN(Y27:Z27)</f>
        <v>21.667810017224369</v>
      </c>
      <c r="V28" s="12">
        <f>X27*Population!$B$14</f>
        <v>2.0856061047494423</v>
      </c>
      <c r="W28" s="12">
        <f>AN27*T27*Population!$B$12</f>
        <v>7.5135221476580378</v>
      </c>
      <c r="X28" s="12">
        <f t="shared" si="17"/>
        <v>359.66969922305731</v>
      </c>
      <c r="Y28" s="14">
        <f t="shared" si="15"/>
        <v>89.634249934567038</v>
      </c>
      <c r="Z28" s="13">
        <f t="shared" si="16"/>
        <v>89.634249934567038</v>
      </c>
      <c r="AA28" s="18">
        <f>(G28+Population!$B$11*AA27)*Population!M$29</f>
        <v>352.11017091439618</v>
      </c>
      <c r="AB28" s="18">
        <f>AA27*Population!$B$12*Population!$M$29+AB27*Population!$B$11*Population!$M$30</f>
        <v>384.08660535975855</v>
      </c>
      <c r="AC28" s="14">
        <f>(AB27*Population!$B$12*0.5*Population!$M$30)+(AC27*Population!$B$11*Population!M$31)</f>
        <v>178.33039024722103</v>
      </c>
      <c r="AD28" s="13">
        <f>(AB27*Population!$B$12*0.5*Population!$M$30)+(AD27*Population!$B$11*Population!M$31)</f>
        <v>178.33039024722103</v>
      </c>
      <c r="AE28" s="14">
        <f>(AC27*Population!$B$12*Population!M$31)+(AE27*Population!$B$11*Population!M$33)</f>
        <v>138.58335423135929</v>
      </c>
      <c r="AF28" s="13">
        <f>(AD27*Population!$B$12*Population!M$31)+(AF27*Population!$B$11*Population!M$33)</f>
        <v>138.58335423135929</v>
      </c>
      <c r="AG28" s="14">
        <f>(AE27*Population!$B$12*Population!M$33)+(AG27*Population!$B$11*Population!M$35)</f>
        <v>97.781612568010104</v>
      </c>
      <c r="AH28" s="13">
        <f>(AF27*Population!$B$12*Population!M$33)+(AH27*Population!$B$11*Population!M$35)</f>
        <v>97.781612568010104</v>
      </c>
      <c r="AI28" s="14">
        <f>(AG27*Population!$B$12*Population!M$35)+(AI27*Population!$B$11*Population!M$37)</f>
        <v>76.125077316319675</v>
      </c>
      <c r="AJ28" s="13">
        <f>(AH27*Population!$B$12*Population!M$35)+(AJ27*Population!$B$11*Population!M$37)</f>
        <v>76.125077316319675</v>
      </c>
      <c r="AK28" s="14">
        <f>(AI27*Population!$B$12*Population!M$37)+(AK27*Population!$B$11*Population!M$39)</f>
        <v>70.615737175121424</v>
      </c>
      <c r="AL28" s="13">
        <f>(AJ27*Population!$B$12*Population!M$37)+(AL27*Population!$B$11*Population!M$39)</f>
        <v>70.615737175121424</v>
      </c>
      <c r="AM28" s="14">
        <f>(AK27*Population!$B$12*Population!M$39)+(AM27*Population!$B$11*Population!M$41)</f>
        <v>66.198167866813819</v>
      </c>
      <c r="AN28" s="13">
        <f>(AL27*Population!$B$12*Population!M$39)+(AN27*Population!$B$11*Population!M$41)</f>
        <v>66.198167866813819</v>
      </c>
      <c r="AO28" s="15">
        <f>(AM27+AN27)*Population!$B$12*Population!$M$41+AO27*Population!$B$11*Population!$M$43</f>
        <v>105.97707756738487</v>
      </c>
      <c r="AP28" s="5">
        <f>AO27*Population!M$43*Population!$B$12+AP27*Population!$B$11*Population!M$44</f>
        <v>70.749325519517029</v>
      </c>
      <c r="AQ28" s="5">
        <f>AP27*Population!M$44*Population!$B$12+AQ27*Population!$B$11*Population!M$45</f>
        <v>35.047135702205146</v>
      </c>
      <c r="AR28" s="5">
        <f>(AQ27*Population!$B$12+AR27)*Population!M$46</f>
        <v>21.776411399739569</v>
      </c>
    </row>
    <row r="29" spans="1:44">
      <c r="A29">
        <f>A28+Population!$B$2</f>
        <v>26</v>
      </c>
      <c r="B29" s="4">
        <f t="shared" si="4"/>
        <v>2262</v>
      </c>
      <c r="C29" s="54">
        <f t="shared" si="2"/>
        <v>886</v>
      </c>
      <c r="D29" s="12">
        <f>AD28*Population!$P$32*Population!$C$2+AF28*Population!$P$34*Population!$C$2+AH28*Population!$P$36*Population!$C$2+AJ28*Population!$P$38*Population!$C$2+AL28*Population!$P$40*Population!$C$2+AN27*Population!$P$42*Population!$C$2</f>
        <v>33.591301648201494</v>
      </c>
      <c r="E29" s="12">
        <f>IF(B28&gt;Population!$B$6*Population!$B$15,Population!$B$8,IF(Population!$J$6=1,D29,Population!$B$8*Population!$B$6*0.9/B28))</f>
        <v>43.251882420008869</v>
      </c>
      <c r="F29" s="12">
        <f>IF(B28&gt;Population!$B$6*0.75,Population!$B$8,E29)</f>
        <v>43.251882420008869</v>
      </c>
      <c r="G29" s="15">
        <f>IF(Population!$J$6=1,IF(E29&gt;H28,H28,E29),IF(E29&gt;X28,X28,E29))</f>
        <v>43.251882420008869</v>
      </c>
      <c r="H29" s="15">
        <f t="shared" si="5"/>
        <v>464</v>
      </c>
      <c r="I29" s="15">
        <f t="shared" si="6"/>
        <v>1084</v>
      </c>
      <c r="J29" s="12">
        <f t="shared" si="3"/>
        <v>2.3362068965517242</v>
      </c>
      <c r="K29" s="12">
        <f>AA29*Population!$O$29+AB29*Population!$O$30+AC29*Population!$O$31+AD29*Population!$O$32+AE29*Population!$O$33+AF29*Population!$O$34+AG29*Population!$O$35+AH29*Population!$O$36+AI29*Population!$O$37+AJ29*Population!$O$38+AK29*Population!$O$39+AL29*Population!$O$40+AM29*Population!$O$41+AN29*Population!$O$42+AO29*Population!$O$43+AP29*Population!$O$44+AQ29*Population!$O$45+AR29*Population!$O$46</f>
        <v>6.6427291091088501</v>
      </c>
      <c r="L29" s="12">
        <f t="shared" si="7"/>
        <v>9.3215263836226012E-2</v>
      </c>
      <c r="M29" s="12">
        <f t="shared" si="8"/>
        <v>15.553401616048596</v>
      </c>
      <c r="N29" s="12">
        <f t="shared" si="0"/>
        <v>0.47922192749778958</v>
      </c>
      <c r="O29" s="12">
        <f t="shared" si="9"/>
        <v>433.31030847570321</v>
      </c>
      <c r="P29" s="12">
        <f t="shared" si="10"/>
        <v>452</v>
      </c>
      <c r="Q29" s="12">
        <f t="shared" si="11"/>
        <v>-79.655154237851605</v>
      </c>
      <c r="R29" s="12">
        <f t="shared" si="12"/>
        <v>21.776411399739569</v>
      </c>
      <c r="S29" s="12">
        <f t="shared" si="13"/>
        <v>1.1242290266344754E-2</v>
      </c>
      <c r="T29" s="12">
        <f t="shared" si="1"/>
        <v>0.80246734000463016</v>
      </c>
      <c r="U29" s="12">
        <f>Population!$B$13*MIN(Y28:Z28)</f>
        <v>22.408562483641759</v>
      </c>
      <c r="V29" s="12">
        <f>X28*Population!$B$14</f>
        <v>2.1580181953383439</v>
      </c>
      <c r="W29" s="12">
        <f>AN28*T28*Population!$B$12</f>
        <v>7.575397749212339</v>
      </c>
      <c r="X29" s="12">
        <f t="shared" si="17"/>
        <v>372.3448457621484</v>
      </c>
      <c r="Y29" s="14">
        <f t="shared" si="15"/>
        <v>92.243217631035861</v>
      </c>
      <c r="Z29" s="13">
        <f t="shared" si="16"/>
        <v>92.243217631035861</v>
      </c>
      <c r="AA29" s="18">
        <f>(G29+Population!$B$11*AA28)*Population!M$29</f>
        <v>344.92050574289345</v>
      </c>
      <c r="AB29" s="18">
        <f>AA28*Population!$B$12*Population!$M$29+AB28*Population!$B$11*Population!$M$30</f>
        <v>379.42404706090298</v>
      </c>
      <c r="AC29" s="14">
        <f>(AB28*Population!$B$12*0.5*Population!$M$30)+(AC28*Population!$B$11*Population!M$31)</f>
        <v>180.13753446409555</v>
      </c>
      <c r="AD29" s="13">
        <f>(AB28*Population!$B$12*0.5*Population!$M$30)+(AD28*Population!$B$11*Population!M$31)</f>
        <v>180.13753446409555</v>
      </c>
      <c r="AE29" s="14">
        <f>(AC28*Population!$B$12*Population!M$31)+(AE28*Population!$B$11*Population!M$33)</f>
        <v>144.12402102199661</v>
      </c>
      <c r="AF29" s="13">
        <f>(AD28*Population!$B$12*Population!M$31)+(AF28*Population!$B$11*Population!M$33)</f>
        <v>144.12402102199661</v>
      </c>
      <c r="AG29" s="14">
        <f>(AE28*Population!$B$12*Population!M$33)+(AG28*Population!$B$11*Population!M$35)</f>
        <v>103.43064507515057</v>
      </c>
      <c r="AH29" s="13">
        <f>(AF28*Population!$B$12*Population!M$33)+(AH28*Population!$B$11*Population!M$35)</f>
        <v>103.43064507515057</v>
      </c>
      <c r="AI29" s="14">
        <f>(AG28*Population!$B$12*Population!M$35)+(AI28*Population!$B$11*Population!M$37)</f>
        <v>79.066767839873378</v>
      </c>
      <c r="AJ29" s="13">
        <f>(AH28*Population!$B$12*Population!M$35)+(AJ28*Population!$B$11*Population!M$37)</f>
        <v>79.066767839873378</v>
      </c>
      <c r="AK29" s="14">
        <f>(AI28*Population!$B$12*Population!M$37)+(AK28*Population!$B$11*Population!M$39)</f>
        <v>71.265692418049071</v>
      </c>
      <c r="AL29" s="13">
        <f>(AJ28*Population!$B$12*Population!M$37)+(AL28*Population!$B$11*Population!M$39)</f>
        <v>71.265692418049071</v>
      </c>
      <c r="AM29" s="14">
        <f>(AK28*Population!$B$12*Population!M$39)+(AM28*Population!$B$11*Population!M$41)</f>
        <v>66.700937038114631</v>
      </c>
      <c r="AN29" s="13">
        <f>(AL28*Population!$B$12*Population!M$39)+(AN28*Population!$B$11*Population!M$41)</f>
        <v>66.700937038114631</v>
      </c>
      <c r="AO29" s="15">
        <f>(AM28+AN28)*Population!$B$12*Population!$M$41+AO28*Population!$B$11*Population!$M$43</f>
        <v>109.05637104273529</v>
      </c>
      <c r="AP29" s="5">
        <f>AO28*Population!M$43*Population!$B$12+AP28*Population!$B$11*Population!M$44</f>
        <v>75.232443030289218</v>
      </c>
      <c r="AQ29" s="5">
        <f>AP28*Population!M$44*Population!$B$12+AQ28*Population!$B$11*Population!M$45</f>
        <v>38.556531335525577</v>
      </c>
      <c r="AR29" s="5">
        <f>(AQ28*Population!$B$12+AR28)*Population!M$46</f>
        <v>25.430060582471832</v>
      </c>
    </row>
    <row r="30" spans="1:44">
      <c r="A30">
        <f>A29+Population!$B$2</f>
        <v>27</v>
      </c>
      <c r="B30" s="4">
        <f t="shared" si="4"/>
        <v>2297</v>
      </c>
      <c r="C30" s="54">
        <f t="shared" si="2"/>
        <v>916</v>
      </c>
      <c r="D30" s="12">
        <f>AD29*Population!$P$32*Population!$C$2+AF29*Population!$P$34*Population!$C$2+AH29*Population!$P$36*Population!$C$2+AJ29*Population!$P$38*Population!$C$2+AL29*Population!$P$40*Population!$C$2+AN28*Population!$P$42*Population!$C$2</f>
        <v>34.890788548287979</v>
      </c>
      <c r="E30" s="12">
        <f>IF(B29&gt;Population!$B$6*Population!$B$15,Population!$B$8,IF(Population!$J$6=1,D30,Population!$B$8*Population!$B$6*0.9/B29))</f>
        <v>42.544402468841611</v>
      </c>
      <c r="F30" s="12">
        <f>IF(B29&gt;Population!$B$6*0.75,Population!$B$8,E30)</f>
        <v>35.642754957229528</v>
      </c>
      <c r="G30" s="15">
        <f>IF(Population!$J$6=1,IF(E30&gt;H29,H29,E30),IF(E30&gt;X29,X29,E30))</f>
        <v>42.544402468841611</v>
      </c>
      <c r="H30" s="15">
        <f t="shared" si="5"/>
        <v>480</v>
      </c>
      <c r="I30" s="15">
        <f t="shared" si="6"/>
        <v>1075</v>
      </c>
      <c r="J30" s="12">
        <f t="shared" si="3"/>
        <v>2.2395833333333335</v>
      </c>
      <c r="K30" s="12">
        <f>AA30*Population!$O$29+AB30*Population!$O$30+AC30*Population!$O$31+AD30*Population!$O$32+AE30*Population!$O$33+AF30*Population!$O$34+AG30*Population!$O$35+AH30*Population!$O$36+AI30*Population!$O$37+AJ30*Population!$O$38+AK30*Population!$O$39+AL30*Population!$O$40+AM30*Population!$O$41+AN30*Population!$O$42+AO30*Population!$O$43+AP30*Population!$O$44+AQ30*Population!$O$45+AR30*Population!$O$46</f>
        <v>7.117340604129744</v>
      </c>
      <c r="L30" s="12">
        <f t="shared" si="7"/>
        <v>8.863417181008669E-2</v>
      </c>
      <c r="M30" s="12">
        <f t="shared" si="8"/>
        <v>16.217596766894275</v>
      </c>
      <c r="N30" s="12">
        <f t="shared" si="0"/>
        <v>0.46800174140182849</v>
      </c>
      <c r="O30" s="12">
        <f t="shared" si="9"/>
        <v>450.94978738670034</v>
      </c>
      <c r="P30" s="12">
        <f t="shared" si="10"/>
        <v>448</v>
      </c>
      <c r="Q30" s="12">
        <f t="shared" si="11"/>
        <v>-62.474893693350168</v>
      </c>
      <c r="R30" s="12">
        <f t="shared" si="12"/>
        <v>25.430060582471832</v>
      </c>
      <c r="S30" s="12">
        <f t="shared" si="13"/>
        <v>1.2788481424552044E-2</v>
      </c>
      <c r="T30" s="12">
        <f t="shared" si="1"/>
        <v>0.80317730480552052</v>
      </c>
      <c r="U30" s="12">
        <f>Population!$B$13*MIN(Y29:Z29)</f>
        <v>23.060804407758965</v>
      </c>
      <c r="V30" s="12">
        <f>X29*Population!$B$14</f>
        <v>2.2340690745728904</v>
      </c>
      <c r="W30" s="12">
        <f>AN29*T29*Population!$B$12</f>
        <v>7.6464747886845945</v>
      </c>
      <c r="X30" s="12">
        <f t="shared" si="17"/>
        <v>385.52510630664983</v>
      </c>
      <c r="Y30" s="14">
        <f t="shared" si="15"/>
        <v>94.509314812397747</v>
      </c>
      <c r="Z30" s="13">
        <f t="shared" si="16"/>
        <v>94.509314812397747</v>
      </c>
      <c r="AA30" s="18">
        <f>(G30+Population!$B$11*AA29)*Population!M$29</f>
        <v>338.05324488506375</v>
      </c>
      <c r="AB30" s="18">
        <f>AA29*Population!$B$12*Population!$M$29+AB29*Population!$B$11*Population!$M$30</f>
        <v>374.40178970277822</v>
      </c>
      <c r="AC30" s="14">
        <f>(AB29*Population!$B$12*0.5*Population!$M$30)+(AC29*Population!$B$11*Population!M$31)</f>
        <v>181.35207409823784</v>
      </c>
      <c r="AD30" s="13">
        <f>(AB29*Population!$B$12*0.5*Population!$M$30)+(AD29*Population!$B$11*Population!M$31)</f>
        <v>181.35207409823784</v>
      </c>
      <c r="AE30" s="14">
        <f>(AC29*Population!$B$12*Population!M$31)+(AE29*Population!$B$11*Population!M$33)</f>
        <v>149.12655548193246</v>
      </c>
      <c r="AF30" s="13">
        <f>(AD29*Population!$B$12*Population!M$31)+(AF29*Population!$B$11*Population!M$33)</f>
        <v>149.12655548193246</v>
      </c>
      <c r="AG30" s="14">
        <f>(AE29*Population!$B$12*Population!M$33)+(AG29*Population!$B$11*Population!M$35)</f>
        <v>109.0541457499429</v>
      </c>
      <c r="AH30" s="13">
        <f>(AF29*Population!$B$12*Population!M$33)+(AH29*Population!$B$11*Population!M$35)</f>
        <v>109.0541457499429</v>
      </c>
      <c r="AI30" s="14">
        <f>(AG29*Population!$B$12*Population!M$35)+(AI29*Population!$B$11*Population!M$37)</f>
        <v>82.388830872904464</v>
      </c>
      <c r="AJ30" s="13">
        <f>(AH29*Population!$B$12*Population!M$35)+(AJ29*Population!$B$11*Population!M$37)</f>
        <v>82.388830872904464</v>
      </c>
      <c r="AK30" s="14">
        <f>(AI29*Population!$B$12*Population!M$37)+(AK29*Population!$B$11*Population!M$39)</f>
        <v>72.241161911037054</v>
      </c>
      <c r="AL30" s="13">
        <f>(AJ29*Population!$B$12*Population!M$37)+(AL29*Population!$B$11*Population!M$39)</f>
        <v>72.241161911037054</v>
      </c>
      <c r="AM30" s="14">
        <f>(AK29*Population!$B$12*Population!M$39)+(AM29*Population!$B$11*Population!M$41)</f>
        <v>67.223727103230729</v>
      </c>
      <c r="AN30" s="13">
        <f>(AL29*Population!$B$12*Population!M$39)+(AN29*Population!$B$11*Population!M$41)</f>
        <v>67.223727103230729</v>
      </c>
      <c r="AO30" s="15">
        <f>(AM29+AN29)*Population!$B$12*Population!$M$41+AO29*Population!$B$11*Population!$M$43</f>
        <v>111.82000237057937</v>
      </c>
      <c r="AP30" s="5">
        <f>AO29*Population!M$43*Population!$B$12+AP29*Population!$B$11*Population!M$44</f>
        <v>79.483965608941901</v>
      </c>
      <c r="AQ30" s="5">
        <f>AP29*Population!M$44*Population!$B$12+AQ29*Population!$B$11*Population!M$45</f>
        <v>42.048420007578372</v>
      </c>
      <c r="AR30" s="5">
        <f>(AQ29*Population!$B$12+AR29)*Population!M$46</f>
        <v>29.375141832196043</v>
      </c>
    </row>
    <row r="31" spans="1:44">
      <c r="A31">
        <f>A30+Population!$B$2</f>
        <v>28</v>
      </c>
      <c r="B31" s="4">
        <f t="shared" si="4"/>
        <v>2332</v>
      </c>
      <c r="C31" s="54">
        <f t="shared" si="2"/>
        <v>949</v>
      </c>
      <c r="D31" s="12">
        <f>AD30*Population!$P$32*Population!$C$2+AF30*Population!$P$34*Population!$C$2+AH30*Population!$P$36*Population!$C$2+AJ30*Population!$P$38*Population!$C$2+AL30*Population!$P$40*Population!$C$2+AN29*Population!$P$42*Population!$C$2</f>
        <v>36.175664583924878</v>
      </c>
      <c r="E31" s="12">
        <f>IF(B30&gt;Population!$B$6*Population!$B$15,Population!$B$8,IF(Population!$J$6=1,D31,Population!$B$8*Population!$B$6*0.9/B30))</f>
        <v>41.896142091649864</v>
      </c>
      <c r="F31" s="12">
        <f>IF(B30&gt;Population!$B$6*0.75,Population!$B$8,E31)</f>
        <v>35.642754957229528</v>
      </c>
      <c r="G31" s="15">
        <f>IF(Population!$J$6=1,IF(E31&gt;H30,H30,E31),IF(E31&gt;X30,X30,E31))</f>
        <v>41.896142091649864</v>
      </c>
      <c r="H31" s="15">
        <f t="shared" si="5"/>
        <v>495</v>
      </c>
      <c r="I31" s="15">
        <f t="shared" si="6"/>
        <v>1064</v>
      </c>
      <c r="J31" s="12">
        <f t="shared" si="3"/>
        <v>2.1494949494949496</v>
      </c>
      <c r="K31" s="12">
        <f>AA31*Population!$O$29+AB31*Population!$O$30+AC31*Population!$O$31+AD31*Population!$O$32+AE31*Population!$O$33+AF31*Population!$O$34+AG31*Population!$O$35+AH31*Population!$O$36+AI31*Population!$O$37+AJ31*Population!$O$38+AK31*Population!$O$39+AL31*Population!$O$40+AM31*Population!$O$41+AN31*Population!$O$42+AO31*Population!$O$43+AP31*Population!$O$44+AQ31*Population!$O$45+AR31*Population!$O$46</f>
        <v>7.6001728789573431</v>
      </c>
      <c r="L31" s="12">
        <f t="shared" si="7"/>
        <v>8.4638670892221948E-2</v>
      </c>
      <c r="M31" s="12">
        <f t="shared" si="8"/>
        <v>16.866445640340284</v>
      </c>
      <c r="N31" s="12">
        <f t="shared" si="0"/>
        <v>0.45626072041166382</v>
      </c>
      <c r="O31" s="12">
        <f t="shared" si="9"/>
        <v>469.7478803858254</v>
      </c>
      <c r="P31" s="12">
        <f t="shared" si="10"/>
        <v>444</v>
      </c>
      <c r="Q31" s="12">
        <f t="shared" si="11"/>
        <v>-44.873940192912698</v>
      </c>
      <c r="R31" s="12">
        <f t="shared" si="12"/>
        <v>29.375141832196043</v>
      </c>
      <c r="S31" s="12">
        <f t="shared" si="13"/>
        <v>1.4405899381072652E-2</v>
      </c>
      <c r="T31" s="12">
        <f t="shared" si="1"/>
        <v>0.80631527233755007</v>
      </c>
      <c r="U31" s="12">
        <f>Population!$B$13*MIN(Y30:Z30)</f>
        <v>23.627328703099437</v>
      </c>
      <c r="V31" s="12">
        <f>X30*Population!$B$14</f>
        <v>2.3131506378398989</v>
      </c>
      <c r="W31" s="12">
        <f>AN30*T30*Population!$B$12</f>
        <v>7.7132245648220961</v>
      </c>
      <c r="X31" s="12">
        <f t="shared" si="17"/>
        <v>399.1260598070873</v>
      </c>
      <c r="Y31" s="14">
        <f t="shared" si="15"/>
        <v>96.428698891767056</v>
      </c>
      <c r="Z31" s="13">
        <f t="shared" si="16"/>
        <v>96.428698891767056</v>
      </c>
      <c r="AA31" s="18">
        <f>(G31+Population!$B$11*AA30)*Population!M$29</f>
        <v>331.52141391593813</v>
      </c>
      <c r="AB31" s="18">
        <f>AA30*Population!$B$12*Population!$M$29+AB30*Population!$B$11*Population!$M$30</f>
        <v>369.11732729545872</v>
      </c>
      <c r="AC31" s="14">
        <f>(AB30*Population!$B$12*0.5*Population!$M$30)+(AC30*Population!$B$11*Population!M$31)</f>
        <v>182.03346401139729</v>
      </c>
      <c r="AD31" s="13">
        <f>(AB30*Population!$B$12*0.5*Population!$M$30)+(AD30*Population!$B$11*Population!M$31)</f>
        <v>182.03346401139729</v>
      </c>
      <c r="AE31" s="14">
        <f>(AC30*Population!$B$12*Population!M$31)+(AE30*Population!$B$11*Population!M$33)</f>
        <v>153.5836961169959</v>
      </c>
      <c r="AF31" s="13">
        <f>(AD30*Population!$B$12*Population!M$31)+(AF30*Population!$B$11*Population!M$33)</f>
        <v>153.5836961169959</v>
      </c>
      <c r="AG31" s="14">
        <f>(AE30*Population!$B$12*Population!M$33)+(AG30*Population!$B$11*Population!M$35)</f>
        <v>114.57900123073948</v>
      </c>
      <c r="AH31" s="13">
        <f>(AF30*Population!$B$12*Population!M$33)+(AH30*Population!$B$11*Population!M$35)</f>
        <v>114.57900123073948</v>
      </c>
      <c r="AI31" s="14">
        <f>(AG30*Population!$B$12*Population!M$35)+(AI30*Population!$B$11*Population!M$37)</f>
        <v>86.032661099410561</v>
      </c>
      <c r="AJ31" s="13">
        <f>(AH30*Population!$B$12*Population!M$35)+(AJ30*Population!$B$11*Population!M$37)</f>
        <v>86.032661099410561</v>
      </c>
      <c r="AK31" s="14">
        <f>(AI30*Population!$B$12*Population!M$37)+(AK30*Population!$B$11*Population!M$39)</f>
        <v>73.54934251409081</v>
      </c>
      <c r="AL31" s="13">
        <f>(AJ30*Population!$B$12*Population!M$37)+(AL30*Population!$B$11*Population!M$39)</f>
        <v>73.54934251409081</v>
      </c>
      <c r="AM31" s="14">
        <f>(AK30*Population!$B$12*Population!M$39)+(AM30*Population!$B$11*Population!M$41)</f>
        <v>67.810057737617569</v>
      </c>
      <c r="AN31" s="13">
        <f>(AL30*Population!$B$12*Population!M$39)+(AN30*Population!$B$11*Population!M$41)</f>
        <v>67.810057737617569</v>
      </c>
      <c r="AO31" s="15">
        <f>(AM30+AN30)*Population!$B$12*Population!$M$41+AO30*Population!$B$11*Population!$M$43</f>
        <v>114.32073703067729</v>
      </c>
      <c r="AP31" s="5">
        <f>AO30*Population!M$43*Population!$B$12+AP30*Population!$B$11*Population!M$44</f>
        <v>83.493649786150726</v>
      </c>
      <c r="AQ31" s="5">
        <f>AP30*Population!M$44*Population!$B$12+AQ30*Population!$B$11*Population!M$45</f>
        <v>45.493215690150016</v>
      </c>
      <c r="AR31" s="5">
        <f>(AQ30*Population!$B$12+AR30)*Population!M$46</f>
        <v>33.594557356661426</v>
      </c>
    </row>
    <row r="32" spans="1:44">
      <c r="A32">
        <f>A31+Population!$B$2</f>
        <v>29</v>
      </c>
      <c r="B32" s="4">
        <f t="shared" si="4"/>
        <v>2366</v>
      </c>
      <c r="C32" s="54">
        <f t="shared" si="2"/>
        <v>980</v>
      </c>
      <c r="D32" s="12">
        <f>AD31*Population!$P$32*Population!$C$2+AF31*Population!$P$34*Population!$C$2+AH31*Population!$P$36*Population!$C$2+AJ31*Population!$P$38*Population!$C$2+AL31*Population!$P$40*Population!$C$2+AN30*Population!$P$42*Population!$C$2</f>
        <v>37.436012130387937</v>
      </c>
      <c r="E32" s="12">
        <f>IF(B31&gt;Population!$B$6*Population!$B$15,Population!$B$8,IF(Population!$J$6=1,D32,Population!$B$8*Population!$B$6*0.9/B31))</f>
        <v>41.267340645162832</v>
      </c>
      <c r="F32" s="12">
        <f>IF(B31&gt;Population!$B$6*0.75,Population!$B$8,E32)</f>
        <v>35.642754957229528</v>
      </c>
      <c r="G32" s="15">
        <f>IF(Population!$J$6=1,IF(E32&gt;H31,H31,E32),IF(E32&gt;X31,X31,E32))</f>
        <v>41.267340645162832</v>
      </c>
      <c r="H32" s="15">
        <f t="shared" si="5"/>
        <v>511</v>
      </c>
      <c r="I32" s="15">
        <f t="shared" si="6"/>
        <v>1053</v>
      </c>
      <c r="J32" s="12">
        <f t="shared" si="3"/>
        <v>2.0606653620352251</v>
      </c>
      <c r="K32" s="12">
        <f>AA32*Population!$O$29+AB32*Population!$O$30+AC32*Population!$O$31+AD32*Population!$O$32+AE32*Population!$O$33+AF32*Population!$O$34+AG32*Population!$O$35+AH32*Population!$O$36+AI32*Population!$O$37+AJ32*Population!$O$38+AK32*Population!$O$39+AL32*Population!$O$40+AM32*Population!$O$41+AN32*Population!$O$42+AO32*Population!$O$43+AP32*Population!$O$44+AQ32*Population!$O$45+AR32*Population!$O$46</f>
        <v>8.089103765039436</v>
      </c>
      <c r="L32" s="12">
        <f t="shared" si="7"/>
        <v>8.0758005176443895E-2</v>
      </c>
      <c r="M32" s="12">
        <f t="shared" si="8"/>
        <v>17.494144484908862</v>
      </c>
      <c r="N32" s="12">
        <f t="shared" si="0"/>
        <v>0.44505494505494503</v>
      </c>
      <c r="O32" s="12">
        <f t="shared" si="9"/>
        <v>486.94483942103614</v>
      </c>
      <c r="P32" s="12">
        <f t="shared" si="10"/>
        <v>439</v>
      </c>
      <c r="Q32" s="12">
        <f t="shared" si="11"/>
        <v>-25.972419710518068</v>
      </c>
      <c r="R32" s="12">
        <f t="shared" si="12"/>
        <v>33.594557356661426</v>
      </c>
      <c r="S32" s="12">
        <f t="shared" si="13"/>
        <v>1.6089628104486407E-2</v>
      </c>
      <c r="T32" s="12">
        <f t="shared" si="1"/>
        <v>0.8082731512514324</v>
      </c>
      <c r="U32" s="12">
        <f>Population!$B$13*MIN(Y31:Z31)</f>
        <v>24.107174722941764</v>
      </c>
      <c r="V32" s="12">
        <f>X31*Population!$B$14</f>
        <v>2.3947563588425238</v>
      </c>
      <c r="W32" s="12">
        <f>AN31*T31*Population!$B$12</f>
        <v>7.8108978817045864</v>
      </c>
      <c r="X32" s="12">
        <f t="shared" si="17"/>
        <v>413.02758028948193</v>
      </c>
      <c r="Y32" s="14">
        <f t="shared" si="15"/>
        <v>98.035674948734652</v>
      </c>
      <c r="Z32" s="13">
        <f t="shared" si="16"/>
        <v>98.035674948734652</v>
      </c>
      <c r="AA32" s="18">
        <f>(G32+Population!$B$11*AA31)*Population!M$29</f>
        <v>325.29642858076511</v>
      </c>
      <c r="AB32" s="18">
        <f>AA31*Population!$B$12*Population!$M$29+AB31*Population!$B$11*Population!$M$30</f>
        <v>363.65606737182742</v>
      </c>
      <c r="AC32" s="14">
        <f>(AB31*Population!$B$12*0.5*Population!$M$30)+(AC31*Population!$B$11*Population!M$31)</f>
        <v>182.23957923851074</v>
      </c>
      <c r="AD32" s="13">
        <f>(AB31*Population!$B$12*0.5*Population!$M$30)+(AD31*Population!$B$11*Population!M$31)</f>
        <v>182.23957923851074</v>
      </c>
      <c r="AE32" s="14">
        <f>(AC31*Population!$B$12*Population!M$31)+(AE31*Population!$B$11*Population!M$33)</f>
        <v>157.49771017825327</v>
      </c>
      <c r="AF32" s="13">
        <f>(AD31*Population!$B$12*Population!M$31)+(AF31*Population!$B$11*Population!M$33)</f>
        <v>157.49771017825327</v>
      </c>
      <c r="AG32" s="14">
        <f>(AE31*Population!$B$12*Population!M$33)+(AG31*Population!$B$11*Population!M$35)</f>
        <v>119.94162687783646</v>
      </c>
      <c r="AH32" s="13">
        <f>(AF31*Population!$B$12*Population!M$33)+(AH31*Population!$B$11*Population!M$35)</f>
        <v>119.94162687783646</v>
      </c>
      <c r="AI32" s="14">
        <f>(AG31*Population!$B$12*Population!M$35)+(AI31*Population!$B$11*Population!M$37)</f>
        <v>89.937697126996369</v>
      </c>
      <c r="AJ32" s="13">
        <f>(AH31*Population!$B$12*Population!M$35)+(AJ31*Population!$B$11*Population!M$37)</f>
        <v>89.937697126996369</v>
      </c>
      <c r="AK32" s="14">
        <f>(AI31*Population!$B$12*Population!M$37)+(AK31*Population!$B$11*Population!M$39)</f>
        <v>75.188035006983171</v>
      </c>
      <c r="AL32" s="13">
        <f>(AJ31*Population!$B$12*Population!M$37)+(AL31*Population!$B$11*Population!M$39)</f>
        <v>75.188035006983171</v>
      </c>
      <c r="AM32" s="14">
        <f>(AK31*Population!$B$12*Population!M$39)+(AM31*Population!$B$11*Population!M$41)</f>
        <v>68.498186048147403</v>
      </c>
      <c r="AN32" s="13">
        <f>(AL31*Population!$B$12*Population!M$39)+(AN31*Population!$B$11*Population!M$41)</f>
        <v>68.498186048147403</v>
      </c>
      <c r="AO32" s="15">
        <f>(AM31+AN31)*Population!$B$12*Population!$M$41+AO31*Population!$B$11*Population!$M$43</f>
        <v>116.61588499667886</v>
      </c>
      <c r="AP32" s="5">
        <f>AO31*Population!M$43*Population!$B$12+AP31*Population!$B$11*Population!M$44</f>
        <v>87.260262376915961</v>
      </c>
      <c r="AQ32" s="5">
        <f>AP31*Population!M$44*Population!$B$12+AQ31*Population!$B$11*Population!M$45</f>
        <v>48.865387346586132</v>
      </c>
      <c r="AR32" s="5">
        <f>(AQ31*Population!$B$12+AR31)*Population!M$46</f>
        <v>38.06806009521484</v>
      </c>
    </row>
    <row r="33" spans="1:44">
      <c r="A33">
        <f>A32+Population!$B$2</f>
        <v>30</v>
      </c>
      <c r="B33" s="4">
        <f t="shared" si="4"/>
        <v>2398</v>
      </c>
      <c r="C33" s="54">
        <f t="shared" si="2"/>
        <v>1011</v>
      </c>
      <c r="D33" s="12">
        <f>AD32*Population!$P$32*Population!$C$2+AF32*Population!$P$34*Population!$C$2+AH32*Population!$P$36*Population!$C$2+AJ32*Population!$P$38*Population!$C$2+AL32*Population!$P$40*Population!$C$2+AN31*Population!$P$42*Population!$C$2</f>
        <v>38.662998648567125</v>
      </c>
      <c r="E33" s="12">
        <f>IF(B32&gt;Population!$B$6*Population!$B$15,Population!$B$8,IF(Population!$J$6=1,D33,Population!$B$8*Population!$B$6*0.9/B32))</f>
        <v>40.67431884383759</v>
      </c>
      <c r="F33" s="12">
        <f>IF(B32&gt;Population!$B$6*0.75,Population!$B$8,E33)</f>
        <v>35.642754957229528</v>
      </c>
      <c r="G33" s="15">
        <f>IF(Population!$J$6=1,IF(E33&gt;H32,H32,E33),IF(E33&gt;X32,X32,E33))</f>
        <v>40.67431884383759</v>
      </c>
      <c r="H33" s="15">
        <f t="shared" si="5"/>
        <v>526</v>
      </c>
      <c r="I33" s="15">
        <f t="shared" si="6"/>
        <v>1041</v>
      </c>
      <c r="J33" s="12">
        <f t="shared" si="3"/>
        <v>1.979087452471483</v>
      </c>
      <c r="K33" s="12">
        <f>AA33*Population!$O$29+AB33*Population!$O$30+AC33*Population!$O$31+AD33*Population!$O$32+AE33*Population!$O$33+AF33*Population!$O$34+AG33*Population!$O$35+AH33*Population!$O$36+AI33*Population!$O$37+AJ33*Population!$O$38+AK33*Population!$O$39+AL33*Population!$O$40+AM33*Population!$O$41+AN33*Population!$O$42+AO33*Population!$O$43+AP33*Population!$O$44+AQ33*Population!$O$45+AR33*Population!$O$46</f>
        <v>8.5821929741646272</v>
      </c>
      <c r="L33" s="12">
        <f t="shared" si="7"/>
        <v>7.7327602364710243E-2</v>
      </c>
      <c r="M33" s="12">
        <f t="shared" si="8"/>
        <v>18.095705320499068</v>
      </c>
      <c r="N33" s="12">
        <f t="shared" si="0"/>
        <v>0.43411175979983319</v>
      </c>
      <c r="O33" s="12">
        <f t="shared" si="9"/>
        <v>502.70197425075492</v>
      </c>
      <c r="P33" s="12">
        <f t="shared" si="10"/>
        <v>434</v>
      </c>
      <c r="Q33" s="12">
        <f t="shared" si="11"/>
        <v>-6.8509871253774577</v>
      </c>
      <c r="R33" s="12">
        <f t="shared" si="12"/>
        <v>38.06806009521484</v>
      </c>
      <c r="S33" s="12">
        <f t="shared" si="13"/>
        <v>1.7836931959506058E-2</v>
      </c>
      <c r="T33" s="12">
        <f t="shared" si="1"/>
        <v>0.81207036668179189</v>
      </c>
      <c r="U33" s="12">
        <f>Population!$B$13*MIN(Y32:Z32)</f>
        <v>24.508918737183663</v>
      </c>
      <c r="V33" s="12">
        <f>X32*Population!$B$14</f>
        <v>2.4781654817368914</v>
      </c>
      <c r="W33" s="12">
        <f>AN32*T32*Population!$B$12</f>
        <v>7.9093206703061423</v>
      </c>
      <c r="X33" s="12">
        <f t="shared" si="17"/>
        <v>427.14901287462254</v>
      </c>
      <c r="Y33" s="14">
        <f t="shared" si="15"/>
        <v>99.328049111930738</v>
      </c>
      <c r="Z33" s="13">
        <f t="shared" si="16"/>
        <v>99.328049111930738</v>
      </c>
      <c r="AA33" s="18">
        <f>(G33+Population!$B$11*AA32)*Population!M$29</f>
        <v>319.37011212532525</v>
      </c>
      <c r="AB33" s="18">
        <f>AA32*Population!$B$12*Population!$M$29+AB32*Population!$B$11*Population!$M$30</f>
        <v>358.08711811011057</v>
      </c>
      <c r="AC33" s="14">
        <f>(AB32*Population!$B$12*0.5*Population!$M$30)+(AC32*Population!$B$11*Population!M$31)</f>
        <v>182.02607884218759</v>
      </c>
      <c r="AD33" s="13">
        <f>(AB32*Population!$B$12*0.5*Population!$M$30)+(AD32*Population!$B$11*Population!M$31)</f>
        <v>182.02607884218759</v>
      </c>
      <c r="AE33" s="14">
        <f>(AC32*Population!$B$12*Population!M$31)+(AE32*Population!$B$11*Population!M$33)</f>
        <v>160.8787991546024</v>
      </c>
      <c r="AF33" s="13">
        <f>(AD32*Population!$B$12*Population!M$31)+(AF32*Population!$B$11*Population!M$33)</f>
        <v>160.8787991546024</v>
      </c>
      <c r="AG33" s="14">
        <f>(AE32*Population!$B$12*Population!M$33)+(AG32*Population!$B$11*Population!M$35)</f>
        <v>125.08794979797707</v>
      </c>
      <c r="AH33" s="13">
        <f>(AF32*Population!$B$12*Population!M$33)+(AH32*Population!$B$11*Population!M$35)</f>
        <v>125.08794979797707</v>
      </c>
      <c r="AI33" s="14">
        <f>(AG32*Population!$B$12*Population!M$35)+(AI32*Population!$B$11*Population!M$37)</f>
        <v>94.0430627779009</v>
      </c>
      <c r="AJ33" s="13">
        <f>(AH32*Population!$B$12*Population!M$35)+(AJ32*Population!$B$11*Population!M$37)</f>
        <v>94.0430627779009</v>
      </c>
      <c r="AK33" s="14">
        <f>(AI32*Population!$B$12*Population!M$37)+(AK32*Population!$B$11*Population!M$39)</f>
        <v>77.146722946733007</v>
      </c>
      <c r="AL33" s="13">
        <f>(AJ32*Population!$B$12*Population!M$37)+(AL32*Population!$B$11*Population!M$39)</f>
        <v>77.146722946733007</v>
      </c>
      <c r="AM33" s="14">
        <f>(AK32*Population!$B$12*Population!M$39)+(AM32*Population!$B$11*Population!M$41)</f>
        <v>69.320527309339923</v>
      </c>
      <c r="AN33" s="13">
        <f>(AL32*Population!$B$12*Population!M$39)+(AN32*Population!$B$11*Population!M$41)</f>
        <v>69.320527309339923</v>
      </c>
      <c r="AO33" s="15">
        <f>(AM32+AN32)*Population!$B$12*Population!$M$41+AO32*Population!$B$11*Population!$M$43</f>
        <v>118.76512257779822</v>
      </c>
      <c r="AP33" s="5">
        <f>AO32*Population!M$43*Population!$B$12+AP32*Population!$B$11*Population!M$44</f>
        <v>90.790881811221851</v>
      </c>
      <c r="AQ33" s="5">
        <f>AP32*Population!M$44*Population!$B$12+AQ32*Population!$B$11*Population!M$45</f>
        <v>52.14398190595756</v>
      </c>
      <c r="AR33" s="5">
        <f>(AQ32*Population!$B$12+AR32)*Population!M$46</f>
        <v>42.772962838895531</v>
      </c>
    </row>
    <row r="34" spans="1:44">
      <c r="A34">
        <f>A33+Population!$B$2</f>
        <v>31</v>
      </c>
      <c r="B34" s="4">
        <f t="shared" si="4"/>
        <v>2430</v>
      </c>
      <c r="C34" s="54">
        <f t="shared" si="2"/>
        <v>1042</v>
      </c>
      <c r="D34" s="12">
        <f>AD33*Population!$P$32*Population!$C$2+AF33*Population!$P$34*Population!$C$2+AH33*Population!$P$36*Population!$C$2+AJ33*Population!$P$38*Population!$C$2+AL33*Population!$P$40*Population!$C$2+AN32*Population!$P$42*Population!$C$2</f>
        <v>39.848878739240057</v>
      </c>
      <c r="E34" s="12">
        <f>IF(B33&gt;Population!$B$6*Population!$B$15,Population!$B$8,IF(Population!$J$6=1,D34,Population!$B$8*Population!$B$6*0.9/B33))</f>
        <v>40.131542278782206</v>
      </c>
      <c r="F34" s="12">
        <f>IF(B33&gt;Population!$B$6*0.75,Population!$B$8,E34)</f>
        <v>35.642754957229528</v>
      </c>
      <c r="G34" s="15">
        <f>IF(Population!$J$6=1,IF(E34&gt;H33,H33,E34),IF(E34&gt;X33,X33,E34))</f>
        <v>40.131542278782206</v>
      </c>
      <c r="H34" s="15">
        <f t="shared" si="5"/>
        <v>541</v>
      </c>
      <c r="I34" s="15">
        <f t="shared" si="6"/>
        <v>1029</v>
      </c>
      <c r="J34" s="12">
        <f t="shared" ref="J34:J65" si="18">I34/H34</f>
        <v>1.9020332717190389</v>
      </c>
      <c r="K34" s="12">
        <f>AA34*Population!$O$29+AB34*Population!$O$30+AC34*Population!$O$31+AD34*Population!$O$32+AE34*Population!$O$33+AF34*Population!$O$34+AG34*Population!$O$35+AH34*Population!$O$36+AI34*Population!$O$37+AJ34*Population!$O$38+AK34*Population!$O$39+AL34*Population!$O$40+AM34*Population!$O$41+AN34*Population!$O$42+AO34*Population!$O$43+AP34*Population!$O$44+AQ34*Population!$O$45+AR34*Population!$O$46</f>
        <v>9.0777174454808591</v>
      </c>
      <c r="L34" s="12">
        <f t="shared" si="7"/>
        <v>7.4180299960780419E-2</v>
      </c>
      <c r="M34" s="12">
        <f t="shared" si="8"/>
        <v>18.66694181446848</v>
      </c>
      <c r="N34" s="12">
        <f t="shared" ref="N34:N65" si="19">I34/B34</f>
        <v>0.42345679012345677</v>
      </c>
      <c r="O34" s="12">
        <f t="shared" si="9"/>
        <v>518.24749385804807</v>
      </c>
      <c r="P34" s="12">
        <f t="shared" si="10"/>
        <v>429</v>
      </c>
      <c r="Q34" s="12">
        <f t="shared" si="11"/>
        <v>12.376253070975963</v>
      </c>
      <c r="R34" s="12">
        <f t="shared" si="12"/>
        <v>42.772962838895531</v>
      </c>
      <c r="S34" s="12">
        <f t="shared" si="13"/>
        <v>1.9623408420575559E-2</v>
      </c>
      <c r="T34" s="12">
        <f t="shared" ref="T34:T65" si="20">X34/H34</f>
        <v>0.81585259347685024</v>
      </c>
      <c r="U34" s="12">
        <f>Population!$B$13*MIN(Y33:Z33)</f>
        <v>24.832012277982685</v>
      </c>
      <c r="V34" s="12">
        <f>X33*Population!$B$14</f>
        <v>2.5628940772477353</v>
      </c>
      <c r="W34" s="12">
        <f>AN33*T33*Population!$B$12</f>
        <v>8.0418780043815481</v>
      </c>
      <c r="X34" s="12">
        <f t="shared" si="17"/>
        <v>441.37625307097596</v>
      </c>
      <c r="Y34" s="14">
        <f t="shared" si="15"/>
        <v>100.34056791136641</v>
      </c>
      <c r="Z34" s="13">
        <f t="shared" si="16"/>
        <v>100.34056791136641</v>
      </c>
      <c r="AA34" s="18">
        <f>(G34+Population!$B$11*AA33)*Population!M$29</f>
        <v>313.74991846673339</v>
      </c>
      <c r="AB34" s="18">
        <f>AA33*Population!$B$12*Population!$M$29+AB33*Population!$B$11*Population!$M$30</f>
        <v>352.46853413014531</v>
      </c>
      <c r="AC34" s="14">
        <f>(AB33*Population!$B$12*0.5*Population!$M$30)+(AC33*Population!$B$11*Population!M$31)</f>
        <v>181.44556031265341</v>
      </c>
      <c r="AD34" s="13">
        <f>(AB33*Population!$B$12*0.5*Population!$M$30)+(AD33*Population!$B$11*Population!M$31)</f>
        <v>181.44556031265341</v>
      </c>
      <c r="AE34" s="14">
        <f>(AC33*Population!$B$12*Population!M$31)+(AE33*Population!$B$11*Population!M$33)</f>
        <v>163.74364256329991</v>
      </c>
      <c r="AF34" s="13">
        <f>(AD33*Population!$B$12*Population!M$31)+(AF33*Population!$B$11*Population!M$33)</f>
        <v>163.74364256329991</v>
      </c>
      <c r="AG34" s="14">
        <f>(AE33*Population!$B$12*Population!M$33)+(AG33*Population!$B$11*Population!M$35)</f>
        <v>129.97316675217112</v>
      </c>
      <c r="AH34" s="13">
        <f>(AF33*Population!$B$12*Population!M$33)+(AH33*Population!$B$11*Population!M$35)</f>
        <v>129.97316675217112</v>
      </c>
      <c r="AI34" s="14">
        <f>(AG33*Population!$B$12*Population!M$35)+(AI33*Population!$B$11*Population!M$37)</f>
        <v>98.288968788366986</v>
      </c>
      <c r="AJ34" s="13">
        <f>(AH33*Population!$B$12*Population!M$35)+(AJ33*Population!$B$11*Population!M$37)</f>
        <v>98.288968788366986</v>
      </c>
      <c r="AK34" s="14">
        <f>(AI33*Population!$B$12*Population!M$37)+(AK33*Population!$B$11*Population!M$39)</f>
        <v>79.407729647059853</v>
      </c>
      <c r="AL34" s="13">
        <f>(AJ33*Population!$B$12*Population!M$37)+(AL33*Population!$B$11*Population!M$39)</f>
        <v>79.407729647059853</v>
      </c>
      <c r="AM34" s="14">
        <f>(AK33*Population!$B$12*Population!M$39)+(AM33*Population!$B$11*Population!M$41)</f>
        <v>70.303313231444463</v>
      </c>
      <c r="AN34" s="13">
        <f>(AL33*Population!$B$12*Population!M$39)+(AN33*Population!$B$11*Population!M$41)</f>
        <v>70.303313231444463</v>
      </c>
      <c r="AO34" s="15">
        <f>(AM33+AN33)*Population!$B$12*Population!$M$41+AO33*Population!$B$11*Population!$M$43</f>
        <v>120.82847377549531</v>
      </c>
      <c r="AP34" s="5">
        <f>AO33*Population!M$43*Population!$B$12+AP33*Population!$B$11*Population!M$44</f>
        <v>94.09999470680745</v>
      </c>
      <c r="AQ34" s="5">
        <f>AP33*Population!M$44*Population!$B$12+AQ33*Population!$B$11*Population!M$45</f>
        <v>55.31295079407171</v>
      </c>
      <c r="AR34" s="5">
        <f>(AQ33*Population!$B$12+AR33)*Population!M$46</f>
        <v>47.684882461998612</v>
      </c>
    </row>
    <row r="35" spans="1:44">
      <c r="A35">
        <f>A34+Population!$B$2</f>
        <v>32</v>
      </c>
      <c r="B35" s="4">
        <f t="shared" si="4"/>
        <v>2457</v>
      </c>
      <c r="C35" s="54">
        <f t="shared" ref="C35:C66" si="21">FLOOR(B35-I35-G35-SUM(AO35:AR35),1)</f>
        <v>1078</v>
      </c>
      <c r="D35" s="12">
        <f>AD34*Population!$P$32*Population!$C$2+AF34*Population!$P$34*Population!$C$2+AH34*Population!$P$36*Population!$C$2+AJ34*Population!$P$38*Population!$C$2+AL34*Population!$P$40*Population!$C$2+AN33*Population!$P$42*Population!$C$2</f>
        <v>40.986974648625186</v>
      </c>
      <c r="E35" s="12">
        <f>IF(B34&gt;Population!$B$6*Population!$B$15,Population!$B$8,IF(Population!$J$6=1,D35,Population!$B$8*Population!$B$6*0.9/B34))</f>
        <v>35.642754957229528</v>
      </c>
      <c r="F35" s="12">
        <f>IF(B34&gt;Population!$B$6*0.75,Population!$B$8,E35)</f>
        <v>35.642754957229528</v>
      </c>
      <c r="G35" s="15">
        <f>IF(Population!$J$6=1,IF(E35&gt;H34,H34,E35),IF(E35&gt;X34,X34,E35))</f>
        <v>35.642754957229528</v>
      </c>
      <c r="H35" s="15">
        <f t="shared" si="5"/>
        <v>556</v>
      </c>
      <c r="I35" s="15">
        <f t="shared" si="6"/>
        <v>1012</v>
      </c>
      <c r="J35" s="12">
        <f t="shared" si="18"/>
        <v>1.8201438848920863</v>
      </c>
      <c r="K35" s="12">
        <f>AA35*Population!$O$29+AB35*Population!$O$30+AC35*Population!$O$31+AD35*Population!$O$32+AE35*Population!$O$33+AF35*Population!$O$34+AG35*Population!$O$35+AH35*Population!$O$36+AI35*Population!$O$37+AJ35*Population!$O$38+AK35*Population!$O$39+AL35*Population!$O$40+AM35*Population!$O$41+AN35*Population!$O$42+AO35*Population!$O$43+AP35*Population!$O$44+AQ35*Population!$O$45+AR35*Population!$O$46</f>
        <v>9.5725713679602329</v>
      </c>
      <c r="L35" s="12">
        <f t="shared" si="7"/>
        <v>6.4105674383506339E-2</v>
      </c>
      <c r="M35" s="12">
        <f t="shared" si="8"/>
        <v>19.204439853816627</v>
      </c>
      <c r="N35" s="12">
        <f t="shared" si="19"/>
        <v>0.41188441188441188</v>
      </c>
      <c r="O35" s="12">
        <f t="shared" si="9"/>
        <v>533.76147934775634</v>
      </c>
      <c r="P35" s="12">
        <f t="shared" si="10"/>
        <v>422</v>
      </c>
      <c r="Q35" s="12">
        <f t="shared" si="11"/>
        <v>33.619260326121832</v>
      </c>
      <c r="R35" s="12">
        <f t="shared" si="12"/>
        <v>47.684882461998612</v>
      </c>
      <c r="S35" s="12">
        <f t="shared" si="13"/>
        <v>2.1480867255077869E-2</v>
      </c>
      <c r="T35" s="12">
        <f t="shared" si="20"/>
        <v>0.81945910130597455</v>
      </c>
      <c r="U35" s="12">
        <f>Population!$B$13*MIN(Y34:Z34)</f>
        <v>25.085141977841602</v>
      </c>
      <c r="V35" s="12">
        <f>X34*Population!$B$14</f>
        <v>2.6482575184258557</v>
      </c>
      <c r="W35" s="12">
        <f>AN34*T34*Population!$B$12</f>
        <v>8.1938772042699028</v>
      </c>
      <c r="X35" s="12">
        <f t="shared" si="17"/>
        <v>455.61926032612183</v>
      </c>
      <c r="Y35" s="14">
        <f t="shared" si="15"/>
        <v>101.08784900852669</v>
      </c>
      <c r="Z35" s="13">
        <f t="shared" si="16"/>
        <v>101.08784900852669</v>
      </c>
      <c r="AA35" s="18">
        <f>(G35+Population!$B$11*AA34)*Population!M$29</f>
        <v>304.44760057000485</v>
      </c>
      <c r="AB35" s="18">
        <f>AA34*Population!$B$12*Population!$M$29+AB34*Population!$B$11*Population!$M$30</f>
        <v>346.85112975137599</v>
      </c>
      <c r="AC35" s="14">
        <f>(AB34*Population!$B$12*0.5*Population!$M$30)+(AC34*Population!$B$11*Population!M$31)</f>
        <v>180.54721007386229</v>
      </c>
      <c r="AD35" s="13">
        <f>(AB34*Population!$B$12*0.5*Population!$M$30)+(AD34*Population!$B$11*Population!M$31)</f>
        <v>180.54721007386229</v>
      </c>
      <c r="AE35" s="14">
        <f>(AC34*Population!$B$12*Population!M$31)+(AE34*Population!$B$11*Population!M$33)</f>
        <v>166.11403027504258</v>
      </c>
      <c r="AF35" s="13">
        <f>(AD34*Population!$B$12*Population!M$31)+(AF34*Population!$B$11*Population!M$33)</f>
        <v>166.11403027504258</v>
      </c>
      <c r="AG35" s="14">
        <f>(AE34*Population!$B$12*Population!M$33)+(AG34*Population!$B$11*Population!M$35)</f>
        <v>134.56132921485411</v>
      </c>
      <c r="AH35" s="13">
        <f>(AF34*Population!$B$12*Population!M$33)+(AH34*Population!$B$11*Population!M$35)</f>
        <v>134.56132921485411</v>
      </c>
      <c r="AI35" s="14">
        <f>(AG34*Population!$B$12*Population!M$35)+(AI34*Population!$B$11*Population!M$37)</f>
        <v>102.61787744025241</v>
      </c>
      <c r="AJ35" s="13">
        <f>(AH34*Population!$B$12*Population!M$35)+(AJ34*Population!$B$11*Population!M$37)</f>
        <v>102.61787744025241</v>
      </c>
      <c r="AK35" s="14">
        <f>(AI34*Population!$B$12*Population!M$37)+(AK34*Population!$B$11*Population!M$39)</f>
        <v>81.947407829302605</v>
      </c>
      <c r="AL35" s="13">
        <f>(AJ34*Population!$B$12*Population!M$37)+(AL34*Population!$B$11*Population!M$39)</f>
        <v>81.947407829302605</v>
      </c>
      <c r="AM35" s="14">
        <f>(AK34*Population!$B$12*Population!M$39)+(AM34*Population!$B$11*Population!M$41)</f>
        <v>71.466464575196866</v>
      </c>
      <c r="AN35" s="13">
        <f>(AL34*Population!$B$12*Population!M$39)+(AN34*Population!$B$11*Population!M$41)</f>
        <v>71.466464575196866</v>
      </c>
      <c r="AO35" s="15">
        <f>(AM34+AN34)*Population!$B$12*Population!$M$41+AO34*Population!$B$11*Population!$M$43</f>
        <v>122.86449511197401</v>
      </c>
      <c r="AP35" s="5">
        <f>AO34*Population!M$43*Population!$B$12+AP34*Population!$B$11*Population!M$44</f>
        <v>97.208440830245948</v>
      </c>
      <c r="AQ35" s="5">
        <f>AP34*Population!M$44*Population!$B$12+AQ34*Population!$B$11*Population!M$45</f>
        <v>58.361287552130619</v>
      </c>
      <c r="AR35" s="5">
        <f>(AQ34*Population!$B$12+AR34)*Population!M$46</f>
        <v>52.778490845726324</v>
      </c>
    </row>
    <row r="36" spans="1:44">
      <c r="A36">
        <f>A35+Population!$B$2</f>
        <v>33</v>
      </c>
      <c r="B36" s="4">
        <f t="shared" si="4"/>
        <v>2483</v>
      </c>
      <c r="C36" s="54">
        <f t="shared" si="21"/>
        <v>1107</v>
      </c>
      <c r="D36" s="12">
        <f>AD35*Population!$P$32*Population!$C$2+AF35*Population!$P$34*Population!$C$2+AH35*Population!$P$36*Population!$C$2+AJ35*Population!$P$38*Population!$C$2+AL35*Population!$P$40*Population!$C$2+AN34*Population!$P$42*Population!$C$2</f>
        <v>42.071642281501134</v>
      </c>
      <c r="E36" s="12">
        <f>IF(B35&gt;Population!$B$6*Population!$B$15,Population!$B$8,IF(Population!$J$6=1,D36,Population!$B$8*Population!$B$6*0.9/B35))</f>
        <v>35.642754957229528</v>
      </c>
      <c r="F36" s="12">
        <f>IF(B35&gt;Population!$B$6*0.75,Population!$B$8,E36)</f>
        <v>35.642754957229528</v>
      </c>
      <c r="G36" s="15">
        <f>IF(Population!$J$6=1,IF(E36&gt;H35,H35,E36),IF(E36&gt;X35,X35,E36))</f>
        <v>35.642754957229528</v>
      </c>
      <c r="H36" s="15">
        <f t="shared" ref="H36:H67" si="22">FLOOR(AF36+AH36+AJ36+AL36+AN36,1)</f>
        <v>571</v>
      </c>
      <c r="I36" s="15">
        <f t="shared" ref="I36:I67" si="23">FLOOR(SUM(AA36:AD36),1)</f>
        <v>995</v>
      </c>
      <c r="J36" s="12">
        <f t="shared" si="18"/>
        <v>1.7425569176882663</v>
      </c>
      <c r="K36" s="12">
        <f>AA36*Population!$O$29+AB36*Population!$O$30+AC36*Population!$O$31+AD36*Population!$O$32+AE36*Population!$O$33+AF36*Population!$O$34+AG36*Population!$O$35+AH36*Population!$O$36+AI36*Population!$O$37+AJ36*Population!$O$38+AK36*Population!$O$39+AL36*Population!$O$40+AM36*Population!$O$41+AN36*Population!$O$42+AO36*Population!$O$43+AP36*Population!$O$44+AQ36*Population!$O$45+AR36*Population!$O$46</f>
        <v>10.067434417888759</v>
      </c>
      <c r="L36" s="12">
        <f t="shared" si="7"/>
        <v>6.2421637403204076E-2</v>
      </c>
      <c r="M36" s="12">
        <f t="shared" ref="M36:M67" si="24">(AE36+AF36+AG36+AH36+AI36+AJ36)/21*0.5</f>
        <v>19.70551782819544</v>
      </c>
      <c r="N36" s="12">
        <f t="shared" si="19"/>
        <v>0.40072492952074101</v>
      </c>
      <c r="O36" s="12">
        <f t="shared" si="9"/>
        <v>548.41751306292247</v>
      </c>
      <c r="P36" s="12">
        <f t="shared" si="10"/>
        <v>415</v>
      </c>
      <c r="Q36" s="12">
        <f t="shared" si="11"/>
        <v>54.791243468538767</v>
      </c>
      <c r="R36" s="12">
        <f t="shared" si="12"/>
        <v>52.778490845726324</v>
      </c>
      <c r="S36" s="12">
        <f t="shared" ref="S36:S67" si="25">SUM(AR36:AR36)/B36</f>
        <v>2.337021608206654E-2</v>
      </c>
      <c r="T36" s="12">
        <f t="shared" si="20"/>
        <v>0.82275173987484895</v>
      </c>
      <c r="U36" s="12">
        <f>Population!$B$13*MIN(Y35:Z35)</f>
        <v>25.271962252131672</v>
      </c>
      <c r="V36" s="12">
        <f>X35*Population!$B$14</f>
        <v>2.733715561956731</v>
      </c>
      <c r="W36" s="12">
        <f>AN35*T35*Population!$B$12</f>
        <v>8.3662635477580114</v>
      </c>
      <c r="X36" s="12">
        <f t="shared" si="17"/>
        <v>469.79124346853877</v>
      </c>
      <c r="Y36" s="14">
        <f t="shared" ref="Y36:Y67" si="26">(AE36+AG36+AI36+AK36+AM36)-X36</f>
        <v>101.58560614338472</v>
      </c>
      <c r="Z36" s="13">
        <f t="shared" ref="Z36:Z67" si="27">(AF36+AH36+AJ36+AL36+AN36)-X36</f>
        <v>101.58560614338472</v>
      </c>
      <c r="AA36" s="18">
        <f>(G36+Population!$B$11*AA35)*Population!M$29</f>
        <v>296.47742243657984</v>
      </c>
      <c r="AB36" s="18">
        <f>AA35*Population!$B$12*Population!$M$29+AB35*Population!$B$11*Population!$M$30</f>
        <v>340.70893204675212</v>
      </c>
      <c r="AC36" s="14">
        <f>(AB35*Population!$B$12*0.5*Population!$M$30)+(AC35*Population!$B$11*Population!M$31)</f>
        <v>179.37677651708032</v>
      </c>
      <c r="AD36" s="13">
        <f>(AB35*Population!$B$12*0.5*Population!$M$30)+(AD35*Population!$B$11*Population!M$31)</f>
        <v>179.37677651708032</v>
      </c>
      <c r="AE36" s="14">
        <f>(AC35*Population!$B$12*Population!M$31)+(AE35*Population!$B$11*Population!M$33)</f>
        <v>168.01564145825782</v>
      </c>
      <c r="AF36" s="13">
        <f>(AD35*Population!$B$12*Population!M$31)+(AF35*Population!$B$11*Population!M$33)</f>
        <v>168.01564145825782</v>
      </c>
      <c r="AG36" s="14">
        <f>(AE35*Population!$B$12*Population!M$33)+(AG35*Population!$B$11*Population!M$35)</f>
        <v>138.82479319725144</v>
      </c>
      <c r="AH36" s="13">
        <f>(AF35*Population!$B$12*Population!M$33)+(AH35*Population!$B$11*Population!M$35)</f>
        <v>138.82479319725144</v>
      </c>
      <c r="AI36" s="14">
        <f>(AG35*Population!$B$12*Population!M$35)+(AI35*Population!$B$11*Population!M$37)</f>
        <v>106.97543973659492</v>
      </c>
      <c r="AJ36" s="13">
        <f>(AH35*Population!$B$12*Population!M$35)+(AJ35*Population!$B$11*Population!M$37)</f>
        <v>106.97543973659492</v>
      </c>
      <c r="AK36" s="14">
        <f>(AI35*Population!$B$12*Population!M$37)+(AK35*Population!$B$11*Population!M$39)</f>
        <v>84.737323421884156</v>
      </c>
      <c r="AL36" s="13">
        <f>(AJ35*Population!$B$12*Population!M$37)+(AL35*Population!$B$11*Population!M$39)</f>
        <v>84.737323421884156</v>
      </c>
      <c r="AM36" s="14">
        <f>(AK35*Population!$B$12*Population!M$39)+(AM35*Population!$B$11*Population!M$41)</f>
        <v>72.823651797935042</v>
      </c>
      <c r="AN36" s="13">
        <f>(AL35*Population!$B$12*Population!M$39)+(AN35*Population!$B$11*Population!M$41)</f>
        <v>72.823651797935042</v>
      </c>
      <c r="AO36" s="15">
        <f>(AM35+AN35)*Population!$B$12*Population!$M$41+AO35*Population!$B$11*Population!$M$43</f>
        <v>124.92869472298545</v>
      </c>
      <c r="AP36" s="5">
        <f>AO35*Population!M$43*Population!$B$12+AP35*Population!$B$11*Population!M$44</f>
        <v>100.14225790396746</v>
      </c>
      <c r="AQ36" s="5">
        <f>AP35*Population!M$44*Population!$B$12+AQ35*Population!$B$11*Population!M$45</f>
        <v>61.282990209172652</v>
      </c>
      <c r="AR36" s="5">
        <f>(AQ35*Population!$B$12+AR35)*Population!M$46</f>
        <v>58.028246531771224</v>
      </c>
    </row>
    <row r="37" spans="1:44">
      <c r="A37">
        <f>A36+Population!$B$2</f>
        <v>34</v>
      </c>
      <c r="B37" s="4">
        <f t="shared" si="4"/>
        <v>2508</v>
      </c>
      <c r="C37" s="54">
        <f t="shared" si="21"/>
        <v>1135</v>
      </c>
      <c r="D37" s="12">
        <f>AD36*Population!$P$32*Population!$C$2+AF36*Population!$P$34*Population!$C$2+AH36*Population!$P$36*Population!$C$2+AJ36*Population!$P$38*Population!$C$2+AL36*Population!$P$40*Population!$C$2+AN35*Population!$P$42*Population!$C$2</f>
        <v>43.098228116625478</v>
      </c>
      <c r="E37" s="12">
        <f>IF(B36&gt;Population!$B$6*Population!$B$15,Population!$B$8,IF(Population!$J$6=1,D37,Population!$B$8*Population!$B$6*0.9/B36))</f>
        <v>35.642754957229528</v>
      </c>
      <c r="F37" s="12">
        <f>IF(B36&gt;Population!$B$6*0.75,Population!$B$8,E37)</f>
        <v>35.642754957229528</v>
      </c>
      <c r="G37" s="15">
        <f>IF(Population!$J$6=1,IF(E37&gt;H36,H36,E37),IF(E37&gt;X36,X36,E37))</f>
        <v>35.642754957229528</v>
      </c>
      <c r="H37" s="15">
        <f t="shared" si="22"/>
        <v>585</v>
      </c>
      <c r="I37" s="15">
        <f t="shared" si="23"/>
        <v>979</v>
      </c>
      <c r="J37" s="12">
        <f t="shared" si="18"/>
        <v>1.6735042735042736</v>
      </c>
      <c r="K37" s="12">
        <f>AA37*Population!$O$29+AB37*Population!$O$30+AC37*Population!$O$31+AD37*Population!$O$32+AE37*Population!$O$33+AF37*Population!$O$34+AG37*Population!$O$35+AH37*Population!$O$36+AI37*Population!$O$37+AJ37*Population!$O$38+AK37*Population!$O$39+AL37*Population!$O$40+AM37*Population!$O$41+AN37*Population!$O$42+AO37*Population!$O$43+AP37*Population!$O$44+AQ37*Population!$O$45+AR37*Population!$O$46</f>
        <v>10.56124392750405</v>
      </c>
      <c r="L37" s="12">
        <f t="shared" si="7"/>
        <v>6.0927786251674408E-2</v>
      </c>
      <c r="M37" s="12">
        <f t="shared" si="24"/>
        <v>20.168180386576118</v>
      </c>
      <c r="N37" s="12">
        <f t="shared" si="19"/>
        <v>0.39035087719298245</v>
      </c>
      <c r="O37" s="12">
        <f t="shared" si="9"/>
        <v>561.38100097593576</v>
      </c>
      <c r="P37" s="12">
        <f t="shared" si="10"/>
        <v>408</v>
      </c>
      <c r="Q37" s="12">
        <f t="shared" si="11"/>
        <v>75.809499512032119</v>
      </c>
      <c r="R37" s="12">
        <f t="shared" si="12"/>
        <v>58.028246531771224</v>
      </c>
      <c r="S37" s="12">
        <f t="shared" si="25"/>
        <v>2.5282728990812724E-2</v>
      </c>
      <c r="T37" s="12">
        <f t="shared" si="20"/>
        <v>0.82702478549065317</v>
      </c>
      <c r="U37" s="12">
        <f>Population!$B$13*MIN(Y36:Z36)</f>
        <v>25.396401535846181</v>
      </c>
      <c r="V37" s="12">
        <f>X36*Population!$B$14</f>
        <v>2.8187474608112328</v>
      </c>
      <c r="W37" s="12">
        <f>AN36*T36*Population!$B$12</f>
        <v>8.5593980315416029</v>
      </c>
      <c r="X37" s="12">
        <f t="shared" si="17"/>
        <v>483.80949951203212</v>
      </c>
      <c r="Y37" s="14">
        <f t="shared" si="26"/>
        <v>101.85020625429462</v>
      </c>
      <c r="Z37" s="13">
        <f t="shared" si="27"/>
        <v>101.85020625429462</v>
      </c>
      <c r="AA37" s="18">
        <f>(G37+Population!$B$11*AA36)*Population!M$29</f>
        <v>289.64861480134886</v>
      </c>
      <c r="AB37" s="18">
        <f>AA36*Population!$B$12*Population!$M$29+AB36*Population!$B$11*Population!$M$30</f>
        <v>334.30724111790289</v>
      </c>
      <c r="AC37" s="14">
        <f>(AB36*Population!$B$12*0.5*Population!$M$30)+(AC36*Population!$B$11*Population!M$31)</f>
        <v>177.93587413755401</v>
      </c>
      <c r="AD37" s="13">
        <f>(AB36*Population!$B$12*0.5*Population!$M$30)+(AD36*Population!$B$11*Population!M$31)</f>
        <v>177.93587413755401</v>
      </c>
      <c r="AE37" s="14">
        <f>(AC36*Population!$B$12*Population!M$31)+(AE36*Population!$B$11*Population!M$33)</f>
        <v>169.47699510867832</v>
      </c>
      <c r="AF37" s="13">
        <f>(AD36*Population!$B$12*Population!M$31)+(AF36*Population!$B$11*Population!M$33)</f>
        <v>169.47699510867832</v>
      </c>
      <c r="AG37" s="14">
        <f>(AE36*Population!$B$12*Population!M$33)+(AG36*Population!$B$11*Population!M$35)</f>
        <v>142.74357430254634</v>
      </c>
      <c r="AH37" s="13">
        <f>(AF36*Population!$B$12*Population!M$33)+(AH36*Population!$B$11*Population!M$35)</f>
        <v>142.74357430254634</v>
      </c>
      <c r="AI37" s="14">
        <f>(AG36*Population!$B$12*Population!M$35)+(AI36*Population!$B$11*Population!M$37)</f>
        <v>111.3112187068738</v>
      </c>
      <c r="AJ37" s="13">
        <f>(AH36*Population!$B$12*Population!M$35)+(AJ36*Population!$B$11*Population!M$37)</f>
        <v>111.3112187068738</v>
      </c>
      <c r="AK37" s="14">
        <f>(AI36*Population!$B$12*Population!M$37)+(AK36*Population!$B$11*Population!M$39)</f>
        <v>87.745401922540779</v>
      </c>
      <c r="AL37" s="13">
        <f>(AJ36*Population!$B$12*Population!M$37)+(AL36*Population!$B$11*Population!M$39)</f>
        <v>87.745401922540779</v>
      </c>
      <c r="AM37" s="14">
        <f>(AK36*Population!$B$12*Population!M$39)+(AM36*Population!$B$11*Population!M$41)</f>
        <v>74.382515725687455</v>
      </c>
      <c r="AN37" s="13">
        <f>(AL36*Population!$B$12*Population!M$39)+(AN36*Population!$B$11*Population!M$41)</f>
        <v>74.382515725687455</v>
      </c>
      <c r="AO37" s="15">
        <f>(AM36+AN36)*Population!$B$12*Population!$M$41+AO36*Population!$B$11*Population!$M$43</f>
        <v>127.07220441291842</v>
      </c>
      <c r="AP37" s="5">
        <f>AO36*Population!M$43*Population!$B$12+AP36*Population!$B$11*Population!M$44</f>
        <v>102.9314744130323</v>
      </c>
      <c r="AQ37" s="5">
        <f>AP36*Population!M$44*Population!$B$12+AQ36*Population!$B$11*Population!M$45</f>
        <v>64.076866828142172</v>
      </c>
      <c r="AR37" s="5">
        <f>(AQ36*Population!$B$12+AR36)*Population!M$46</f>
        <v>63.409084308958313</v>
      </c>
    </row>
    <row r="38" spans="1:44">
      <c r="A38">
        <f>A37+Population!$B$2</f>
        <v>35</v>
      </c>
      <c r="B38" s="4">
        <f t="shared" si="4"/>
        <v>2533</v>
      </c>
      <c r="C38" s="54">
        <f t="shared" si="21"/>
        <v>1162</v>
      </c>
      <c r="D38" s="12">
        <f>AD37*Population!$P$32*Population!$C$2+AF37*Population!$P$34*Population!$C$2+AH37*Population!$P$36*Population!$C$2+AJ37*Population!$P$38*Population!$C$2+AL37*Population!$P$40*Population!$C$2+AN36*Population!$P$42*Population!$C$2</f>
        <v>44.062530401937117</v>
      </c>
      <c r="E38" s="12">
        <f>IF(B37&gt;Population!$B$6*Population!$B$15,Population!$B$8,IF(Population!$J$6=1,D38,Population!$B$8*Population!$B$6*0.9/B37))</f>
        <v>35.642754957229528</v>
      </c>
      <c r="F38" s="12">
        <f>IF(B37&gt;Population!$B$6*0.75,Population!$B$8,E38)</f>
        <v>35.642754957229528</v>
      </c>
      <c r="G38" s="15">
        <f>IF(Population!$J$6=1,IF(E38&gt;H37,H37,E38),IF(E38&gt;X37,X37,E38))</f>
        <v>35.642754957229528</v>
      </c>
      <c r="H38" s="15">
        <f t="shared" si="22"/>
        <v>599</v>
      </c>
      <c r="I38" s="15">
        <f t="shared" si="23"/>
        <v>964</v>
      </c>
      <c r="J38" s="12">
        <f t="shared" si="18"/>
        <v>1.6093489148580968</v>
      </c>
      <c r="K38" s="12">
        <f>AA38*Population!$O$29+AB38*Population!$O$30+AC38*Population!$O$31+AD38*Population!$O$32+AE38*Population!$O$33+AF38*Population!$O$34+AG38*Population!$O$35+AH38*Population!$O$36+AI38*Population!$O$37+AJ38*Population!$O$38+AK38*Population!$O$39+AL38*Population!$O$40+AM38*Population!$O$41+AN38*Population!$O$42+AO38*Population!$O$43+AP38*Population!$O$44+AQ38*Population!$O$45+AR38*Population!$O$46</f>
        <v>11.053236915399154</v>
      </c>
      <c r="L38" s="12">
        <f t="shared" si="7"/>
        <v>5.9503764536276343E-2</v>
      </c>
      <c r="M38" s="12">
        <f t="shared" si="24"/>
        <v>20.590790744604199</v>
      </c>
      <c r="N38" s="12">
        <f t="shared" si="19"/>
        <v>0.38057639163047768</v>
      </c>
      <c r="O38" s="12">
        <f t="shared" si="9"/>
        <v>573.83766444644482</v>
      </c>
      <c r="P38" s="12">
        <f t="shared" si="10"/>
        <v>402</v>
      </c>
      <c r="Q38" s="12">
        <f t="shared" si="11"/>
        <v>95.58116777677759</v>
      </c>
      <c r="R38" s="12">
        <f t="shared" si="12"/>
        <v>63.409084308958313</v>
      </c>
      <c r="S38" s="12">
        <f t="shared" si="25"/>
        <v>2.7199780334085651E-2</v>
      </c>
      <c r="T38" s="12">
        <f t="shared" si="20"/>
        <v>0.8306864236674083</v>
      </c>
      <c r="U38" s="12">
        <f>Population!$B$13*MIN(Y37:Z37)</f>
        <v>25.462551563573655</v>
      </c>
      <c r="V38" s="12">
        <f>X37*Population!$B$14</f>
        <v>2.9028569970721927</v>
      </c>
      <c r="W38" s="12">
        <f>AN37*T37*Population!$B$12</f>
        <v>8.7880263017559717</v>
      </c>
      <c r="X38" s="12">
        <f t="shared" si="17"/>
        <v>497.58116777677759</v>
      </c>
      <c r="Y38" s="14">
        <f t="shared" si="26"/>
        <v>101.90746988789164</v>
      </c>
      <c r="Z38" s="13">
        <f t="shared" si="27"/>
        <v>101.90746988789164</v>
      </c>
      <c r="AA38" s="18">
        <f>(G38+Population!$B$11*AA37)*Population!M$29</f>
        <v>283.79772753906502</v>
      </c>
      <c r="AB38" s="18">
        <f>AA37*Population!$B$12*Population!$M$29+AB37*Population!$B$11*Population!$M$30</f>
        <v>327.84616419937822</v>
      </c>
      <c r="AC38" s="14">
        <f>(AB37*Population!$B$12*0.5*Population!$M$30)+(AC37*Population!$B$11*Population!M$31)</f>
        <v>176.24483121304732</v>
      </c>
      <c r="AD38" s="13">
        <f>(AB37*Population!$B$12*0.5*Population!$M$30)+(AD37*Population!$B$11*Population!M$31)</f>
        <v>176.24483121304732</v>
      </c>
      <c r="AE38" s="14">
        <f>(AC37*Population!$B$12*Population!M$31)+(AE37*Population!$B$11*Population!M$33)</f>
        <v>170.52274320621993</v>
      </c>
      <c r="AF38" s="13">
        <f>(AD37*Population!$B$12*Population!M$31)+(AF37*Population!$B$11*Population!M$33)</f>
        <v>170.52274320621993</v>
      </c>
      <c r="AG38" s="14">
        <f>(AE37*Population!$B$12*Population!M$33)+(AG37*Population!$B$11*Population!M$35)</f>
        <v>146.30464619595037</v>
      </c>
      <c r="AH38" s="13">
        <f>(AF37*Population!$B$12*Population!M$33)+(AH37*Population!$B$11*Population!M$35)</f>
        <v>146.30464619595037</v>
      </c>
      <c r="AI38" s="14">
        <f>(AG37*Population!$B$12*Population!M$35)+(AI37*Population!$B$11*Population!M$37)</f>
        <v>115.57921623451787</v>
      </c>
      <c r="AJ38" s="13">
        <f>(AH37*Population!$B$12*Population!M$35)+(AJ37*Population!$B$11*Population!M$37)</f>
        <v>115.57921623451787</v>
      </c>
      <c r="AK38" s="14">
        <f>(AI37*Population!$B$12*Population!M$37)+(AK37*Population!$B$11*Population!M$39)</f>
        <v>90.937012238864796</v>
      </c>
      <c r="AL38" s="13">
        <f>(AJ37*Population!$B$12*Population!M$37)+(AL37*Population!$B$11*Population!M$39)</f>
        <v>90.937012238864796</v>
      </c>
      <c r="AM38" s="14">
        <f>(AK37*Population!$B$12*Population!M$39)+(AM37*Population!$B$11*Population!M$41)</f>
        <v>76.145019789116333</v>
      </c>
      <c r="AN38" s="13">
        <f>(AL37*Population!$B$12*Population!M$39)+(AN37*Population!$B$11*Population!M$41)</f>
        <v>76.145019789116333</v>
      </c>
      <c r="AO38" s="15">
        <f>(AM37+AN37)*Population!$B$12*Population!$M$41+AO37*Population!$B$11*Population!$M$43</f>
        <v>129.34071259664813</v>
      </c>
      <c r="AP38" s="5">
        <f>AO37*Population!M$43*Population!$B$12+AP37*Population!$B$11*Population!M$44</f>
        <v>105.60889403887882</v>
      </c>
      <c r="AQ38" s="5">
        <f>AP37*Population!M$44*Population!$B$12+AQ37*Population!$B$11*Population!M$45</f>
        <v>66.746206045634921</v>
      </c>
      <c r="AR38" s="5">
        <f>(AQ37*Population!$B$12+AR37)*Population!M$46</f>
        <v>68.897043586238951</v>
      </c>
    </row>
    <row r="39" spans="1:44">
      <c r="A39">
        <f>A38+Population!$B$2</f>
        <v>36</v>
      </c>
      <c r="B39" s="4">
        <f t="shared" si="4"/>
        <v>2558</v>
      </c>
      <c r="C39" s="54">
        <f t="shared" si="21"/>
        <v>1190</v>
      </c>
      <c r="D39" s="12">
        <f>AD38*Population!$P$32*Population!$C$2+AF38*Population!$P$34*Population!$C$2+AH38*Population!$P$36*Population!$C$2+AJ38*Population!$P$38*Population!$C$2+AL38*Population!$P$40*Population!$C$2+AN37*Population!$P$42*Population!$C$2</f>
        <v>44.960985581557139</v>
      </c>
      <c r="E39" s="12">
        <f>IF(B38&gt;Population!$B$6*Population!$B$15,Population!$B$8,IF(Population!$J$6=1,D39,Population!$B$8*Population!$B$6*0.9/B38))</f>
        <v>35.642754957229528</v>
      </c>
      <c r="F39" s="12">
        <f>IF(B38&gt;Population!$B$6*0.75,Population!$B$8,E39)</f>
        <v>35.642754957229528</v>
      </c>
      <c r="G39" s="15">
        <f>IF(Population!$J$6=1,IF(E39&gt;H38,H38,E39),IF(E39&gt;X38,X38,E39))</f>
        <v>35.642754957229528</v>
      </c>
      <c r="H39" s="15">
        <f t="shared" si="22"/>
        <v>612</v>
      </c>
      <c r="I39" s="15">
        <f t="shared" si="23"/>
        <v>948</v>
      </c>
      <c r="J39" s="12">
        <f t="shared" si="18"/>
        <v>1.5490196078431373</v>
      </c>
      <c r="K39" s="12">
        <f>AA39*Population!$O$29+AB39*Population!$O$30+AC39*Population!$O$31+AD39*Population!$O$32+AE39*Population!$O$33+AF39*Population!$O$34+AG39*Population!$O$35+AH39*Population!$O$36+AI39*Population!$O$37+AJ39*Population!$O$38+AK39*Population!$O$39+AL39*Population!$O$40+AM39*Population!$O$41+AN39*Population!$O$42+AO39*Population!$O$43+AP39*Population!$O$44+AQ39*Population!$O$45+AR39*Population!$O$46</f>
        <v>11.542935769375251</v>
      </c>
      <c r="L39" s="12">
        <f t="shared" si="7"/>
        <v>5.8239795681747593E-2</v>
      </c>
      <c r="M39" s="12">
        <f t="shared" si="24"/>
        <v>20.972166863097804</v>
      </c>
      <c r="N39" s="12">
        <f t="shared" si="19"/>
        <v>0.37060203283815479</v>
      </c>
      <c r="O39" s="12">
        <f t="shared" si="9"/>
        <v>587.9270847068791</v>
      </c>
      <c r="P39" s="12">
        <f t="shared" si="10"/>
        <v>395</v>
      </c>
      <c r="Q39" s="12">
        <f t="shared" si="11"/>
        <v>116.03645764656045</v>
      </c>
      <c r="R39" s="12">
        <f t="shared" si="12"/>
        <v>68.897043586238951</v>
      </c>
      <c r="S39" s="12">
        <f t="shared" si="25"/>
        <v>2.9112517721771727E-2</v>
      </c>
      <c r="T39" s="12">
        <f t="shared" si="20"/>
        <v>0.83502689157934717</v>
      </c>
      <c r="U39" s="12">
        <f>Population!$B$13*MIN(Y38:Z38)</f>
        <v>25.476867471972909</v>
      </c>
      <c r="V39" s="12">
        <f>X38*Population!$B$14</f>
        <v>2.9854870066606658</v>
      </c>
      <c r="W39" s="12">
        <f>AN38*T38*Population!$B$12</f>
        <v>9.0360905955292967</v>
      </c>
      <c r="X39" s="12">
        <f t="shared" si="17"/>
        <v>511.03645764656045</v>
      </c>
      <c r="Y39" s="14">
        <f t="shared" si="26"/>
        <v>101.76292140329889</v>
      </c>
      <c r="Z39" s="13">
        <f t="shared" si="27"/>
        <v>101.76292140329889</v>
      </c>
      <c r="AA39" s="18">
        <f>(G39+Population!$B$11*AA38)*Population!M$29</f>
        <v>278.78471742301764</v>
      </c>
      <c r="AB39" s="18">
        <f>AA38*Population!$B$12*Population!$M$29+AB38*Population!$B$11*Population!$M$30</f>
        <v>321.47384264804066</v>
      </c>
      <c r="AC39" s="14">
        <f>(AB38*Population!$B$12*0.5*Population!$M$30)+(AC38*Population!$B$11*Population!M$31)</f>
        <v>174.33534553423206</v>
      </c>
      <c r="AD39" s="13">
        <f>(AB38*Population!$B$12*0.5*Population!$M$30)+(AD38*Population!$B$11*Population!M$31)</f>
        <v>174.33534553423206</v>
      </c>
      <c r="AE39" s="14">
        <f>(AC38*Population!$B$12*Population!M$31)+(AE38*Population!$B$11*Population!M$33)</f>
        <v>171.17689715436683</v>
      </c>
      <c r="AF39" s="13">
        <f>(AD38*Population!$B$12*Population!M$31)+(AF38*Population!$B$11*Population!M$33)</f>
        <v>171.17689715436683</v>
      </c>
      <c r="AG39" s="14">
        <f>(AE38*Population!$B$12*Population!M$33)+(AG38*Population!$B$11*Population!M$35)</f>
        <v>149.50038324049564</v>
      </c>
      <c r="AH39" s="13">
        <f>(AF38*Population!$B$12*Population!M$33)+(AH38*Population!$B$11*Population!M$35)</f>
        <v>149.50038324049564</v>
      </c>
      <c r="AI39" s="14">
        <f>(AG38*Population!$B$12*Population!M$35)+(AI38*Population!$B$11*Population!M$37)</f>
        <v>119.73822373019139</v>
      </c>
      <c r="AJ39" s="13">
        <f>(AH38*Population!$B$12*Population!M$35)+(AJ38*Population!$B$11*Population!M$37)</f>
        <v>119.73822373019139</v>
      </c>
      <c r="AK39" s="14">
        <f>(AI38*Population!$B$12*Population!M$37)+(AK38*Population!$B$11*Population!M$39)</f>
        <v>94.27596902736353</v>
      </c>
      <c r="AL39" s="13">
        <f>(AJ38*Population!$B$12*Population!M$37)+(AL38*Population!$B$11*Population!M$39)</f>
        <v>94.27596902736353</v>
      </c>
      <c r="AM39" s="14">
        <f>(AK38*Population!$B$12*Population!M$39)+(AM38*Population!$B$11*Population!M$41)</f>
        <v>78.107905897441938</v>
      </c>
      <c r="AN39" s="13">
        <f>(AL38*Population!$B$12*Population!M$39)+(AN38*Population!$B$11*Population!M$41)</f>
        <v>78.107905897441938</v>
      </c>
      <c r="AO39" s="15">
        <f>(AM38+AN38)*Population!$B$12*Population!$M$41+AO38*Population!$B$11*Population!$M$43</f>
        <v>131.77365675488244</v>
      </c>
      <c r="AP39" s="5">
        <f>AO38*Population!M$43*Population!$B$12+AP38*Population!$B$11*Population!M$44</f>
        <v>108.20890996755774</v>
      </c>
      <c r="AQ39" s="5">
        <f>AP38*Population!M$44*Population!$B$12+AQ38*Population!$B$11*Population!M$45</f>
        <v>69.298336550621954</v>
      </c>
      <c r="AR39" s="5">
        <f>(AQ38*Population!$B$12+AR38)*Population!M$46</f>
        <v>74.469820332292073</v>
      </c>
    </row>
    <row r="40" spans="1:44">
      <c r="A40">
        <f>A39+Population!$B$2</f>
        <v>37</v>
      </c>
      <c r="B40" s="4">
        <f t="shared" si="4"/>
        <v>2582</v>
      </c>
      <c r="C40" s="54">
        <f t="shared" si="21"/>
        <v>1215</v>
      </c>
      <c r="D40" s="12">
        <f>AD39*Population!$P$32*Population!$C$2+AF39*Population!$P$34*Population!$C$2+AH39*Population!$P$36*Population!$C$2+AJ39*Population!$P$38*Population!$C$2+AL39*Population!$P$40*Population!$C$2+AN38*Population!$P$42*Population!$C$2</f>
        <v>45.790797185093432</v>
      </c>
      <c r="E40" s="12">
        <f>IF(B39&gt;Population!$B$6*Population!$B$15,Population!$B$8,IF(Population!$J$6=1,D40,Population!$B$8*Population!$B$6*0.9/B39))</f>
        <v>35.642754957229528</v>
      </c>
      <c r="F40" s="12">
        <f>IF(B39&gt;Population!$B$6*0.75,Population!$B$8,E40)</f>
        <v>35.642754957229528</v>
      </c>
      <c r="G40" s="15">
        <f>IF(Population!$J$6=1,IF(E40&gt;H39,H39,E40),IF(E40&gt;X39,X39,E40))</f>
        <v>35.642754957229528</v>
      </c>
      <c r="H40" s="15">
        <f t="shared" si="22"/>
        <v>625</v>
      </c>
      <c r="I40" s="15">
        <f t="shared" si="23"/>
        <v>934</v>
      </c>
      <c r="J40" s="12">
        <f t="shared" si="18"/>
        <v>1.4944</v>
      </c>
      <c r="K40" s="12">
        <f>AA40*Population!$O$29+AB40*Population!$O$30+AC40*Population!$O$31+AD40*Population!$O$32+AE40*Population!$O$33+AF40*Population!$O$34+AG40*Population!$O$35+AH40*Population!$O$36+AI40*Population!$O$37+AJ40*Population!$O$38+AK40*Population!$O$39+AL40*Population!$O$40+AM40*Population!$O$41+AN40*Population!$O$42+AO40*Population!$O$43+AP40*Population!$O$44+AQ40*Population!$O$45+AR40*Population!$O$46</f>
        <v>12.03012953904614</v>
      </c>
      <c r="L40" s="12">
        <f t="shared" si="7"/>
        <v>5.7028407931567243E-2</v>
      </c>
      <c r="M40" s="12">
        <f t="shared" si="24"/>
        <v>21.311625296095805</v>
      </c>
      <c r="N40" s="12">
        <f t="shared" si="19"/>
        <v>0.36173508907823393</v>
      </c>
      <c r="O40" s="12">
        <f t="shared" si="9"/>
        <v>599.81297631679217</v>
      </c>
      <c r="P40" s="12">
        <f t="shared" si="10"/>
        <v>390</v>
      </c>
      <c r="Q40" s="12">
        <f t="shared" si="11"/>
        <v>134.09351184160391</v>
      </c>
      <c r="R40" s="12">
        <f t="shared" si="12"/>
        <v>74.469820332292073</v>
      </c>
      <c r="S40" s="12">
        <f t="shared" si="25"/>
        <v>3.1025263895751762E-2</v>
      </c>
      <c r="T40" s="12">
        <f t="shared" si="20"/>
        <v>0.83854961894656621</v>
      </c>
      <c r="U40" s="12">
        <f>Population!$B$13*MIN(Y39:Z39)</f>
        <v>25.440730350824722</v>
      </c>
      <c r="V40" s="12">
        <f>X39*Population!$B$14</f>
        <v>3.0662187458793628</v>
      </c>
      <c r="W40" s="12">
        <f>AN39*T39*Population!$B$12</f>
        <v>9.3174574099018699</v>
      </c>
      <c r="X40" s="12">
        <f t="shared" si="17"/>
        <v>524.09351184160391</v>
      </c>
      <c r="Y40" s="14">
        <f t="shared" si="26"/>
        <v>101.43928692171653</v>
      </c>
      <c r="Z40" s="13">
        <f t="shared" si="27"/>
        <v>101.43928692171653</v>
      </c>
      <c r="AA40" s="18">
        <f>(G40+Population!$B$11*AA39)*Population!M$29</f>
        <v>274.48959613678306</v>
      </c>
      <c r="AB40" s="18">
        <f>AA39*Population!$B$12*Population!$M$29+AB39*Population!$B$11*Population!$M$30</f>
        <v>315.29722814691615</v>
      </c>
      <c r="AC40" s="14">
        <f>(AB39*Population!$B$12*0.5*Population!$M$30)+(AC39*Population!$B$11*Population!M$31)</f>
        <v>172.24513988805003</v>
      </c>
      <c r="AD40" s="13">
        <f>(AB39*Population!$B$12*0.5*Population!$M$30)+(AD39*Population!$B$11*Population!M$31)</f>
        <v>172.24513988805003</v>
      </c>
      <c r="AE40" s="14">
        <f>(AC39*Population!$B$12*Population!M$31)+(AE39*Population!$B$11*Population!M$33)</f>
        <v>171.46454248260147</v>
      </c>
      <c r="AF40" s="13">
        <f>(AD39*Population!$B$12*Population!M$31)+(AF39*Population!$B$11*Population!M$33)</f>
        <v>171.46454248260147</v>
      </c>
      <c r="AG40" s="14">
        <f>(AE39*Population!$B$12*Population!M$33)+(AG39*Population!$B$11*Population!M$35)</f>
        <v>152.32768865706029</v>
      </c>
      <c r="AH40" s="13">
        <f>(AF39*Population!$B$12*Population!M$33)+(AH39*Population!$B$11*Population!M$35)</f>
        <v>152.32768865706029</v>
      </c>
      <c r="AI40" s="14">
        <f>(AG39*Population!$B$12*Population!M$35)+(AI39*Population!$B$11*Population!M$37)</f>
        <v>123.75190007835006</v>
      </c>
      <c r="AJ40" s="13">
        <f>(AH39*Population!$B$12*Population!M$35)+(AJ39*Population!$B$11*Population!M$37)</f>
        <v>123.75190007835006</v>
      </c>
      <c r="AK40" s="14">
        <f>(AI39*Population!$B$12*Population!M$37)+(AK39*Population!$B$11*Population!M$39)</f>
        <v>97.725440191659345</v>
      </c>
      <c r="AL40" s="13">
        <f>(AJ39*Population!$B$12*Population!M$37)+(AL39*Population!$B$11*Population!M$39)</f>
        <v>97.725440191659345</v>
      </c>
      <c r="AM40" s="14">
        <f>(AK39*Population!$B$12*Population!M$39)+(AM39*Population!$B$11*Population!M$41)</f>
        <v>80.263227353649157</v>
      </c>
      <c r="AN40" s="13">
        <f>(AL39*Population!$B$12*Population!M$39)+(AN39*Population!$B$11*Population!M$41)</f>
        <v>80.263227353649157</v>
      </c>
      <c r="AO40" s="15">
        <f>(AM39+AN39)*Population!$B$12*Population!$M$41+AO39*Population!$B$11*Population!$M$43</f>
        <v>134.40366627095642</v>
      </c>
      <c r="AP40" s="5">
        <f>AO39*Population!M$43*Population!$B$12+AP39*Population!$B$11*Population!M$44</f>
        <v>110.76638142359532</v>
      </c>
      <c r="AQ40" s="5">
        <f>AP39*Population!M$44*Population!$B$12+AQ39*Population!$B$11*Population!M$45</f>
        <v>71.744100414114314</v>
      </c>
      <c r="AR40" s="5">
        <f>(AQ39*Population!$B$12+AR39)*Population!M$46</f>
        <v>80.107231378831045</v>
      </c>
    </row>
    <row r="41" spans="1:44">
      <c r="A41">
        <f>A40+Population!$B$2</f>
        <v>38</v>
      </c>
      <c r="B41" s="4">
        <f t="shared" si="4"/>
        <v>2605</v>
      </c>
      <c r="C41" s="54">
        <f t="shared" si="21"/>
        <v>1238</v>
      </c>
      <c r="D41" s="12">
        <f>AD40*Population!$P$32*Population!$C$2+AF40*Population!$P$34*Population!$C$2+AH40*Population!$P$36*Population!$C$2+AJ40*Population!$P$38*Population!$C$2+AL40*Population!$P$40*Population!$C$2+AN39*Population!$P$42*Population!$C$2</f>
        <v>46.549992262425576</v>
      </c>
      <c r="E41" s="12">
        <f>IF(B40&gt;Population!$B$6*Population!$B$15,Population!$B$8,IF(Population!$J$6=1,D41,Population!$B$8*Population!$B$6*0.9/B40))</f>
        <v>35.642754957229528</v>
      </c>
      <c r="F41" s="12">
        <f>IF(B40&gt;Population!$B$6*0.75,Population!$B$8,E41)</f>
        <v>35.642754957229528</v>
      </c>
      <c r="G41" s="15">
        <f>IF(Population!$J$6=1,IF(E41&gt;H40,H40,E41),IF(E41&gt;X40,X40,E41))</f>
        <v>35.642754957229528</v>
      </c>
      <c r="H41" s="15">
        <f t="shared" si="22"/>
        <v>637</v>
      </c>
      <c r="I41" s="15">
        <f t="shared" si="23"/>
        <v>920</v>
      </c>
      <c r="J41" s="12">
        <f t="shared" si="18"/>
        <v>1.444270015698587</v>
      </c>
      <c r="K41" s="12">
        <f>AA41*Population!$O$29+AB41*Population!$O$30+AC41*Population!$O$31+AD41*Population!$O$32+AE41*Population!$O$33+AF41*Population!$O$34+AG41*Population!$O$35+AH41*Population!$O$36+AI41*Population!$O$37+AJ41*Population!$O$38+AK41*Population!$O$39+AL41*Population!$O$40+AM41*Population!$O$41+AN41*Population!$O$42+AO41*Population!$O$43+AP41*Population!$O$44+AQ41*Population!$O$45+AR41*Population!$O$46</f>
        <v>12.514851073917322</v>
      </c>
      <c r="L41" s="12">
        <f t="shared" si="7"/>
        <v>5.5954089414803024E-2</v>
      </c>
      <c r="M41" s="12">
        <f t="shared" si="24"/>
        <v>21.608988181837514</v>
      </c>
      <c r="N41" s="12">
        <f t="shared" si="19"/>
        <v>0.3531669865642994</v>
      </c>
      <c r="O41" s="12">
        <f t="shared" si="9"/>
        <v>611.6123689159831</v>
      </c>
      <c r="P41" s="12">
        <f t="shared" si="10"/>
        <v>384</v>
      </c>
      <c r="Q41" s="12">
        <f t="shared" si="11"/>
        <v>152.69381554200845</v>
      </c>
      <c r="R41" s="12">
        <f t="shared" si="12"/>
        <v>80.107231378831045</v>
      </c>
      <c r="S41" s="12">
        <f t="shared" si="25"/>
        <v>3.2933429493183487E-2</v>
      </c>
      <c r="T41" s="12">
        <f t="shared" si="20"/>
        <v>0.84253346238933824</v>
      </c>
      <c r="U41" s="12">
        <f>Population!$B$13*MIN(Y40:Z40)</f>
        <v>25.359821730429132</v>
      </c>
      <c r="V41" s="12">
        <f>X40*Population!$B$14</f>
        <v>3.1445610710496235</v>
      </c>
      <c r="W41" s="12">
        <f>AN40*T40*Population!$B$12</f>
        <v>9.6149569589748722</v>
      </c>
      <c r="X41" s="12">
        <f t="shared" si="17"/>
        <v>536.69381554200845</v>
      </c>
      <c r="Y41" s="14">
        <f t="shared" si="26"/>
        <v>100.94260479063939</v>
      </c>
      <c r="Z41" s="13">
        <f t="shared" si="27"/>
        <v>100.94260479063939</v>
      </c>
      <c r="AA41" s="18">
        <f>(G41+Population!$B$11*AA40)*Population!M$29</f>
        <v>270.80955830793249</v>
      </c>
      <c r="AB41" s="18">
        <f>AA40*Population!$B$12*Population!$M$29+AB40*Population!$B$11*Population!$M$30</f>
        <v>309.39083871203576</v>
      </c>
      <c r="AC41" s="14">
        <f>(AB40*Population!$B$12*0.5*Population!$M$30)+(AC40*Population!$B$11*Population!M$31)</f>
        <v>170.01415496481599</v>
      </c>
      <c r="AD41" s="13">
        <f>(AB40*Population!$B$12*0.5*Population!$M$30)+(AD40*Population!$B$11*Population!M$31)</f>
        <v>170.01415496481599</v>
      </c>
      <c r="AE41" s="14">
        <f>(AC40*Population!$B$12*Population!M$31)+(AE40*Population!$B$11*Population!M$33)</f>
        <v>171.4125444159186</v>
      </c>
      <c r="AF41" s="13">
        <f>(AD40*Population!$B$12*Population!M$31)+(AF40*Population!$B$11*Population!M$33)</f>
        <v>171.4125444159186</v>
      </c>
      <c r="AG41" s="14">
        <f>(AE40*Population!$B$12*Population!M$33)+(AG40*Population!$B$11*Population!M$35)</f>
        <v>154.78749339180683</v>
      </c>
      <c r="AH41" s="13">
        <f>(AF40*Population!$B$12*Population!M$33)+(AH40*Population!$B$11*Population!M$35)</f>
        <v>154.78749339180683</v>
      </c>
      <c r="AI41" s="14">
        <f>(AG40*Population!$B$12*Population!M$35)+(AI40*Population!$B$11*Population!M$37)</f>
        <v>127.58871401086236</v>
      </c>
      <c r="AJ41" s="13">
        <f>(AH40*Population!$B$12*Population!M$35)+(AJ40*Population!$B$11*Population!M$37)</f>
        <v>127.58871401086236</v>
      </c>
      <c r="AK41" s="14">
        <f>(AI40*Population!$B$12*Population!M$37)+(AK40*Population!$B$11*Population!M$39)</f>
        <v>101.2487343584497</v>
      </c>
      <c r="AL41" s="13">
        <f>(AJ40*Population!$B$12*Population!M$37)+(AL40*Population!$B$11*Population!M$39)</f>
        <v>101.2487343584497</v>
      </c>
      <c r="AM41" s="14">
        <f>(AK40*Population!$B$12*Population!M$39)+(AM40*Population!$B$11*Population!M$41)</f>
        <v>82.598934155610308</v>
      </c>
      <c r="AN41" s="13">
        <f>(AL40*Population!$B$12*Population!M$39)+(AN40*Population!$B$11*Population!M$41)</f>
        <v>82.598934155610308</v>
      </c>
      <c r="AO41" s="15">
        <f>(AM40+AN40)*Population!$B$12*Population!$M$41+AO40*Population!$B$11*Population!$M$43</f>
        <v>137.25624029388746</v>
      </c>
      <c r="AP41" s="5">
        <f>AO40*Population!M$43*Population!$B$12+AP40*Population!$B$11*Population!M$44</f>
        <v>113.31559866287679</v>
      </c>
      <c r="AQ41" s="5">
        <f>AP40*Population!M$44*Population!$B$12+AQ40*Population!$B$11*Population!M$45</f>
        <v>74.097265132204825</v>
      </c>
      <c r="AR41" s="5">
        <f>(AQ40*Population!$B$12+AR40)*Population!M$46</f>
        <v>85.791583829742976</v>
      </c>
    </row>
    <row r="42" spans="1:44">
      <c r="A42">
        <f>A41+Population!$B$2</f>
        <v>39</v>
      </c>
      <c r="B42" s="4">
        <f t="shared" si="4"/>
        <v>2629</v>
      </c>
      <c r="C42" s="54">
        <f t="shared" si="21"/>
        <v>1263</v>
      </c>
      <c r="D42" s="12">
        <f>AD41*Population!$P$32*Population!$C$2+AF41*Population!$P$34*Population!$C$2+AH41*Population!$P$36*Population!$C$2+AJ41*Population!$P$38*Population!$C$2+AL41*Population!$P$40*Population!$C$2+AN40*Population!$P$42*Population!$C$2</f>
        <v>47.237426909264386</v>
      </c>
      <c r="E42" s="12">
        <f>IF(B41&gt;Population!$B$6*Population!$B$15,Population!$B$8,IF(Population!$J$6=1,D42,Population!$B$8*Population!$B$6*0.9/B41))</f>
        <v>35.642754957229528</v>
      </c>
      <c r="F42" s="12">
        <f>IF(B41&gt;Population!$B$6*0.75,Population!$B$8,E42)</f>
        <v>35.642754957229528</v>
      </c>
      <c r="G42" s="15">
        <f>IF(Population!$J$6=1,IF(E42&gt;H41,H41,E42),IF(E42&gt;X41,X41,E42))</f>
        <v>35.642754957229528</v>
      </c>
      <c r="H42" s="15">
        <f t="shared" si="22"/>
        <v>649</v>
      </c>
      <c r="I42" s="15">
        <f t="shared" si="23"/>
        <v>906</v>
      </c>
      <c r="J42" s="12">
        <f t="shared" si="18"/>
        <v>1.3959938366718028</v>
      </c>
      <c r="K42" s="12">
        <f>AA42*Population!$O$29+AB42*Population!$O$30+AC42*Population!$O$31+AD42*Population!$O$32+AE42*Population!$O$33+AF42*Population!$O$34+AG42*Population!$O$35+AH42*Population!$O$36+AI42*Population!$O$37+AJ42*Population!$O$38+AK42*Population!$O$39+AL42*Population!$O$40+AM42*Population!$O$41+AN42*Population!$O$42+AO42*Population!$O$43+AP42*Population!$O$44+AQ42*Population!$O$45+AR42*Population!$O$46</f>
        <v>12.997350507839085</v>
      </c>
      <c r="L42" s="12">
        <f t="shared" si="7"/>
        <v>5.4919499163681863E-2</v>
      </c>
      <c r="M42" s="12">
        <f t="shared" si="24"/>
        <v>21.864564770163248</v>
      </c>
      <c r="N42" s="12">
        <f t="shared" si="19"/>
        <v>0.34461772537086344</v>
      </c>
      <c r="O42" s="12">
        <f t="shared" si="9"/>
        <v>625.46492544539456</v>
      </c>
      <c r="P42" s="12">
        <f t="shared" si="10"/>
        <v>378</v>
      </c>
      <c r="Q42" s="12">
        <f t="shared" si="11"/>
        <v>170.76753727730272</v>
      </c>
      <c r="R42" s="12">
        <f t="shared" si="12"/>
        <v>85.791583829742976</v>
      </c>
      <c r="S42" s="12">
        <f t="shared" si="25"/>
        <v>3.4807130489614535E-2</v>
      </c>
      <c r="T42" s="12">
        <f t="shared" si="20"/>
        <v>0.84555860905593638</v>
      </c>
      <c r="U42" s="12">
        <f>Population!$B$13*MIN(Y41:Z41)</f>
        <v>25.235651197659848</v>
      </c>
      <c r="V42" s="12">
        <f>X41*Population!$B$14</f>
        <v>3.2201628932520507</v>
      </c>
      <c r="W42" s="12">
        <f>AN41*T41*Population!$B$12</f>
        <v>9.9417665691136161</v>
      </c>
      <c r="X42" s="12">
        <f t="shared" si="17"/>
        <v>548.76753727730272</v>
      </c>
      <c r="Y42" s="14">
        <f t="shared" si="26"/>
        <v>100.29777524062843</v>
      </c>
      <c r="Z42" s="13">
        <f t="shared" si="27"/>
        <v>100.29777524062843</v>
      </c>
      <c r="AA42" s="18">
        <f>(G42+Population!$B$11*AA41)*Population!M$29</f>
        <v>267.6565208220822</v>
      </c>
      <c r="AB42" s="18">
        <f>AA41*Population!$B$12*Population!$M$29+AB41*Population!$B$11*Population!$M$30</f>
        <v>303.80385203817326</v>
      </c>
      <c r="AC42" s="14">
        <f>(AB41*Population!$B$12*0.5*Population!$M$30)+(AC41*Population!$B$11*Population!M$31)</f>
        <v>167.68191453392427</v>
      </c>
      <c r="AD42" s="13">
        <f>(AB41*Population!$B$12*0.5*Population!$M$30)+(AD41*Population!$B$11*Population!M$31)</f>
        <v>167.68191453392427</v>
      </c>
      <c r="AE42" s="14">
        <f>(AC41*Population!$B$12*Population!M$31)+(AE41*Population!$B$11*Population!M$33)</f>
        <v>171.04960872023943</v>
      </c>
      <c r="AF42" s="13">
        <f>(AD41*Population!$B$12*Population!M$31)+(AF41*Population!$B$11*Population!M$33)</f>
        <v>171.04960872023943</v>
      </c>
      <c r="AG42" s="14">
        <f>(AE41*Population!$B$12*Population!M$33)+(AG41*Population!$B$11*Population!M$35)</f>
        <v>156.88442809829394</v>
      </c>
      <c r="AH42" s="13">
        <f>(AF41*Population!$B$12*Population!M$33)+(AH41*Population!$B$11*Population!M$35)</f>
        <v>156.88442809829394</v>
      </c>
      <c r="AI42" s="14">
        <f>(AG41*Population!$B$12*Population!M$35)+(AI41*Population!$B$11*Population!M$37)</f>
        <v>131.22182335489481</v>
      </c>
      <c r="AJ42" s="13">
        <f>(AH41*Population!$B$12*Population!M$35)+(AJ41*Population!$B$11*Population!M$37)</f>
        <v>131.22182335489481</v>
      </c>
      <c r="AK42" s="14">
        <f>(AI41*Population!$B$12*Population!M$37)+(AK41*Population!$B$11*Population!M$39)</f>
        <v>104.80996634440719</v>
      </c>
      <c r="AL42" s="13">
        <f>(AJ41*Population!$B$12*Population!M$37)+(AL41*Population!$B$11*Population!M$39)</f>
        <v>104.80996634440719</v>
      </c>
      <c r="AM42" s="14">
        <f>(AK41*Population!$B$12*Population!M$39)+(AM41*Population!$B$11*Population!M$41)</f>
        <v>85.099486000095823</v>
      </c>
      <c r="AN42" s="13">
        <f>(AL41*Population!$B$12*Population!M$39)+(AN41*Population!$B$11*Population!M$41)</f>
        <v>85.099486000095823</v>
      </c>
      <c r="AO42" s="15">
        <f>(AM41+AN41)*Population!$B$12*Population!$M$41+AO41*Population!$B$11*Population!$M$43</f>
        <v>140.34964053065767</v>
      </c>
      <c r="AP42" s="5">
        <f>AO41*Population!M$43*Population!$B$12+AP41*Population!$B$11*Population!M$44</f>
        <v>115.88935656959748</v>
      </c>
      <c r="AQ42" s="5">
        <f>AP41*Population!M$44*Population!$B$12+AQ41*Population!$B$11*Population!M$45</f>
        <v>76.373898336989427</v>
      </c>
      <c r="AR42" s="5">
        <f>(AQ41*Population!$B$12+AR41)*Population!M$46</f>
        <v>91.507946057196619</v>
      </c>
    </row>
    <row r="43" spans="1:44">
      <c r="A43">
        <f>A42+Population!$B$2</f>
        <v>40</v>
      </c>
      <c r="B43" s="4">
        <f t="shared" si="4"/>
        <v>2651</v>
      </c>
      <c r="C43" s="54">
        <f t="shared" si="21"/>
        <v>1283</v>
      </c>
      <c r="D43" s="12">
        <f>AD42*Population!$P$32*Population!$C$2+AF42*Population!$P$34*Population!$C$2+AH42*Population!$P$36*Population!$C$2+AJ42*Population!$P$38*Population!$C$2+AL42*Population!$P$40*Population!$C$2+AN41*Population!$P$42*Population!$C$2</f>
        <v>47.85275678416928</v>
      </c>
      <c r="E43" s="12">
        <f>IF(B42&gt;Population!$B$6*Population!$B$15,Population!$B$8,IF(Population!$J$6=1,D43,Population!$B$8*Population!$B$6*0.9/B42))</f>
        <v>35.642754957229528</v>
      </c>
      <c r="F43" s="12">
        <f>IF(B42&gt;Population!$B$6*0.75,Population!$B$8,E43)</f>
        <v>35.642754957229528</v>
      </c>
      <c r="G43" s="15">
        <f>IF(Population!$J$6=1,IF(E43&gt;H42,H42,E43),IF(E43&gt;X42,X42,E43))</f>
        <v>35.642754957229528</v>
      </c>
      <c r="H43" s="15">
        <f t="shared" si="22"/>
        <v>659</v>
      </c>
      <c r="I43" s="15">
        <f t="shared" si="23"/>
        <v>894</v>
      </c>
      <c r="J43" s="12">
        <f t="shared" si="18"/>
        <v>1.3566009104704098</v>
      </c>
      <c r="K43" s="12">
        <f>AA43*Population!$O$29+AB43*Population!$O$30+AC43*Population!$O$31+AD43*Population!$O$32+AE43*Population!$O$33+AF43*Population!$O$34+AG43*Population!$O$35+AH43*Population!$O$36+AI43*Population!$O$37+AJ43*Population!$O$38+AK43*Population!$O$39+AL43*Population!$O$40+AM43*Population!$O$41+AN43*Population!$O$42+AO43*Population!$O$43+AP43*Population!$O$44+AQ43*Population!$O$45+AR43*Population!$O$46</f>
        <v>13.478065765330086</v>
      </c>
      <c r="L43" s="12">
        <f t="shared" si="7"/>
        <v>5.408612284860323E-2</v>
      </c>
      <c r="M43" s="12">
        <f t="shared" si="24"/>
        <v>22.079115901156559</v>
      </c>
      <c r="N43" s="12">
        <f t="shared" si="19"/>
        <v>0.33723123349679368</v>
      </c>
      <c r="O43" s="12">
        <f t="shared" si="9"/>
        <v>636.4602777048699</v>
      </c>
      <c r="P43" s="12">
        <f t="shared" si="10"/>
        <v>373</v>
      </c>
      <c r="Q43" s="12">
        <f t="shared" si="11"/>
        <v>187.26986114756505</v>
      </c>
      <c r="R43" s="12">
        <f t="shared" si="12"/>
        <v>91.507946057196619</v>
      </c>
      <c r="S43" s="12">
        <f t="shared" si="25"/>
        <v>3.6682127571790381E-2</v>
      </c>
      <c r="T43" s="12">
        <f t="shared" si="20"/>
        <v>0.85018188338022016</v>
      </c>
      <c r="U43" s="12">
        <f>Population!$B$13*MIN(Y42:Z42)</f>
        <v>25.074443810157106</v>
      </c>
      <c r="V43" s="12">
        <f>X42*Population!$B$14</f>
        <v>3.2926052236638164</v>
      </c>
      <c r="W43" s="12">
        <f>AN42*T42*Population!$B$12</f>
        <v>10.27951471623088</v>
      </c>
      <c r="X43" s="12">
        <f t="shared" si="17"/>
        <v>560.26986114756505</v>
      </c>
      <c r="Y43" s="14">
        <f t="shared" si="26"/>
        <v>99.51265361087826</v>
      </c>
      <c r="Z43" s="13">
        <f t="shared" si="27"/>
        <v>99.51265361087826</v>
      </c>
      <c r="AA43" s="18">
        <f>(G43+Population!$B$11*AA42)*Population!M$29</f>
        <v>264.95501451982699</v>
      </c>
      <c r="AB43" s="18">
        <f>AA42*Population!$B$12*Population!$M$29+AB42*Population!$B$11*Population!$M$30</f>
        <v>298.56583275763091</v>
      </c>
      <c r="AC43" s="14">
        <f>(AB42*Population!$B$12*0.5*Population!$M$30)+(AC42*Population!$B$11*Population!M$31)</f>
        <v>165.28577572885328</v>
      </c>
      <c r="AD43" s="13">
        <f>(AB42*Population!$B$12*0.5*Population!$M$30)+(AD42*Population!$B$11*Population!M$31)</f>
        <v>165.28577572885328</v>
      </c>
      <c r="AE43" s="14">
        <f>(AC42*Population!$B$12*Population!M$31)+(AE42*Population!$B$11*Population!M$33)</f>
        <v>170.40595776116399</v>
      </c>
      <c r="AF43" s="13">
        <f>(AD42*Population!$B$12*Population!M$31)+(AF42*Population!$B$11*Population!M$33)</f>
        <v>170.40595776116399</v>
      </c>
      <c r="AG43" s="14">
        <f>(AE42*Population!$B$12*Population!M$33)+(AG42*Population!$B$11*Population!M$35)</f>
        <v>158.62655120302861</v>
      </c>
      <c r="AH43" s="13">
        <f>(AF42*Population!$B$12*Population!M$33)+(AH42*Population!$B$11*Population!M$35)</f>
        <v>158.62655120302861</v>
      </c>
      <c r="AI43" s="14">
        <f>(AG42*Population!$B$12*Population!M$35)+(AI42*Population!$B$11*Population!M$37)</f>
        <v>134.62892496009511</v>
      </c>
      <c r="AJ43" s="13">
        <f>(AH42*Population!$B$12*Population!M$35)+(AJ42*Population!$B$11*Population!M$37)</f>
        <v>134.62892496009511</v>
      </c>
      <c r="AK43" s="14">
        <f>(AI42*Population!$B$12*Population!M$37)+(AK42*Population!$B$11*Population!M$39)</f>
        <v>108.37460924402986</v>
      </c>
      <c r="AL43" s="13">
        <f>(AJ42*Population!$B$12*Population!M$37)+(AL42*Population!$B$11*Population!M$39)</f>
        <v>108.37460924402986</v>
      </c>
      <c r="AM43" s="14">
        <f>(AK42*Population!$B$12*Population!M$39)+(AM42*Population!$B$11*Population!M$41)</f>
        <v>87.74647159012568</v>
      </c>
      <c r="AN43" s="13">
        <f>(AL42*Population!$B$12*Population!M$39)+(AN42*Population!$B$11*Population!M$41)</f>
        <v>87.74647159012568</v>
      </c>
      <c r="AO43" s="15">
        <f>(AM42+AN42)*Population!$B$12*Population!$M$41+AO42*Population!$B$11*Population!$M$43</f>
        <v>143.69497482783052</v>
      </c>
      <c r="AP43" s="5">
        <f>AO42*Population!M$43*Population!$B$12+AP42*Population!$B$11*Population!M$44</f>
        <v>118.51815114908825</v>
      </c>
      <c r="AQ43" s="5">
        <f>AP42*Population!M$44*Population!$B$12+AQ42*Population!$B$11*Population!M$45</f>
        <v>78.591727527499472</v>
      </c>
      <c r="AR43" s="5">
        <f>(AQ42*Population!$B$12+AR42)*Population!M$46</f>
        <v>97.244320192816303</v>
      </c>
    </row>
    <row r="44" spans="1:44">
      <c r="A44">
        <f>A43+Population!$B$2</f>
        <v>41</v>
      </c>
      <c r="B44" s="4">
        <f t="shared" si="4"/>
        <v>2673</v>
      </c>
      <c r="C44" s="54">
        <f t="shared" si="21"/>
        <v>1303</v>
      </c>
      <c r="D44" s="12">
        <f>AD43*Population!$P$32*Population!$C$2+AF43*Population!$P$34*Population!$C$2+AH43*Population!$P$36*Population!$C$2+AJ43*Population!$P$38*Population!$C$2+AL43*Population!$P$40*Population!$C$2+AN42*Population!$P$42*Population!$C$2</f>
        <v>48.396384256163202</v>
      </c>
      <c r="E44" s="12">
        <f>IF(B43&gt;Population!$B$6*Population!$B$15,Population!$B$8,IF(Population!$J$6=1,D44,Population!$B$8*Population!$B$6*0.9/B43))</f>
        <v>35.642754957229528</v>
      </c>
      <c r="F44" s="12">
        <f>IF(B43&gt;Population!$B$6*0.75,Population!$B$8,E44)</f>
        <v>35.642754957229528</v>
      </c>
      <c r="G44" s="15">
        <f>IF(Population!$J$6=1,IF(E44&gt;H43,H43,E44),IF(E44&gt;X43,X43,E44))</f>
        <v>35.642754957229528</v>
      </c>
      <c r="H44" s="15">
        <f t="shared" si="22"/>
        <v>669</v>
      </c>
      <c r="I44" s="15">
        <f t="shared" si="23"/>
        <v>882</v>
      </c>
      <c r="J44" s="12">
        <f t="shared" si="18"/>
        <v>1.3183856502242153</v>
      </c>
      <c r="K44" s="12">
        <f>AA44*Population!$O$29+AB44*Population!$O$30+AC44*Population!$O$31+AD44*Population!$O$32+AE44*Population!$O$33+AF44*Population!$O$34+AG44*Population!$O$35+AH44*Population!$O$36+AI44*Population!$O$37+AJ44*Population!$O$38+AK44*Population!$O$39+AL44*Population!$O$40+AM44*Population!$O$41+AN44*Population!$O$42+AO44*Population!$O$43+AP44*Population!$O$44+AQ44*Population!$O$45+AR44*Population!$O$46</f>
        <v>13.957590869008296</v>
      </c>
      <c r="L44" s="12">
        <f t="shared" si="7"/>
        <v>5.3277660623661474E-2</v>
      </c>
      <c r="M44" s="12">
        <f t="shared" si="24"/>
        <v>22.253807664534481</v>
      </c>
      <c r="N44" s="12">
        <f t="shared" si="19"/>
        <v>0.32996632996632996</v>
      </c>
      <c r="O44" s="12">
        <f t="shared" si="9"/>
        <v>648.74160651219063</v>
      </c>
      <c r="P44" s="12">
        <f t="shared" si="10"/>
        <v>368</v>
      </c>
      <c r="Q44" s="12">
        <f t="shared" si="11"/>
        <v>203.12919674390469</v>
      </c>
      <c r="R44" s="12">
        <f t="shared" si="12"/>
        <v>97.244320192816303</v>
      </c>
      <c r="S44" s="12">
        <f t="shared" si="25"/>
        <v>3.8530384982605782E-2</v>
      </c>
      <c r="T44" s="12">
        <f t="shared" si="20"/>
        <v>0.85370582472930445</v>
      </c>
      <c r="U44" s="12">
        <f>Population!$B$13*MIN(Y43:Z43)</f>
        <v>24.878163402719565</v>
      </c>
      <c r="V44" s="12">
        <f>X43*Population!$B$14</f>
        <v>3.3616191668853905</v>
      </c>
      <c r="W44" s="12">
        <f>AN43*T43*Population!$B$12</f>
        <v>10.657208639494575</v>
      </c>
      <c r="X44" s="12">
        <f t="shared" si="17"/>
        <v>571.12919674390469</v>
      </c>
      <c r="Y44" s="14">
        <f t="shared" si="26"/>
        <v>98.629926721630341</v>
      </c>
      <c r="Z44" s="13">
        <f t="shared" si="27"/>
        <v>98.629926721630341</v>
      </c>
      <c r="AA44" s="18">
        <f>(G44+Population!$B$11*AA43)*Population!M$29</f>
        <v>262.64037781351567</v>
      </c>
      <c r="AB44" s="18">
        <f>AA43*Population!$B$12*Population!$M$29+AB43*Population!$B$11*Population!$M$30</f>
        <v>293.69133935078497</v>
      </c>
      <c r="AC44" s="14">
        <f>(AB43*Population!$B$12*0.5*Population!$M$30)+(AC43*Population!$B$11*Population!M$31)</f>
        <v>162.85983971859037</v>
      </c>
      <c r="AD44" s="13">
        <f>(AB43*Population!$B$12*0.5*Population!$M$30)+(AD43*Population!$B$11*Population!M$31)</f>
        <v>162.85983971859037</v>
      </c>
      <c r="AE44" s="14">
        <f>(AC43*Population!$B$12*Population!M$31)+(AE43*Population!$B$11*Population!M$33)</f>
        <v>169.51280338358418</v>
      </c>
      <c r="AF44" s="13">
        <f>(AD43*Population!$B$12*Population!M$31)+(AF43*Population!$B$11*Population!M$33)</f>
        <v>169.51280338358418</v>
      </c>
      <c r="AG44" s="14">
        <f>(AE43*Population!$B$12*Population!M$33)+(AG43*Population!$B$11*Population!M$35)</f>
        <v>160.02507003310433</v>
      </c>
      <c r="AH44" s="13">
        <f>(AF43*Population!$B$12*Population!M$33)+(AH43*Population!$B$11*Population!M$35)</f>
        <v>160.02507003310433</v>
      </c>
      <c r="AI44" s="14">
        <f>(AG43*Population!$B$12*Population!M$35)+(AI43*Population!$B$11*Population!M$37)</f>
        <v>137.79208753853561</v>
      </c>
      <c r="AJ44" s="13">
        <f>(AH43*Population!$B$12*Population!M$35)+(AJ43*Population!$B$11*Population!M$37)</f>
        <v>137.79208753853561</v>
      </c>
      <c r="AK44" s="14">
        <f>(AI43*Population!$B$12*Population!M$37)+(AK43*Population!$B$11*Population!M$39)</f>
        <v>111.9099453414085</v>
      </c>
      <c r="AL44" s="13">
        <f>(AJ43*Population!$B$12*Population!M$37)+(AL43*Population!$B$11*Population!M$39)</f>
        <v>111.9099453414085</v>
      </c>
      <c r="AM44" s="14">
        <f>(AK43*Population!$B$12*Population!M$39)+(AM43*Population!$B$11*Population!M$41)</f>
        <v>90.519217168902443</v>
      </c>
      <c r="AN44" s="13">
        <f>(AL43*Population!$B$12*Population!M$39)+(AN43*Population!$B$11*Population!M$41)</f>
        <v>90.519217168902443</v>
      </c>
      <c r="AO44" s="15">
        <f>(AM43+AN43)*Population!$B$12*Population!$M$41+AO43*Population!$B$11*Population!$M$43</f>
        <v>147.29644489875969</v>
      </c>
      <c r="AP44" s="5">
        <f>AO43*Population!M$43*Population!$B$12+AP43*Population!$B$11*Population!M$44</f>
        <v>121.22950765426756</v>
      </c>
      <c r="AQ44" s="5">
        <f>AP43*Population!M$44*Population!$B$12+AQ43*Population!$B$11*Population!M$45</f>
        <v>80.769505038588363</v>
      </c>
      <c r="AR44" s="5">
        <f>(AQ43*Population!$B$12+AR43)*Population!M$46</f>
        <v>102.99171905850525</v>
      </c>
    </row>
    <row r="45" spans="1:44">
      <c r="A45">
        <f>A44+Population!$B$2</f>
        <v>42</v>
      </c>
      <c r="B45" s="4">
        <f t="shared" si="4"/>
        <v>2695</v>
      </c>
      <c r="C45" s="54">
        <f t="shared" si="21"/>
        <v>1322</v>
      </c>
      <c r="D45" s="12">
        <f>AD44*Population!$P$32*Population!$C$2+AF44*Population!$P$34*Population!$C$2+AH44*Population!$P$36*Population!$C$2+AJ44*Population!$P$38*Population!$C$2+AL44*Population!$P$40*Population!$C$2+AN43*Population!$P$42*Population!$C$2</f>
        <v>48.869390731697294</v>
      </c>
      <c r="E45" s="12">
        <f>IF(B44&gt;Population!$B$6*Population!$B$15,Population!$B$8,IF(Population!$J$6=1,D45,Population!$B$8*Population!$B$6*0.9/B44))</f>
        <v>35.642754957229528</v>
      </c>
      <c r="F45" s="12">
        <f>IF(B44&gt;Population!$B$6*0.75,Population!$B$8,E45)</f>
        <v>35.642754957229528</v>
      </c>
      <c r="G45" s="15">
        <f>IF(Population!$J$6=1,IF(E45&gt;H44,H44,E45),IF(E45&gt;X44,X44,E45))</f>
        <v>35.642754957229528</v>
      </c>
      <c r="H45" s="15">
        <f t="shared" si="22"/>
        <v>678</v>
      </c>
      <c r="I45" s="15">
        <f t="shared" si="23"/>
        <v>870</v>
      </c>
      <c r="J45" s="12">
        <f t="shared" si="18"/>
        <v>1.2831858407079646</v>
      </c>
      <c r="K45" s="12">
        <f>AA45*Population!$O$29+AB45*Population!$O$30+AC45*Population!$O$31+AD45*Population!$O$32+AE45*Population!$O$33+AF45*Population!$O$34+AG45*Population!$O$35+AH45*Population!$O$36+AI45*Population!$O$37+AJ45*Population!$O$38+AK45*Population!$O$39+AL45*Population!$O$40+AM45*Population!$O$41+AN45*Population!$O$42+AO45*Population!$O$43+AP45*Population!$O$44+AQ45*Population!$O$45+AR45*Population!$O$46</f>
        <v>14.436642874322795</v>
      </c>
      <c r="L45" s="12">
        <f t="shared" si="7"/>
        <v>5.2570435040161546E-2</v>
      </c>
      <c r="M45" s="12">
        <f t="shared" si="24"/>
        <v>22.39015885536266</v>
      </c>
      <c r="N45" s="12">
        <f t="shared" si="19"/>
        <v>0.32282003710575141</v>
      </c>
      <c r="O45" s="12">
        <f t="shared" si="9"/>
        <v>662.35927435431063</v>
      </c>
      <c r="P45" s="12">
        <f t="shared" si="10"/>
        <v>363</v>
      </c>
      <c r="Q45" s="12">
        <f t="shared" si="11"/>
        <v>218.32036282284469</v>
      </c>
      <c r="R45" s="12">
        <f t="shared" si="12"/>
        <v>102.99171905850525</v>
      </c>
      <c r="S45" s="12">
        <f t="shared" si="25"/>
        <v>4.0350335092802857E-2</v>
      </c>
      <c r="T45" s="12">
        <f t="shared" si="20"/>
        <v>0.85740466493044942</v>
      </c>
      <c r="U45" s="12">
        <f>Population!$B$13*MIN(Y44:Z44)</f>
        <v>24.657481680407585</v>
      </c>
      <c r="V45" s="12">
        <f>X44*Population!$B$14</f>
        <v>3.4267751804634283</v>
      </c>
      <c r="W45" s="12">
        <f>AN44*T44*Population!$B$12</f>
        <v>11.039540421004125</v>
      </c>
      <c r="X45" s="12">
        <f t="shared" si="17"/>
        <v>581.32036282284469</v>
      </c>
      <c r="Y45" s="14">
        <f t="shared" si="26"/>
        <v>97.653772580708505</v>
      </c>
      <c r="Z45" s="13">
        <f t="shared" si="27"/>
        <v>97.653772580708505</v>
      </c>
      <c r="AA45" s="18">
        <f>(G45+Population!$B$11*AA44)*Population!M$29</f>
        <v>260.65720898739409</v>
      </c>
      <c r="AB45" s="18">
        <f>AA44*Population!$B$12*Population!$M$29+AB44*Population!$B$11*Population!$M$30</f>
        <v>289.18361408810136</v>
      </c>
      <c r="AC45" s="14">
        <f>(AB44*Population!$B$12*0.5*Population!$M$30)+(AC44*Population!$B$11*Population!M$31)</f>
        <v>160.43434787824955</v>
      </c>
      <c r="AD45" s="13">
        <f>(AB44*Population!$B$12*0.5*Population!$M$30)+(AD44*Population!$B$11*Population!M$31)</f>
        <v>160.43434787824955</v>
      </c>
      <c r="AE45" s="14">
        <f>(AC44*Population!$B$12*Population!M$31)+(AE44*Population!$B$11*Population!M$33)</f>
        <v>168.40174005472804</v>
      </c>
      <c r="AF45" s="13">
        <f>(AD44*Population!$B$12*Population!M$31)+(AF44*Population!$B$11*Population!M$33)</f>
        <v>168.40174005472804</v>
      </c>
      <c r="AG45" s="14">
        <f>(AE44*Population!$B$12*Population!M$33)+(AG44*Population!$B$11*Population!M$35)</f>
        <v>161.09402701054344</v>
      </c>
      <c r="AH45" s="13">
        <f>(AF44*Population!$B$12*Population!M$33)+(AH44*Population!$B$11*Population!M$35)</f>
        <v>161.09402701054344</v>
      </c>
      <c r="AI45" s="14">
        <f>(AG44*Population!$B$12*Population!M$35)+(AI44*Population!$B$11*Population!M$37)</f>
        <v>140.69756889734435</v>
      </c>
      <c r="AJ45" s="13">
        <f>(AH44*Population!$B$12*Population!M$35)+(AJ44*Population!$B$11*Population!M$37)</f>
        <v>140.69756889734435</v>
      </c>
      <c r="AK45" s="14">
        <f>(AI44*Population!$B$12*Population!M$37)+(AK44*Population!$B$11*Population!M$39)</f>
        <v>115.38542802979708</v>
      </c>
      <c r="AL45" s="13">
        <f>(AJ44*Population!$B$12*Population!M$37)+(AL44*Population!$B$11*Population!M$39)</f>
        <v>115.38542802979708</v>
      </c>
      <c r="AM45" s="14">
        <f>(AK44*Population!$B$12*Population!M$39)+(AM44*Population!$B$11*Population!M$41)</f>
        <v>93.395371411140289</v>
      </c>
      <c r="AN45" s="13">
        <f>(AL44*Population!$B$12*Population!M$39)+(AN44*Population!$B$11*Population!M$41)</f>
        <v>93.395371411140289</v>
      </c>
      <c r="AO45" s="15">
        <f>(AM44+AN44)*Population!$B$12*Population!$M$41+AO44*Population!$B$11*Population!$M$43</f>
        <v>151.15173065476264</v>
      </c>
      <c r="AP45" s="5">
        <f>AO44*Population!M$43*Population!$B$12+AP44*Population!$B$11*Population!M$44</f>
        <v>124.04744400226977</v>
      </c>
      <c r="AQ45" s="5">
        <f>AP44*Population!M$44*Population!$B$12+AQ44*Population!$B$11*Population!M$45</f>
        <v>82.926395941143909</v>
      </c>
      <c r="AR45" s="5">
        <f>(AQ44*Population!$B$12+AR44)*Population!M$46</f>
        <v>108.7441530751037</v>
      </c>
    </row>
    <row r="46" spans="1:44">
      <c r="A46">
        <f>A45+Population!$B$2</f>
        <v>43</v>
      </c>
      <c r="B46" s="4">
        <f t="shared" si="4"/>
        <v>2716</v>
      </c>
      <c r="C46" s="54">
        <f t="shared" si="21"/>
        <v>1338</v>
      </c>
      <c r="D46" s="12">
        <f>AD45*Population!$P$32*Population!$C$2+AF45*Population!$P$34*Population!$C$2+AH45*Population!$P$36*Population!$C$2+AJ45*Population!$P$38*Population!$C$2+AL45*Population!$P$40*Population!$C$2+AN44*Population!$P$42*Population!$C$2</f>
        <v>49.273460450011477</v>
      </c>
      <c r="E46" s="12">
        <f>IF(B45&gt;Population!$B$6*Population!$B$15,Population!$B$8,IF(Population!$J$6=1,D46,Population!$B$8*Population!$B$6*0.9/B45))</f>
        <v>35.642754957229528</v>
      </c>
      <c r="F46" s="12">
        <f>IF(B45&gt;Population!$B$6*0.75,Population!$B$8,E46)</f>
        <v>35.642754957229528</v>
      </c>
      <c r="G46" s="15">
        <f>IF(Population!$J$6=1,IF(E46&gt;H45,H45,E46),IF(E46&gt;X45,X45,E46))</f>
        <v>35.642754957229528</v>
      </c>
      <c r="H46" s="15">
        <f t="shared" si="22"/>
        <v>687</v>
      </c>
      <c r="I46" s="15">
        <f t="shared" si="23"/>
        <v>860</v>
      </c>
      <c r="J46" s="12">
        <f t="shared" si="18"/>
        <v>1.2518195050946144</v>
      </c>
      <c r="K46" s="12">
        <f>AA46*Population!$O$29+AB46*Population!$O$30+AC46*Population!$O$31+AD46*Population!$O$32+AE46*Population!$O$33+AF46*Population!$O$34+AG46*Population!$O$35+AH46*Population!$O$36+AI46*Population!$O$37+AJ46*Population!$O$38+AK46*Population!$O$39+AL46*Population!$O$40+AM46*Population!$O$41+AN46*Population!$O$42+AO46*Population!$O$43+AP46*Population!$O$44+AQ46*Population!$O$45+AR46*Population!$O$46</f>
        <v>14.916028259248527</v>
      </c>
      <c r="L46" s="12">
        <f t="shared" si="7"/>
        <v>5.188173938461358E-2</v>
      </c>
      <c r="M46" s="12">
        <f t="shared" si="24"/>
        <v>22.489985639871186</v>
      </c>
      <c r="N46" s="12">
        <f t="shared" si="19"/>
        <v>0.31664212076583209</v>
      </c>
      <c r="O46" s="12">
        <f t="shared" si="9"/>
        <v>674.38755445520883</v>
      </c>
      <c r="P46" s="12">
        <f t="shared" si="10"/>
        <v>359</v>
      </c>
      <c r="Q46" s="12">
        <f t="shared" si="11"/>
        <v>231.80622277239559</v>
      </c>
      <c r="R46" s="12">
        <f t="shared" si="12"/>
        <v>108.7441530751037</v>
      </c>
      <c r="S46" s="12">
        <f t="shared" si="25"/>
        <v>4.2157045216202581E-2</v>
      </c>
      <c r="T46" s="12">
        <f t="shared" si="20"/>
        <v>0.85997994581134729</v>
      </c>
      <c r="U46" s="12">
        <f>Population!$B$13*MIN(Y45:Z45)</f>
        <v>24.413443145177126</v>
      </c>
      <c r="V46" s="12">
        <f>X45*Population!$B$14</f>
        <v>3.4879221769370683</v>
      </c>
      <c r="W46" s="12">
        <f>AN45*T45*Population!$B$12</f>
        <v>11.439661018689087</v>
      </c>
      <c r="X46" s="12">
        <f t="shared" si="17"/>
        <v>590.80622277239559</v>
      </c>
      <c r="Y46" s="14">
        <f t="shared" si="26"/>
        <v>96.607898437628705</v>
      </c>
      <c r="Z46" s="13">
        <f t="shared" si="27"/>
        <v>96.607898437628705</v>
      </c>
      <c r="AA46" s="18">
        <f>(G46+Population!$B$11*AA45)*Population!M$29</f>
        <v>258.9580401363271</v>
      </c>
      <c r="AB46" s="18">
        <f>AA45*Population!$B$12*Population!$M$29+AB45*Population!$B$11*Population!$M$30</f>
        <v>285.0375241157335</v>
      </c>
      <c r="AC46" s="14">
        <f>(AB45*Population!$B$12*0.5*Population!$M$30)+(AC45*Population!$B$11*Population!M$31)</f>
        <v>158.03542822225646</v>
      </c>
      <c r="AD46" s="13">
        <f>(AB45*Population!$B$12*0.5*Population!$M$30)+(AD45*Population!$B$11*Population!M$31)</f>
        <v>158.03542822225646</v>
      </c>
      <c r="AE46" s="14">
        <f>(AC45*Population!$B$12*Population!M$31)+(AE45*Population!$B$11*Population!M$33)</f>
        <v>167.10413901763673</v>
      </c>
      <c r="AF46" s="13">
        <f>(AD45*Population!$B$12*Population!M$31)+(AF45*Population!$B$11*Population!M$33)</f>
        <v>167.10413901763673</v>
      </c>
      <c r="AG46" s="14">
        <f>(AE45*Population!$B$12*Population!M$33)+(AG45*Population!$B$11*Population!M$35)</f>
        <v>161.84994458122219</v>
      </c>
      <c r="AH46" s="13">
        <f>(AF45*Population!$B$12*Population!M$33)+(AH45*Population!$B$11*Population!M$35)</f>
        <v>161.84994458122219</v>
      </c>
      <c r="AI46" s="14">
        <f>(AG45*Population!$B$12*Population!M$35)+(AI45*Population!$B$11*Population!M$37)</f>
        <v>143.33561483843599</v>
      </c>
      <c r="AJ46" s="13">
        <f>(AH45*Population!$B$12*Population!M$35)+(AJ45*Population!$B$11*Population!M$37)</f>
        <v>143.33561483843599</v>
      </c>
      <c r="AK46" s="14">
        <f>(AI45*Population!$B$12*Population!M$37)+(AK45*Population!$B$11*Population!M$39)</f>
        <v>118.77296537327723</v>
      </c>
      <c r="AL46" s="13">
        <f>(AJ45*Population!$B$12*Population!M$37)+(AL45*Population!$B$11*Population!M$39)</f>
        <v>118.77296537327723</v>
      </c>
      <c r="AM46" s="14">
        <f>(AK45*Population!$B$12*Population!M$39)+(AM45*Population!$B$11*Population!M$41)</f>
        <v>96.351457399452173</v>
      </c>
      <c r="AN46" s="13">
        <f>(AL45*Population!$B$12*Population!M$39)+(AN45*Population!$B$11*Population!M$41)</f>
        <v>96.351457399452173</v>
      </c>
      <c r="AO46" s="15">
        <f>(AM45+AN45)*Population!$B$12*Population!$M$41+AO45*Population!$B$11*Population!$M$43</f>
        <v>155.25248403445079</v>
      </c>
      <c r="AP46" s="5">
        <f>AO45*Population!M$43*Population!$B$12+AP45*Population!$B$11*Population!M$44</f>
        <v>126.99206868671936</v>
      </c>
      <c r="AQ46" s="5">
        <f>AP45*Population!M$44*Population!$B$12+AQ45*Population!$B$11*Population!M$45</f>
        <v>85.081403791776751</v>
      </c>
      <c r="AR46" s="5">
        <f>(AQ45*Population!$B$12+AR45)*Population!M$46</f>
        <v>114.49853480720621</v>
      </c>
    </row>
    <row r="47" spans="1:44">
      <c r="A47">
        <f>A46+Population!$B$2</f>
        <v>44</v>
      </c>
      <c r="B47" s="4">
        <f t="shared" si="4"/>
        <v>2737</v>
      </c>
      <c r="C47" s="54">
        <f t="shared" si="21"/>
        <v>1354</v>
      </c>
      <c r="D47" s="12">
        <f>AD46*Population!$P$32*Population!$C$2+AF46*Population!$P$34*Population!$C$2+AH46*Population!$P$36*Population!$C$2+AJ46*Population!$P$38*Population!$C$2+AL46*Population!$P$40*Population!$C$2+AN45*Population!$P$42*Population!$C$2</f>
        <v>49.610800367897134</v>
      </c>
      <c r="E47" s="12">
        <f>IF(B46&gt;Population!$B$6*Population!$B$15,Population!$B$8,IF(Population!$J$6=1,D47,Population!$B$8*Population!$B$6*0.9/B46))</f>
        <v>35.642754957229528</v>
      </c>
      <c r="F47" s="12">
        <f>IF(B46&gt;Population!$B$6*0.75,Population!$B$8,E47)</f>
        <v>35.642754957229528</v>
      </c>
      <c r="G47" s="15">
        <f>IF(Population!$J$6=1,IF(E47&gt;H46,H46,E47),IF(E47&gt;X46,X46,E47))</f>
        <v>35.642754957229528</v>
      </c>
      <c r="H47" s="15">
        <f t="shared" si="22"/>
        <v>695</v>
      </c>
      <c r="I47" s="15">
        <f t="shared" si="23"/>
        <v>850</v>
      </c>
      <c r="J47" s="12">
        <f t="shared" si="18"/>
        <v>1.2230215827338129</v>
      </c>
      <c r="K47" s="12">
        <f>AA47*Population!$O$29+AB47*Population!$O$30+AC47*Population!$O$31+AD47*Population!$O$32+AE47*Population!$O$33+AF47*Population!$O$34+AG47*Population!$O$35+AH47*Population!$O$36+AI47*Population!$O$37+AJ47*Population!$O$38+AK47*Population!$O$39+AL47*Population!$O$40+AM47*Population!$O$41+AN47*Population!$O$42+AO47*Population!$O$43+AP47*Population!$O$44+AQ47*Population!$O$45+AR47*Population!$O$46</f>
        <v>15.396609562361</v>
      </c>
      <c r="L47" s="12">
        <f t="shared" si="7"/>
        <v>5.1284539506805074E-2</v>
      </c>
      <c r="M47" s="12">
        <f t="shared" si="24"/>
        <v>22.555345941716268</v>
      </c>
      <c r="N47" s="12">
        <f t="shared" si="19"/>
        <v>0.3105590062111801</v>
      </c>
      <c r="O47" s="12">
        <f t="shared" si="9"/>
        <v>687.84765737058478</v>
      </c>
      <c r="P47" s="12">
        <f t="shared" si="10"/>
        <v>355</v>
      </c>
      <c r="Q47" s="12">
        <f t="shared" si="11"/>
        <v>244.57617131470761</v>
      </c>
      <c r="R47" s="12">
        <f t="shared" si="12"/>
        <v>114.49853480720621</v>
      </c>
      <c r="S47" s="12">
        <f t="shared" si="25"/>
        <v>4.3936613240432139E-2</v>
      </c>
      <c r="T47" s="12">
        <f t="shared" si="20"/>
        <v>0.86269952707152175</v>
      </c>
      <c r="U47" s="12">
        <f>Population!$B$13*MIN(Y46:Z46)</f>
        <v>24.151974609407176</v>
      </c>
      <c r="V47" s="12">
        <f>X46*Population!$B$14</f>
        <v>3.5448373366343735</v>
      </c>
      <c r="W47" s="12">
        <f>AN46*T46*Population!$B$12</f>
        <v>11.837188730460744</v>
      </c>
      <c r="X47" s="12">
        <f t="shared" si="17"/>
        <v>599.57617131470761</v>
      </c>
      <c r="Y47" s="14">
        <f t="shared" si="26"/>
        <v>95.496612750440022</v>
      </c>
      <c r="Z47" s="13">
        <f t="shared" si="27"/>
        <v>95.496612750440022</v>
      </c>
      <c r="AA47" s="18">
        <f>(G47+Population!$B$11*AA46)*Population!M$29</f>
        <v>257.50220100331558</v>
      </c>
      <c r="AB47" s="18">
        <f>AA46*Population!$B$12*Population!$M$29+AB46*Population!$B$11*Population!$M$30</f>
        <v>281.24189245841092</v>
      </c>
      <c r="AC47" s="14">
        <f>(AB46*Population!$B$12*0.5*Population!$M$30)+(AC46*Population!$B$11*Population!M$31)</f>
        <v>155.68508829876683</v>
      </c>
      <c r="AD47" s="13">
        <f>(AB46*Population!$B$12*0.5*Population!$M$30)+(AD46*Population!$B$11*Population!M$31)</f>
        <v>155.68508829876683</v>
      </c>
      <c r="AE47" s="14">
        <f>(AC46*Population!$B$12*Population!M$31)+(AE46*Population!$B$11*Population!M$33)</f>
        <v>165.65059329972547</v>
      </c>
      <c r="AF47" s="13">
        <f>(AD46*Population!$B$12*Population!M$31)+(AF46*Population!$B$11*Population!M$33)</f>
        <v>165.65059329972547</v>
      </c>
      <c r="AG47" s="14">
        <f>(AE46*Population!$B$12*Population!M$33)+(AG46*Population!$B$11*Population!M$35)</f>
        <v>162.31143498555861</v>
      </c>
      <c r="AH47" s="13">
        <f>(AF46*Population!$B$12*Population!M$33)+(AH46*Population!$B$11*Population!M$35)</f>
        <v>162.31143498555861</v>
      </c>
      <c r="AI47" s="14">
        <f>(AG46*Population!$B$12*Population!M$35)+(AI46*Population!$B$11*Population!M$37)</f>
        <v>145.70023649075762</v>
      </c>
      <c r="AJ47" s="13">
        <f>(AH46*Population!$B$12*Population!M$35)+(AJ46*Population!$B$11*Population!M$37)</f>
        <v>145.70023649075762</v>
      </c>
      <c r="AK47" s="14">
        <f>(AI46*Population!$B$12*Population!M$37)+(AK46*Population!$B$11*Population!M$39)</f>
        <v>122.04713401950136</v>
      </c>
      <c r="AL47" s="13">
        <f>(AJ46*Population!$B$12*Population!M$37)+(AL46*Population!$B$11*Population!M$39)</f>
        <v>122.04713401950136</v>
      </c>
      <c r="AM47" s="14">
        <f>(AK46*Population!$B$12*Population!M$39)+(AM46*Population!$B$11*Population!M$41)</f>
        <v>99.363385269604564</v>
      </c>
      <c r="AN47" s="13">
        <f>(AL46*Population!$B$12*Population!M$39)+(AN46*Population!$B$11*Population!M$41)</f>
        <v>99.363385269604564</v>
      </c>
      <c r="AO47" s="15">
        <f>(AM46+AN46)*Population!$B$12*Population!$M$41+AO46*Population!$B$11*Population!$M$43</f>
        <v>159.58490662195666</v>
      </c>
      <c r="AP47" s="5">
        <f>AO46*Population!M$43*Population!$B$12+AP46*Population!$B$11*Population!M$44</f>
        <v>130.07930866537785</v>
      </c>
      <c r="AQ47" s="5">
        <f>AP46*Population!M$44*Population!$B$12+AQ46*Population!$B$11*Population!M$45</f>
        <v>87.252846260291122</v>
      </c>
      <c r="AR47" s="5">
        <f>(AQ46*Population!$B$12+AR46)*Population!M$46</f>
        <v>120.25451043906276</v>
      </c>
    </row>
    <row r="48" spans="1:44">
      <c r="A48">
        <f>A47+Population!$B$2</f>
        <v>45</v>
      </c>
      <c r="B48" s="4">
        <f t="shared" si="4"/>
        <v>2757</v>
      </c>
      <c r="C48" s="54">
        <f t="shared" si="21"/>
        <v>1368</v>
      </c>
      <c r="D48" s="12">
        <f>AD47*Population!$P$32*Population!$C$2+AF47*Population!$P$34*Population!$C$2+AH47*Population!$P$36*Population!$C$2+AJ47*Population!$P$38*Population!$C$2+AL47*Population!$P$40*Population!$C$2+AN46*Population!$P$42*Population!$C$2</f>
        <v>49.884059511026521</v>
      </c>
      <c r="E48" s="12">
        <f>IF(B47&gt;Population!$B$6*Population!$B$15,Population!$B$8,IF(Population!$J$6=1,D48,Population!$B$8*Population!$B$6*0.9/B47))</f>
        <v>35.642754957229528</v>
      </c>
      <c r="F48" s="12">
        <f>IF(B47&gt;Population!$B$6*0.75,Population!$B$8,E48)</f>
        <v>35.642754957229528</v>
      </c>
      <c r="G48" s="15">
        <f>IF(Population!$J$6=1,IF(E48&gt;H47,H47,E48),IF(E48&gt;X47,X47,E48))</f>
        <v>35.642754957229528</v>
      </c>
      <c r="H48" s="15">
        <f t="shared" si="22"/>
        <v>701</v>
      </c>
      <c r="I48" s="15">
        <f t="shared" si="23"/>
        <v>840</v>
      </c>
      <c r="J48" s="12">
        <f t="shared" si="18"/>
        <v>1.1982881597717547</v>
      </c>
      <c r="K48" s="12">
        <f>AA48*Population!$O$29+AB48*Population!$O$30+AC48*Population!$O$31+AD48*Population!$O$32+AE48*Population!$O$33+AF48*Population!$O$34+AG48*Population!$O$35+AH48*Population!$O$36+AI48*Population!$O$37+AJ48*Population!$O$38+AK48*Population!$O$37+AL48*Population!$O$38+AM48*Population!$O$39+AN48*Population!$O$40+AO48*Population!$O$41+AP48*Population!$O$42+AQ48*Population!$O$43+AR48*Population!$O$44</f>
        <v>4.9703798234271144</v>
      </c>
      <c r="L48" s="12">
        <f t="shared" si="7"/>
        <v>5.0845584817731139E-2</v>
      </c>
      <c r="M48" s="12">
        <f t="shared" si="24"/>
        <v>22.588485373011366</v>
      </c>
      <c r="N48" s="12">
        <f t="shared" si="19"/>
        <v>0.30467899891186073</v>
      </c>
      <c r="O48" s="12">
        <f t="shared" si="9"/>
        <v>701.78590661694511</v>
      </c>
      <c r="P48" s="12">
        <f t="shared" si="10"/>
        <v>350</v>
      </c>
      <c r="Q48" s="12">
        <f t="shared" si="11"/>
        <v>257.60704669152744</v>
      </c>
      <c r="R48" s="12">
        <f t="shared" si="12"/>
        <v>120.25451043906276</v>
      </c>
      <c r="S48" s="12">
        <f t="shared" si="25"/>
        <v>4.5707010750245629E-2</v>
      </c>
      <c r="T48" s="12">
        <f t="shared" si="20"/>
        <v>0.86677182124326313</v>
      </c>
      <c r="U48" s="12">
        <f>Population!$B$13*MIN(Y47:Z47)</f>
        <v>23.874153187610005</v>
      </c>
      <c r="V48" s="12">
        <f>X47*Population!$B$14</f>
        <v>3.5974570278882458</v>
      </c>
      <c r="W48" s="12">
        <f>AN47*T47*Population!$B$12</f>
        <v>12.245820782901895</v>
      </c>
      <c r="X48" s="12">
        <f t="shared" si="17"/>
        <v>607.60704669152744</v>
      </c>
      <c r="Y48" s="14">
        <f t="shared" si="26"/>
        <v>94.343397871897537</v>
      </c>
      <c r="Z48" s="13">
        <f t="shared" si="27"/>
        <v>94.343397871897537</v>
      </c>
      <c r="AA48" s="18">
        <f>(G48+Population!$B$11*AA47)*Population!M$29</f>
        <v>256.25484552132394</v>
      </c>
      <c r="AB48" s="18">
        <f>AA47*Population!$B$12*Population!$M$29+AB47*Population!$B$11*Population!$M$30</f>
        <v>277.78133332933641</v>
      </c>
      <c r="AC48" s="14">
        <f>(AB47*Population!$B$12*0.5*Population!$M$30)+(AC47*Population!$B$11*Population!M$31)</f>
        <v>153.40137556771609</v>
      </c>
      <c r="AD48" s="13">
        <f>(AB47*Population!$B$12*0.5*Population!$M$30)+(AD47*Population!$B$11*Population!M$31)</f>
        <v>153.40137556771609</v>
      </c>
      <c r="AE48" s="14">
        <f>(AC47*Population!$B$12*Population!M$31)+(AE47*Population!$B$11*Population!M$33)</f>
        <v>164.07044144506904</v>
      </c>
      <c r="AF48" s="13">
        <f>(AD47*Population!$B$12*Population!M$31)+(AF47*Population!$B$11*Population!M$33)</f>
        <v>164.07044144506904</v>
      </c>
      <c r="AG48" s="14">
        <f>(AE47*Population!$B$12*Population!M$33)+(AG47*Population!$B$11*Population!M$35)</f>
        <v>162.49878720951841</v>
      </c>
      <c r="AH48" s="13">
        <f>(AF47*Population!$B$12*Population!M$33)+(AH47*Population!$B$11*Population!M$35)</f>
        <v>162.49878720951841</v>
      </c>
      <c r="AI48" s="14">
        <f>(AG47*Population!$B$12*Population!M$35)+(AI47*Population!$B$11*Population!M$37)</f>
        <v>147.78896417865121</v>
      </c>
      <c r="AJ48" s="13">
        <f>(AH47*Population!$B$12*Population!M$35)+(AJ47*Population!$B$11*Population!M$37)</f>
        <v>147.78896417865121</v>
      </c>
      <c r="AK48" s="14">
        <f>(AI47*Population!$B$12*Population!M$37)+(AK47*Population!$B$11*Population!M$39)</f>
        <v>125.18533045282841</v>
      </c>
      <c r="AL48" s="13">
        <f>(AJ47*Population!$B$12*Population!M$37)+(AL47*Population!$B$11*Population!M$39)</f>
        <v>125.18533045282841</v>
      </c>
      <c r="AM48" s="14">
        <f>(AK47*Population!$B$12*Population!M$39)+(AM47*Population!$B$11*Population!M$41)</f>
        <v>102.40692127735792</v>
      </c>
      <c r="AN48" s="13">
        <f>(AL47*Population!$B$12*Population!M$39)+(AN47*Population!$B$11*Population!M$41)</f>
        <v>102.40692127735792</v>
      </c>
      <c r="AO48" s="15">
        <f>(AM47+AN47)*Population!$B$12*Population!$M$41+AO47*Population!$B$11*Population!$M$43</f>
        <v>164.13038734763697</v>
      </c>
      <c r="AP48" s="5">
        <f>AO47*Population!M$43*Population!$B$12+AP47*Population!$B$11*Population!M$44</f>
        <v>133.32075973061012</v>
      </c>
      <c r="AQ48" s="5">
        <f>AP47*Population!M$44*Population!$B$12+AQ47*Population!$B$11*Population!M$45</f>
        <v>89.457889782983017</v>
      </c>
      <c r="AR48" s="5">
        <f>(AQ47*Population!$B$12+AR47)*Population!M$46</f>
        <v>126.0142286384272</v>
      </c>
    </row>
    <row r="49" spans="1:44">
      <c r="A49">
        <f>A48+Population!$B$2</f>
        <v>46</v>
      </c>
      <c r="B49" s="4">
        <f t="shared" si="4"/>
        <v>2777</v>
      </c>
      <c r="C49" s="54">
        <f t="shared" si="21"/>
        <v>1380</v>
      </c>
      <c r="D49" s="12">
        <f>AD48*Population!$P$32*Population!$C$2+AF48*Population!$P$34*Population!$C$2+AH48*Population!$P$36*Population!$C$2+AJ48*Population!$P$38*Population!$C$2+AL48*Population!$P$40*Population!$C$2+AN47*Population!$P$42*Population!$C$2</f>
        <v>50.096250232088146</v>
      </c>
      <c r="E49" s="12">
        <f>IF(B48&gt;Population!$B$6*Population!$B$15,Population!$B$8,IF(Population!$J$6=1,D49,Population!$B$8*Population!$B$6*0.9/B48))</f>
        <v>35.642754957229528</v>
      </c>
      <c r="F49" s="12">
        <f>IF(B48&gt;Population!$B$6*0.75,Population!$B$8,E49)</f>
        <v>35.642754957229528</v>
      </c>
      <c r="G49" s="15">
        <f>IF(Population!$J$6=1,IF(E49&gt;H48,H48,E49),IF(E49&gt;X48,X48,E49))</f>
        <v>35.642754957229528</v>
      </c>
      <c r="H49" s="15">
        <f t="shared" si="22"/>
        <v>708</v>
      </c>
      <c r="I49" s="15">
        <f t="shared" si="23"/>
        <v>832</v>
      </c>
      <c r="J49" s="12">
        <f t="shared" si="18"/>
        <v>1.1751412429378532</v>
      </c>
      <c r="K49" s="12">
        <f>AA49*Population!$O$29+AB49*Population!$O$30+AC49*Population!$O$31+AD49*Population!$O$32+AE49*Population!$O$33+AF49*Population!$O$34+AG49*Population!$O$35+AH49*Population!$O$36+AI49*Population!$O$37+AJ49*Population!$O$38+AK49*Population!$O$37+AL49*Population!$O$38+AM49*Population!$O$39+AN49*Population!$O$40+AO49*Population!$O$41+AP49*Population!$O$42+AQ49*Population!$O$43+AR49*Population!$O$44</f>
        <v>5.0655095753622668</v>
      </c>
      <c r="L49" s="12">
        <f t="shared" si="7"/>
        <v>5.0342874233375037E-2</v>
      </c>
      <c r="M49" s="12">
        <f t="shared" si="24"/>
        <v>22.591786008357179</v>
      </c>
      <c r="N49" s="12">
        <f t="shared" si="19"/>
        <v>0.29960388908894492</v>
      </c>
      <c r="O49" s="12">
        <f t="shared" si="9"/>
        <v>715.26647328800641</v>
      </c>
      <c r="P49" s="12">
        <f t="shared" si="10"/>
        <v>347</v>
      </c>
      <c r="Q49" s="12">
        <f t="shared" si="11"/>
        <v>267.8667633559968</v>
      </c>
      <c r="R49" s="12">
        <f t="shared" si="12"/>
        <v>126.0142286384272</v>
      </c>
      <c r="S49" s="12">
        <f t="shared" si="25"/>
        <v>4.7454828223902651E-2</v>
      </c>
      <c r="T49" s="12">
        <f t="shared" si="20"/>
        <v>0.86845588044632316</v>
      </c>
      <c r="U49" s="12">
        <f>Population!$B$13*MIN(Y48:Z48)</f>
        <v>23.585849467974384</v>
      </c>
      <c r="V49" s="12">
        <f>X48*Population!$B$14</f>
        <v>3.6456422801491648</v>
      </c>
      <c r="W49" s="12">
        <f>AN48*T48*Population!$B$12</f>
        <v>12.680490523355857</v>
      </c>
      <c r="X49" s="12">
        <f t="shared" si="17"/>
        <v>614.8667633559968</v>
      </c>
      <c r="Y49" s="14">
        <f t="shared" si="26"/>
        <v>93.186718766214426</v>
      </c>
      <c r="Z49" s="13">
        <f t="shared" si="27"/>
        <v>93.186718766214426</v>
      </c>
      <c r="AA49" s="18">
        <f>(G49+Population!$B$11*AA48)*Population!M$29</f>
        <v>255.18611775932459</v>
      </c>
      <c r="AB49" s="18">
        <f>AA48*Population!$B$12*Population!$M$29+AB48*Population!$B$11*Population!$M$30</f>
        <v>274.63768589000944</v>
      </c>
      <c r="AC49" s="14">
        <f>(AB48*Population!$B$12*0.5*Population!$M$30)+(AC48*Population!$B$11*Population!M$31)</f>
        <v>151.19864580078132</v>
      </c>
      <c r="AD49" s="13">
        <f>(AB48*Population!$B$12*0.5*Population!$M$30)+(AD48*Population!$B$11*Population!M$31)</f>
        <v>151.19864580078132</v>
      </c>
      <c r="AE49" s="14">
        <f>(AC48*Population!$B$12*Population!M$31)+(AE48*Population!$B$11*Population!M$33)</f>
        <v>162.39138256329022</v>
      </c>
      <c r="AF49" s="13">
        <f>(AD48*Population!$B$12*Population!M$31)+(AF48*Population!$B$11*Population!M$33)</f>
        <v>162.39138256329022</v>
      </c>
      <c r="AG49" s="14">
        <f>(AE48*Population!$B$12*Population!M$33)+(AG48*Population!$B$11*Population!M$35)</f>
        <v>162.43354564897552</v>
      </c>
      <c r="AH49" s="13">
        <f>(AF48*Population!$B$12*Population!M$33)+(AH48*Population!$B$11*Population!M$35)</f>
        <v>162.43354564897552</v>
      </c>
      <c r="AI49" s="14">
        <f>(AG48*Population!$B$12*Population!M$35)+(AI48*Population!$B$11*Population!M$37)</f>
        <v>149.60257796323506</v>
      </c>
      <c r="AJ49" s="13">
        <f>(AH48*Population!$B$12*Population!M$35)+(AJ48*Population!$B$11*Population!M$37)</f>
        <v>149.60257796323506</v>
      </c>
      <c r="AK49" s="14">
        <f>(AI48*Population!$B$12*Population!M$37)+(AK48*Population!$B$11*Population!M$39)</f>
        <v>128.16786529679743</v>
      </c>
      <c r="AL49" s="13">
        <f>(AJ48*Population!$B$12*Population!M$37)+(AL48*Population!$B$11*Population!M$39)</f>
        <v>128.16786529679743</v>
      </c>
      <c r="AM49" s="14">
        <f>(AK48*Population!$B$12*Population!M$39)+(AM48*Population!$B$11*Population!M$41)</f>
        <v>105.45811064991305</v>
      </c>
      <c r="AN49" s="13">
        <f>(AL48*Population!$B$12*Population!M$39)+(AN48*Population!$B$11*Population!M$41)</f>
        <v>105.45811064991305</v>
      </c>
      <c r="AO49" s="15">
        <f>(AM48+AN48)*Population!$B$12*Population!$M$41+AO48*Population!$B$11*Population!$M$43</f>
        <v>168.86617888760151</v>
      </c>
      <c r="AP49" s="5">
        <f>AO48*Population!M$43*Population!$B$12+AP48*Population!$B$11*Population!M$44</f>
        <v>136.72364962496371</v>
      </c>
      <c r="AQ49" s="5">
        <f>AP48*Population!M$44*Population!$B$12+AQ48*Population!$B$11*Population!M$45</f>
        <v>91.712149624206219</v>
      </c>
      <c r="AR49" s="5">
        <f>(AQ48*Population!$B$12+AR48)*Population!M$46</f>
        <v>131.78205797777767</v>
      </c>
    </row>
    <row r="50" spans="1:44">
      <c r="A50">
        <f>A49+Population!$B$2</f>
        <v>47</v>
      </c>
      <c r="B50" s="4">
        <f t="shared" si="4"/>
        <v>2796</v>
      </c>
      <c r="C50" s="54">
        <f t="shared" si="21"/>
        <v>1390</v>
      </c>
      <c r="D50" s="12">
        <f>AD49*Population!$P$32*Population!$C$2+AF49*Population!$P$34*Population!$C$2+AH49*Population!$P$36*Population!$C$2+AJ49*Population!$P$38*Population!$C$2+AL49*Population!$P$40*Population!$C$2+AN48*Population!$P$42*Population!$C$2</f>
        <v>50.250673103703946</v>
      </c>
      <c r="E50" s="12">
        <f>IF(B49&gt;Population!$B$6*Population!$B$15,Population!$B$8,IF(Population!$J$6=1,D50,Population!$B$8*Population!$B$6*0.9/B49))</f>
        <v>35.642754957229528</v>
      </c>
      <c r="F50" s="12">
        <f>IF(B49&gt;Population!$B$6*0.75,Population!$B$8,E50)</f>
        <v>35.642754957229528</v>
      </c>
      <c r="G50" s="15">
        <f>IF(Population!$J$6=1,IF(E50&gt;H49,H49,E50),IF(E50&gt;X49,X49,E50))</f>
        <v>35.642754957229528</v>
      </c>
      <c r="H50" s="15">
        <f t="shared" si="22"/>
        <v>713</v>
      </c>
      <c r="I50" s="15">
        <f t="shared" si="23"/>
        <v>824</v>
      </c>
      <c r="J50" s="12">
        <f t="shared" si="18"/>
        <v>1.155680224403927</v>
      </c>
      <c r="K50" s="12">
        <f>AA50*Population!$O$29+AB50*Population!$O$30+AC50*Population!$O$31+AD50*Population!$O$32+AE50*Population!$O$33+AF50*Population!$O$34+AG50*Population!$O$35+AH50*Population!$O$36+AI50*Population!$O$37+AJ50*Population!$O$38+AK50*Population!$O$37+AL50*Population!$O$38+AM50*Population!$O$39+AN50*Population!$O$40+AO50*Population!$O$41+AP50*Population!$O$42+AQ50*Population!$O$43+AR50*Population!$O$44</f>
        <v>5.1593473684620088</v>
      </c>
      <c r="L50" s="12">
        <f t="shared" si="7"/>
        <v>4.9989838649690782E-2</v>
      </c>
      <c r="M50" s="12">
        <f t="shared" si="24"/>
        <v>22.567718893141947</v>
      </c>
      <c r="N50" s="12">
        <f t="shared" si="19"/>
        <v>0.29470672389127323</v>
      </c>
      <c r="O50" s="12">
        <f t="shared" si="9"/>
        <v>729.21886258936456</v>
      </c>
      <c r="P50" s="12">
        <f t="shared" si="10"/>
        <v>344</v>
      </c>
      <c r="Q50" s="12">
        <f t="shared" si="11"/>
        <v>277.39056870531772</v>
      </c>
      <c r="R50" s="12">
        <f t="shared" si="12"/>
        <v>131.78205797777767</v>
      </c>
      <c r="S50" s="12">
        <f t="shared" si="25"/>
        <v>4.9200380680889721E-2</v>
      </c>
      <c r="T50" s="12">
        <f t="shared" si="20"/>
        <v>0.8715155241308804</v>
      </c>
      <c r="U50" s="12">
        <f>Population!$B$13*MIN(Y49:Z49)</f>
        <v>23.296679691553607</v>
      </c>
      <c r="V50" s="12">
        <f>X49*Population!$B$14</f>
        <v>3.6892005801359811</v>
      </c>
      <c r="W50" s="12">
        <f>AN49*T49*Population!$B$12</f>
        <v>13.083673762096572</v>
      </c>
      <c r="X50" s="12">
        <f t="shared" si="17"/>
        <v>621.39056870531772</v>
      </c>
      <c r="Y50" s="14">
        <f t="shared" si="26"/>
        <v>92.003186400138816</v>
      </c>
      <c r="Z50" s="13">
        <f t="shared" si="27"/>
        <v>92.003186400138816</v>
      </c>
      <c r="AA50" s="18">
        <f>(G50+Population!$B$11*AA49)*Population!M$29</f>
        <v>254.27043730915776</v>
      </c>
      <c r="AB50" s="18">
        <f>AA49*Population!$B$12*Population!$M$29+AB49*Population!$B$11*Population!$M$30</f>
        <v>271.79112380851706</v>
      </c>
      <c r="AC50" s="14">
        <f>(AB49*Population!$B$12*0.5*Population!$M$30)+(AC49*Population!$B$11*Population!M$31)</f>
        <v>149.08789530762016</v>
      </c>
      <c r="AD50" s="13">
        <f>(AB49*Population!$B$12*0.5*Population!$M$30)+(AD49*Population!$B$11*Population!M$31)</f>
        <v>149.08789530762016</v>
      </c>
      <c r="AE50" s="14">
        <f>(AC49*Population!$B$12*Population!M$31)+(AE49*Population!$B$11*Population!M$33)</f>
        <v>160.63918499222541</v>
      </c>
      <c r="AF50" s="13">
        <f>(AD49*Population!$B$12*Population!M$31)+(AF49*Population!$B$11*Population!M$33)</f>
        <v>160.63918499222541</v>
      </c>
      <c r="AG50" s="14">
        <f>(AE49*Population!$B$12*Population!M$33)+(AG49*Population!$B$11*Population!M$35)</f>
        <v>162.13809471766922</v>
      </c>
      <c r="AH50" s="13">
        <f>(AF49*Population!$B$12*Population!M$33)+(AH49*Population!$B$11*Population!M$35)</f>
        <v>162.13809471766922</v>
      </c>
      <c r="AI50" s="14">
        <f>(AG49*Population!$B$12*Population!M$35)+(AI49*Population!$B$11*Population!M$37)</f>
        <v>151.14481704608619</v>
      </c>
      <c r="AJ50" s="13">
        <f>(AH49*Population!$B$12*Population!M$35)+(AJ49*Population!$B$11*Population!M$37)</f>
        <v>151.14481704608619</v>
      </c>
      <c r="AK50" s="14">
        <f>(AI49*Population!$B$12*Population!M$37)+(AK49*Population!$B$11*Population!M$39)</f>
        <v>130.97800556944443</v>
      </c>
      <c r="AL50" s="13">
        <f>(AJ49*Population!$B$12*Population!M$37)+(AL49*Population!$B$11*Population!M$39)</f>
        <v>130.97800556944443</v>
      </c>
      <c r="AM50" s="14">
        <f>(AK49*Population!$B$12*Population!M$39)+(AM49*Population!$B$11*Population!M$41)</f>
        <v>108.49365278003127</v>
      </c>
      <c r="AN50" s="13">
        <f>(AL49*Population!$B$12*Population!M$39)+(AN49*Population!$B$11*Population!M$41)</f>
        <v>108.49365278003127</v>
      </c>
      <c r="AO50" s="15">
        <f>(AM49+AN49)*Population!$B$12*Population!$M$41+AO49*Population!$B$11*Population!$M$43</f>
        <v>173.76609381413272</v>
      </c>
      <c r="AP50" s="5">
        <f>AO49*Population!M$43*Population!$B$12+AP49*Population!$B$11*Population!M$44</f>
        <v>140.29090258310896</v>
      </c>
      <c r="AQ50" s="5">
        <f>AP49*Population!M$44*Population!$B$12+AQ49*Population!$B$11*Population!M$45</f>
        <v>94.029359159475817</v>
      </c>
      <c r="AR50" s="5">
        <f>(AQ49*Population!$B$12+AR49)*Population!M$46</f>
        <v>137.56426438376766</v>
      </c>
    </row>
    <row r="51" spans="1:44">
      <c r="A51">
        <f>A50+Population!$B$2</f>
        <v>48</v>
      </c>
      <c r="B51" s="4">
        <f t="shared" si="4"/>
        <v>2815</v>
      </c>
      <c r="C51" s="54">
        <f t="shared" si="21"/>
        <v>1400</v>
      </c>
      <c r="D51" s="12">
        <f>AD50*Population!$P$32*Population!$C$2+AF50*Population!$P$34*Population!$C$2+AH50*Population!$P$36*Population!$C$2+AJ50*Population!$P$38*Population!$C$2+AL50*Population!$P$40*Population!$C$2+AN49*Population!$P$42*Population!$C$2</f>
        <v>50.35084662857912</v>
      </c>
      <c r="E51" s="12">
        <f>IF(B50&gt;Population!$B$6*Population!$B$15,Population!$B$8,IF(Population!$J$6=1,D51,Population!$B$8*Population!$B$6*0.9/B50))</f>
        <v>35.642754957229528</v>
      </c>
      <c r="F51" s="12">
        <f>IF(B50&gt;Population!$B$6*0.75,Population!$B$8,E51)</f>
        <v>35.642754957229528</v>
      </c>
      <c r="G51" s="15">
        <f>IF(Population!$J$6=1,IF(E51&gt;H50,H50,E51),IF(E51&gt;X50,X50,E51))</f>
        <v>35.642754957229528</v>
      </c>
      <c r="H51" s="15">
        <f t="shared" si="22"/>
        <v>717</v>
      </c>
      <c r="I51" s="15">
        <f t="shared" si="23"/>
        <v>816</v>
      </c>
      <c r="J51" s="12">
        <f t="shared" si="18"/>
        <v>1.1380753138075315</v>
      </c>
      <c r="K51" s="12">
        <f>AA51*Population!$O$29+AB51*Population!$O$30+AC51*Population!$O$31+AD51*Population!$O$32+AE51*Population!$O$33+AF51*Population!$O$34+AG51*Population!$O$35+AH51*Population!$O$36+AI51*Population!$O$37+AJ51*Population!$O$38+AK51*Population!$O$37+AL51*Population!$O$38+AM51*Population!$O$39+AN51*Population!$O$40+AO51*Population!$O$41+AP51*Population!$O$42+AQ51*Population!$O$43+AR51*Population!$O$44</f>
        <v>5.251996307344398</v>
      </c>
      <c r="L51" s="12">
        <f t="shared" si="7"/>
        <v>4.9710955309943551E-2</v>
      </c>
      <c r="M51" s="12">
        <f t="shared" si="24"/>
        <v>22.518800860549064</v>
      </c>
      <c r="N51" s="12">
        <f t="shared" si="19"/>
        <v>0.28987566607460036</v>
      </c>
      <c r="O51" s="12">
        <f t="shared" si="9"/>
        <v>744.68935697589109</v>
      </c>
      <c r="P51" s="12">
        <f t="shared" si="10"/>
        <v>340</v>
      </c>
      <c r="Q51" s="12">
        <f t="shared" si="11"/>
        <v>287.15532151205446</v>
      </c>
      <c r="R51" s="12">
        <f t="shared" si="12"/>
        <v>137.56426438376766</v>
      </c>
      <c r="S51" s="12">
        <f t="shared" si="25"/>
        <v>5.0930252228593605E-2</v>
      </c>
      <c r="T51" s="12">
        <f t="shared" si="20"/>
        <v>0.87469361438222382</v>
      </c>
      <c r="U51" s="12">
        <f>Population!$B$13*MIN(Y50:Z50)</f>
        <v>23.000796600034704</v>
      </c>
      <c r="V51" s="12">
        <f>X50*Population!$B$14</f>
        <v>3.7283434122319066</v>
      </c>
      <c r="W51" s="12">
        <f>AN50*T50*Population!$B$12</f>
        <v>13.507700381066101</v>
      </c>
      <c r="X51" s="12">
        <f t="shared" si="17"/>
        <v>627.15532151205446</v>
      </c>
      <c r="Y51" s="14">
        <f t="shared" si="26"/>
        <v>90.832694186443973</v>
      </c>
      <c r="Z51" s="13">
        <f t="shared" si="27"/>
        <v>90.832694186443973</v>
      </c>
      <c r="AA51" s="18">
        <f>(G51+Population!$B$11*AA50)*Population!M$29</f>
        <v>253.48588700866856</v>
      </c>
      <c r="AB51" s="18">
        <f>AA50*Population!$B$12*Population!$M$29+AB50*Population!$B$11*Population!$M$30</f>
        <v>269.22100404936731</v>
      </c>
      <c r="AC51" s="14">
        <f>(AB50*Population!$B$12*0.5*Population!$M$30)+(AC50*Population!$B$11*Population!M$31)</f>
        <v>147.07712466616888</v>
      </c>
      <c r="AD51" s="13">
        <f>(AB50*Population!$B$12*0.5*Population!$M$30)+(AD50*Population!$B$11*Population!M$31)</f>
        <v>147.07712466616888</v>
      </c>
      <c r="AE51" s="14">
        <f>(AC50*Population!$B$12*Population!M$31)+(AE50*Population!$B$11*Population!M$33)</f>
        <v>158.83748423385128</v>
      </c>
      <c r="AF51" s="13">
        <f>(AD50*Population!$B$12*Population!M$31)+(AF50*Population!$B$11*Population!M$33)</f>
        <v>158.83748423385128</v>
      </c>
      <c r="AG51" s="14">
        <f>(AE50*Population!$B$12*Population!M$33)+(AG50*Population!$B$11*Population!M$35)</f>
        <v>161.63526190054222</v>
      </c>
      <c r="AH51" s="13">
        <f>(AF50*Population!$B$12*Population!M$33)+(AH50*Population!$B$11*Population!M$35)</f>
        <v>161.63526190054222</v>
      </c>
      <c r="AI51" s="14">
        <f>(AG50*Population!$B$12*Population!M$35)+(AI50*Population!$B$11*Population!M$37)</f>
        <v>152.42207193713679</v>
      </c>
      <c r="AJ51" s="13">
        <f>(AH50*Population!$B$12*Population!M$35)+(AJ50*Population!$B$11*Population!M$37)</f>
        <v>152.42207193713679</v>
      </c>
      <c r="AK51" s="14">
        <f>(AI50*Population!$B$12*Population!M$37)+(AK50*Population!$B$11*Population!M$39)</f>
        <v>133.60196939855206</v>
      </c>
      <c r="AL51" s="13">
        <f>(AJ50*Population!$B$12*Population!M$37)+(AL50*Population!$B$11*Population!M$39)</f>
        <v>133.60196939855206</v>
      </c>
      <c r="AM51" s="14">
        <f>(AK50*Population!$B$12*Population!M$39)+(AM50*Population!$B$11*Population!M$41)</f>
        <v>111.49122822841611</v>
      </c>
      <c r="AN51" s="13">
        <f>(AL50*Population!$B$12*Population!M$39)+(AN50*Population!$B$11*Population!M$41)</f>
        <v>111.49122822841611</v>
      </c>
      <c r="AO51" s="15">
        <f>(AM50+AN50)*Population!$B$12*Population!$M$41+AO50*Population!$B$11*Population!$M$43</f>
        <v>178.80120396246699</v>
      </c>
      <c r="AP51" s="5">
        <f>AO50*Population!M$43*Population!$B$12+AP50*Population!$B$11*Population!M$44</f>
        <v>144.02129298146698</v>
      </c>
      <c r="AQ51" s="5">
        <f>AP50*Population!M$44*Population!$B$12+AQ50*Population!$B$11*Population!M$45</f>
        <v>96.421109878259443</v>
      </c>
      <c r="AR51" s="5">
        <f>(AQ50*Population!$B$12+AR50)*Population!M$46</f>
        <v>143.368660023491</v>
      </c>
    </row>
    <row r="52" spans="1:44">
      <c r="A52">
        <f>A51+Population!$B$2</f>
        <v>49</v>
      </c>
      <c r="B52" s="4">
        <f t="shared" si="4"/>
        <v>2833</v>
      </c>
      <c r="C52" s="54">
        <f t="shared" si="21"/>
        <v>1407</v>
      </c>
      <c r="D52" s="12">
        <f>AD51*Population!$P$32*Population!$C$2+AF51*Population!$P$34*Population!$C$2+AH51*Population!$P$36*Population!$C$2+AJ51*Population!$P$38*Population!$C$2+AL51*Population!$P$40*Population!$C$2+AN50*Population!$P$42*Population!$C$2</f>
        <v>50.400442529467611</v>
      </c>
      <c r="E52" s="12">
        <f>IF(B51&gt;Population!$B$6*Population!$B$15,Population!$B$8,IF(Population!$J$6=1,D52,Population!$B$8*Population!$B$6*0.9/B51))</f>
        <v>35.642754957229528</v>
      </c>
      <c r="F52" s="12">
        <f>IF(B51&gt;Population!$B$6*0.75,Population!$B$8,E52)</f>
        <v>35.642754957229528</v>
      </c>
      <c r="G52" s="15">
        <f>IF(Population!$J$6=1,IF(E52&gt;H51,H51,E52),IF(E52&gt;X51,X51,E52))</f>
        <v>35.642754957229528</v>
      </c>
      <c r="H52" s="15">
        <f t="shared" si="22"/>
        <v>721</v>
      </c>
      <c r="I52" s="15">
        <f t="shared" si="23"/>
        <v>810</v>
      </c>
      <c r="J52" s="12">
        <f t="shared" si="18"/>
        <v>1.1234396671289875</v>
      </c>
      <c r="K52" s="12">
        <f>AA52*Population!$O$29+AB52*Population!$O$30+AC52*Population!$O$31+AD52*Population!$O$32+AE52*Population!$O$33+AF52*Population!$O$34+AG52*Population!$O$35+AH52*Population!$O$36+AI52*Population!$O$37+AJ52*Population!$O$38+AK52*Population!$O$37+AL52*Population!$O$38+AM52*Population!$O$39+AN52*Population!$O$40+AO52*Population!$O$41+AP52*Population!$O$42+AQ52*Population!$O$43+AR52*Population!$O$44</f>
        <v>5.3435568248955363</v>
      </c>
      <c r="L52" s="12">
        <f t="shared" si="7"/>
        <v>4.9435166376185197E-2</v>
      </c>
      <c r="M52" s="12">
        <f t="shared" si="24"/>
        <v>22.447555984244588</v>
      </c>
      <c r="N52" s="12">
        <f t="shared" si="19"/>
        <v>0.28591599011648428</v>
      </c>
      <c r="O52" s="12">
        <f t="shared" si="9"/>
        <v>758.66192099539285</v>
      </c>
      <c r="P52" s="12">
        <f t="shared" si="10"/>
        <v>338</v>
      </c>
      <c r="Q52" s="12">
        <f t="shared" si="11"/>
        <v>294.16903950230358</v>
      </c>
      <c r="R52" s="12">
        <f t="shared" si="12"/>
        <v>143.368660023491</v>
      </c>
      <c r="S52" s="12">
        <f t="shared" si="25"/>
        <v>5.2666514176841282E-2</v>
      </c>
      <c r="T52" s="12">
        <f t="shared" si="20"/>
        <v>0.87679478433051816</v>
      </c>
      <c r="U52" s="12">
        <f>Population!$B$13*MIN(Y51:Z51)</f>
        <v>22.708173546610993</v>
      </c>
      <c r="V52" s="12">
        <f>X51*Population!$B$14</f>
        <v>3.7629319290723267</v>
      </c>
      <c r="W52" s="12">
        <f>AN51*T51*Population!$B$12</f>
        <v>13.931523627289527</v>
      </c>
      <c r="X52" s="12">
        <f t="shared" si="17"/>
        <v>632.16903950230358</v>
      </c>
      <c r="Y52" s="14">
        <f t="shared" si="26"/>
        <v>89.688291495614294</v>
      </c>
      <c r="Z52" s="13">
        <f t="shared" si="27"/>
        <v>89.688291495614294</v>
      </c>
      <c r="AA52" s="18">
        <f>(G52+Population!$B$11*AA51)*Population!M$29</f>
        <v>252.81368834603953</v>
      </c>
      <c r="AB52" s="18">
        <f>AA51*Population!$B$12*Population!$M$29+AB51*Population!$B$11*Population!$M$30</f>
        <v>266.90650681132576</v>
      </c>
      <c r="AC52" s="14">
        <f>(AB51*Population!$B$12*0.5*Population!$M$30)+(AC51*Population!$B$11*Population!M$31)</f>
        <v>145.17171080855721</v>
      </c>
      <c r="AD52" s="13">
        <f>(AB51*Population!$B$12*0.5*Population!$M$30)+(AD51*Population!$B$11*Population!M$31)</f>
        <v>145.17171080855721</v>
      </c>
      <c r="AE52" s="14">
        <f>(AC51*Population!$B$12*Population!M$31)+(AE51*Population!$B$11*Population!M$33)</f>
        <v>157.00766183351726</v>
      </c>
      <c r="AF52" s="13">
        <f>(AD51*Population!$B$12*Population!M$31)+(AF51*Population!$B$11*Population!M$33)</f>
        <v>157.00766183351726</v>
      </c>
      <c r="AG52" s="14">
        <f>(AE51*Population!$B$12*Population!M$33)+(AG51*Population!$B$11*Population!M$35)</f>
        <v>160.94794932821935</v>
      </c>
      <c r="AH52" s="13">
        <f>(AF51*Population!$B$12*Population!M$33)+(AH51*Population!$B$11*Population!M$35)</f>
        <v>160.94794932821935</v>
      </c>
      <c r="AI52" s="14">
        <f>(AG51*Population!$B$12*Population!M$35)+(AI51*Population!$B$11*Population!M$37)</f>
        <v>153.44306450739973</v>
      </c>
      <c r="AJ52" s="13">
        <f>(AH51*Population!$B$12*Population!M$35)+(AJ51*Population!$B$11*Population!M$37)</f>
        <v>153.44306450739973</v>
      </c>
      <c r="AK52" s="14">
        <f>(AI51*Population!$B$12*Population!M$37)+(AK51*Population!$B$11*Population!M$39)</f>
        <v>136.0288776089798</v>
      </c>
      <c r="AL52" s="13">
        <f>(AJ51*Population!$B$12*Population!M$37)+(AL51*Population!$B$11*Population!M$39)</f>
        <v>136.0288776089798</v>
      </c>
      <c r="AM52" s="14">
        <f>(AK51*Population!$B$12*Population!M$39)+(AM51*Population!$B$11*Population!M$41)</f>
        <v>114.42977771980173</v>
      </c>
      <c r="AN52" s="13">
        <f>(AL51*Population!$B$12*Population!M$39)+(AN51*Population!$B$11*Population!M$41)</f>
        <v>114.42977771980173</v>
      </c>
      <c r="AO52" s="15">
        <f>(AM51+AN51)*Population!$B$12*Population!$M$41+AO51*Population!$B$11*Population!$M$43</f>
        <v>183.94052879183855</v>
      </c>
      <c r="AP52" s="5">
        <f>AO51*Population!M$43*Population!$B$12+AP51*Population!$B$11*Population!M$44</f>
        <v>147.9096752682639</v>
      </c>
      <c r="AQ52" s="5">
        <f>AP51*Population!M$44*Population!$B$12+AQ51*Population!$B$11*Population!M$45</f>
        <v>98.896661578658581</v>
      </c>
      <c r="AR52" s="5">
        <f>(AQ51*Population!$B$12+AR51)*Population!M$46</f>
        <v>149.20423466299135</v>
      </c>
    </row>
    <row r="53" spans="1:44">
      <c r="A53">
        <f>A52+Population!$B$2</f>
        <v>50</v>
      </c>
      <c r="B53" s="4">
        <f t="shared" si="4"/>
        <v>2851</v>
      </c>
      <c r="C53" s="54">
        <f t="shared" si="21"/>
        <v>1414</v>
      </c>
      <c r="D53" s="12">
        <f>AD52*Population!$P$32*Population!$C$2+AF52*Population!$P$34*Population!$C$2+AH52*Population!$P$36*Population!$C$2+AJ52*Population!$P$38*Population!$C$2+AL52*Population!$P$40*Population!$C$2+AN51*Population!$P$42*Population!$C$2</f>
        <v>50.403227057871163</v>
      </c>
      <c r="E53" s="12">
        <f>IF(B52&gt;Population!$B$6*Population!$B$15,Population!$B$8,IF(Population!$J$6=1,D53,Population!$B$8*Population!$B$6*0.9/B52))</f>
        <v>35.642754957229528</v>
      </c>
      <c r="F53" s="12">
        <f>IF(B52&gt;Population!$B$6*0.75,Population!$B$8,E53)</f>
        <v>35.642754957229528</v>
      </c>
      <c r="G53" s="15">
        <f>IF(Population!$J$6=1,IF(E53&gt;H52,H52,E53),IF(E53&gt;X52,X52,E53))</f>
        <v>35.642754957229528</v>
      </c>
      <c r="H53" s="15">
        <f t="shared" si="22"/>
        <v>725</v>
      </c>
      <c r="I53" s="15">
        <f t="shared" si="23"/>
        <v>803</v>
      </c>
      <c r="J53" s="12">
        <f t="shared" si="18"/>
        <v>1.1075862068965516</v>
      </c>
      <c r="K53" s="12">
        <f>AA53*Population!$O$29+AB53*Population!$O$30+AC53*Population!$O$31+AD53*Population!$O$32+AE53*Population!$O$33+AF53*Population!$O$34+AG53*Population!$O$35+AH53*Population!$O$36+AI53*Population!$O$37+AJ53*Population!$O$38+AK53*Population!$O$37+AL53*Population!$O$38+AM53*Population!$O$39+AN53*Population!$O$40+AO53*Population!$O$41+AP53*Population!$O$42+AQ53*Population!$O$43+AR53*Population!$O$44</f>
        <v>5.4341234632823294</v>
      </c>
      <c r="L53" s="12">
        <f t="shared" si="7"/>
        <v>4.9162420630661417E-2</v>
      </c>
      <c r="M53" s="12">
        <f t="shared" si="24"/>
        <v>22.356481800615807</v>
      </c>
      <c r="N53" s="12">
        <f t="shared" si="19"/>
        <v>0.28165555945282356</v>
      </c>
      <c r="O53" s="12">
        <f t="shared" si="9"/>
        <v>775.06992722927703</v>
      </c>
      <c r="P53" s="12">
        <f t="shared" si="10"/>
        <v>335</v>
      </c>
      <c r="Q53" s="12">
        <f t="shared" si="11"/>
        <v>301.46503638536149</v>
      </c>
      <c r="R53" s="12">
        <f t="shared" si="12"/>
        <v>149.20423466299135</v>
      </c>
      <c r="S53" s="12">
        <f t="shared" si="25"/>
        <v>5.4395222695316131E-2</v>
      </c>
      <c r="T53" s="12">
        <f t="shared" si="20"/>
        <v>0.87788280880739511</v>
      </c>
      <c r="U53" s="12">
        <f>Population!$B$13*MIN(Y52:Z52)</f>
        <v>22.422072873903574</v>
      </c>
      <c r="V53" s="12">
        <f>X52*Population!$B$14</f>
        <v>3.7930142370138213</v>
      </c>
      <c r="W53" s="12">
        <f>AN52*T52*Population!$B$12</f>
        <v>14.333061753831814</v>
      </c>
      <c r="X53" s="12">
        <f t="shared" si="17"/>
        <v>636.46503638536149</v>
      </c>
      <c r="Y53" s="14">
        <f t="shared" si="26"/>
        <v>88.561482034830078</v>
      </c>
      <c r="Z53" s="13">
        <f t="shared" si="27"/>
        <v>88.561482034830078</v>
      </c>
      <c r="AA53" s="18">
        <f>(G53+Population!$B$11*AA52)*Population!M$29</f>
        <v>252.23775198892065</v>
      </c>
      <c r="AB53" s="18">
        <f>AA52*Population!$B$12*Population!$M$29+AB52*Population!$B$11*Population!$M$30</f>
        <v>264.82710901033289</v>
      </c>
      <c r="AC53" s="14">
        <f>(AB52*Population!$B$12*0.5*Population!$M$30)+(AC52*Population!$B$11*Population!M$31)</f>
        <v>143.37477134751236</v>
      </c>
      <c r="AD53" s="13">
        <f>(AB52*Population!$B$12*0.5*Population!$M$30)+(AD52*Population!$B$11*Population!M$31)</f>
        <v>143.37477134751236</v>
      </c>
      <c r="AE53" s="14">
        <f>(AC52*Population!$B$12*Population!M$31)+(AE52*Population!$B$11*Population!M$33)</f>
        <v>155.16879476555661</v>
      </c>
      <c r="AF53" s="13">
        <f>(AD52*Population!$B$12*Population!M$31)+(AF52*Population!$B$11*Population!M$33)</f>
        <v>155.16879476555661</v>
      </c>
      <c r="AG53" s="14">
        <f>(AE52*Population!$B$12*Population!M$33)+(AG52*Population!$B$11*Population!M$35)</f>
        <v>160.09880130354927</v>
      </c>
      <c r="AH53" s="13">
        <f>(AF52*Population!$B$12*Population!M$33)+(AH52*Population!$B$11*Population!M$35)</f>
        <v>160.09880130354927</v>
      </c>
      <c r="AI53" s="14">
        <f>(AG52*Population!$B$12*Population!M$35)+(AI52*Population!$B$11*Population!M$37)</f>
        <v>154.21852174382605</v>
      </c>
      <c r="AJ53" s="13">
        <f>(AH52*Population!$B$12*Population!M$35)+(AJ52*Population!$B$11*Population!M$37)</f>
        <v>154.21852174382605</v>
      </c>
      <c r="AK53" s="14">
        <f>(AI52*Population!$B$12*Population!M$37)+(AK52*Population!$B$11*Population!M$39)</f>
        <v>138.25066668676698</v>
      </c>
      <c r="AL53" s="13">
        <f>(AJ52*Population!$B$12*Population!M$37)+(AL52*Population!$B$11*Population!M$39)</f>
        <v>138.25066668676698</v>
      </c>
      <c r="AM53" s="14">
        <f>(AK52*Population!$B$12*Population!M$39)+(AM52*Population!$B$11*Population!M$41)</f>
        <v>117.28973392049271</v>
      </c>
      <c r="AN53" s="13">
        <f>(AL52*Population!$B$12*Population!M$39)+(AN52*Population!$B$11*Population!M$41)</f>
        <v>117.28973392049271</v>
      </c>
      <c r="AO53" s="15">
        <f>(AM52+AN52)*Population!$B$12*Population!$M$41+AO52*Population!$B$11*Population!$M$43</f>
        <v>189.151700691678</v>
      </c>
      <c r="AP53" s="5">
        <f>AO52*Population!M$43*Population!$B$12+AP52*Population!$B$11*Population!M$44</f>
        <v>151.94727724193024</v>
      </c>
      <c r="AQ53" s="5">
        <f>AP52*Population!M$44*Population!$B$12+AQ52*Population!$B$11*Population!M$45</f>
        <v>101.46282050525679</v>
      </c>
      <c r="AR53" s="5">
        <f>(AQ52*Population!$B$12+AR52)*Population!M$46</f>
        <v>155.08077990434629</v>
      </c>
    </row>
    <row r="54" spans="1:44">
      <c r="A54">
        <f>A53+Population!$B$2</f>
        <v>51</v>
      </c>
      <c r="B54" s="4">
        <f t="shared" si="4"/>
        <v>2868</v>
      </c>
      <c r="C54" s="54">
        <f t="shared" si="21"/>
        <v>1418</v>
      </c>
      <c r="D54" s="12">
        <f>AD53*Population!$P$32*Population!$C$2+AF53*Population!$P$34*Population!$C$2+AH53*Population!$P$36*Population!$C$2+AJ53*Population!$P$38*Population!$C$2+AL53*Population!$P$40*Population!$C$2+AN52*Population!$P$42*Population!$C$2</f>
        <v>50.363008511498656</v>
      </c>
      <c r="E54" s="12">
        <f>IF(B53&gt;Population!$B$6*Population!$B$15,Population!$B$8,IF(Population!$J$6=1,D54,Population!$B$8*Population!$B$6*0.9/B53))</f>
        <v>35.642754957229528</v>
      </c>
      <c r="F54" s="12">
        <f>IF(B53&gt;Population!$B$6*0.75,Population!$B$8,E54)</f>
        <v>35.642754957229528</v>
      </c>
      <c r="G54" s="15">
        <f>IF(Population!$J$6=1,IF(E54&gt;H53,H53,E54),IF(E54&gt;X53,X53,E54))</f>
        <v>35.642754957229528</v>
      </c>
      <c r="H54" s="15">
        <f t="shared" si="22"/>
        <v>727</v>
      </c>
      <c r="I54" s="15">
        <f t="shared" si="23"/>
        <v>798</v>
      </c>
      <c r="J54" s="12">
        <f t="shared" si="18"/>
        <v>1.0976616231086658</v>
      </c>
      <c r="K54" s="12">
        <f>AA54*Population!$O$29+AB54*Population!$O$30+AC54*Population!$O$31+AD54*Population!$O$32+AE54*Population!$O$33+AF54*Population!$O$34+AG54*Population!$O$35+AH54*Population!$O$36+AI54*Population!$O$37+AJ54*Population!$O$38+AK54*Population!$O$37+AL54*Population!$O$38+AM54*Population!$O$39+AN54*Population!$O$40+AO54*Population!$O$41+AP54*Population!$O$42+AQ54*Population!$O$43+AR54*Population!$O$44</f>
        <v>5.5237820957259203</v>
      </c>
      <c r="L54" s="12">
        <f t="shared" si="7"/>
        <v>4.9027173256161662E-2</v>
      </c>
      <c r="M54" s="12">
        <f t="shared" si="24"/>
        <v>22.248020284675011</v>
      </c>
      <c r="N54" s="12">
        <f t="shared" si="19"/>
        <v>0.27824267782426776</v>
      </c>
      <c r="O54" s="12">
        <f t="shared" si="9"/>
        <v>789.84580695088471</v>
      </c>
      <c r="P54" s="12">
        <f t="shared" si="10"/>
        <v>333</v>
      </c>
      <c r="Q54" s="12">
        <f t="shared" si="11"/>
        <v>307.07709652455765</v>
      </c>
      <c r="R54" s="12">
        <f t="shared" si="12"/>
        <v>155.08077990434629</v>
      </c>
      <c r="S54" s="12">
        <f t="shared" si="25"/>
        <v>5.6139649887347189E-2</v>
      </c>
      <c r="T54" s="12">
        <f t="shared" si="20"/>
        <v>0.88043617128549878</v>
      </c>
      <c r="U54" s="12">
        <f>Population!$B$13*MIN(Y53:Z53)</f>
        <v>22.14037050870752</v>
      </c>
      <c r="V54" s="12">
        <f>X53*Population!$B$14</f>
        <v>3.8187902183121691</v>
      </c>
      <c r="W54" s="12">
        <f>AN53*T53*Population!$B$12</f>
        <v>14.709520151199163</v>
      </c>
      <c r="X54" s="12">
        <f t="shared" si="17"/>
        <v>640.07709652455765</v>
      </c>
      <c r="Y54" s="14">
        <f t="shared" si="26"/>
        <v>87.446504570384491</v>
      </c>
      <c r="Z54" s="13">
        <f t="shared" si="27"/>
        <v>87.446504570384491</v>
      </c>
      <c r="AA54" s="18">
        <f>(G54+Population!$B$11*AA53)*Population!M$29</f>
        <v>251.74429268009962</v>
      </c>
      <c r="AB54" s="18">
        <f>AA53*Population!$B$12*Population!$M$29+AB53*Population!$B$11*Population!$M$30</f>
        <v>262.96292584663524</v>
      </c>
      <c r="AC54" s="14">
        <f>(AB53*Population!$B$12*0.5*Population!$M$30)+(AC53*Population!$B$11*Population!M$31)</f>
        <v>141.68751037113026</v>
      </c>
      <c r="AD54" s="13">
        <f>(AB53*Population!$B$12*0.5*Population!$M$30)+(AD53*Population!$B$11*Population!M$31)</f>
        <v>141.68751037113026</v>
      </c>
      <c r="AE54" s="14">
        <f>(AC53*Population!$B$12*Population!M$31)+(AE53*Population!$B$11*Population!M$33)</f>
        <v>153.33766408789836</v>
      </c>
      <c r="AF54" s="13">
        <f>(AD53*Population!$B$12*Population!M$31)+(AF53*Population!$B$11*Population!M$33)</f>
        <v>153.33766408789836</v>
      </c>
      <c r="AG54" s="14">
        <f>(AE53*Population!$B$12*Population!M$33)+(AG53*Population!$B$11*Population!M$35)</f>
        <v>159.10991264777485</v>
      </c>
      <c r="AH54" s="13">
        <f>(AF53*Population!$B$12*Population!M$33)+(AH53*Population!$B$11*Population!M$35)</f>
        <v>159.10991264777485</v>
      </c>
      <c r="AI54" s="14">
        <f>(AG53*Population!$B$12*Population!M$35)+(AI53*Population!$B$11*Population!M$37)</f>
        <v>154.76084924250199</v>
      </c>
      <c r="AJ54" s="13">
        <f>(AH53*Population!$B$12*Population!M$35)+(AJ53*Population!$B$11*Population!M$37)</f>
        <v>154.76084924250199</v>
      </c>
      <c r="AK54" s="14">
        <f>(AI53*Population!$B$12*Population!M$37)+(AK53*Population!$B$11*Population!M$39)</f>
        <v>140.26196780320689</v>
      </c>
      <c r="AL54" s="13">
        <f>(AJ53*Population!$B$12*Population!M$37)+(AL53*Population!$B$11*Population!M$39)</f>
        <v>140.26196780320689</v>
      </c>
      <c r="AM54" s="14">
        <f>(AK53*Population!$B$12*Population!M$39)+(AM53*Population!$B$11*Population!M$41)</f>
        <v>120.05320731356008</v>
      </c>
      <c r="AN54" s="13">
        <f>(AL53*Population!$B$12*Population!M$39)+(AN53*Population!$B$11*Population!M$41)</f>
        <v>120.05320731356008</v>
      </c>
      <c r="AO54" s="15">
        <f>(AM53+AN53)*Population!$B$12*Population!$M$41+AO53*Population!$B$11*Population!$M$43</f>
        <v>194.40159720467298</v>
      </c>
      <c r="AP54" s="5">
        <f>AO53*Population!M$43*Population!$B$12+AP53*Population!$B$11*Population!M$44</f>
        <v>156.12204396474584</v>
      </c>
      <c r="AQ54" s="5">
        <f>AP53*Population!M$44*Population!$B$12+AQ53*Population!$B$11*Population!M$45</f>
        <v>104.12388176598765</v>
      </c>
      <c r="AR54" s="5">
        <f>(AQ53*Population!$B$12+AR53)*Population!M$46</f>
        <v>161.00851587691173</v>
      </c>
    </row>
    <row r="55" spans="1:44">
      <c r="A55">
        <f>A54+Population!$B$2</f>
        <v>52</v>
      </c>
      <c r="B55" s="4">
        <f t="shared" si="4"/>
        <v>2885</v>
      </c>
      <c r="C55" s="54">
        <f t="shared" si="21"/>
        <v>1423</v>
      </c>
      <c r="D55" s="12">
        <f>AD54*Population!$P$32*Population!$C$2+AF54*Population!$P$34*Population!$C$2+AH54*Population!$P$36*Population!$C$2+AJ54*Population!$P$38*Population!$C$2+AL54*Population!$P$40*Population!$C$2+AN53*Population!$P$42*Population!$C$2</f>
        <v>50.283590960520264</v>
      </c>
      <c r="E55" s="12">
        <f>IF(B54&gt;Population!$B$6*Population!$B$15,Population!$B$8,IF(Population!$J$6=1,D55,Population!$B$8*Population!$B$6*0.9/B54))</f>
        <v>35.642754957229528</v>
      </c>
      <c r="F55" s="12">
        <f>IF(B54&gt;Population!$B$6*0.75,Population!$B$8,E55)</f>
        <v>35.642754957229528</v>
      </c>
      <c r="G55" s="15">
        <f>IF(Population!$J$6=1,IF(E55&gt;H54,H54,E55),IF(E55&gt;X54,X54,E55))</f>
        <v>35.642754957229528</v>
      </c>
      <c r="H55" s="15">
        <f t="shared" si="22"/>
        <v>729</v>
      </c>
      <c r="I55" s="15">
        <f t="shared" si="23"/>
        <v>792</v>
      </c>
      <c r="J55" s="12">
        <f t="shared" si="18"/>
        <v>1.0864197530864197</v>
      </c>
      <c r="K55" s="12">
        <f>AA55*Population!$O$29+AB55*Population!$O$30+AC55*Population!$O$31+AD55*Population!$O$32+AE55*Population!$O$33+AF55*Population!$O$34+AG55*Population!$O$35+AH55*Population!$O$36+AI55*Population!$O$37+AJ55*Population!$O$38+AK55*Population!$O$37+AL55*Population!$O$38+AM55*Population!$O$39+AN55*Population!$O$40+AO55*Population!$O$41+AP55*Population!$O$42+AQ55*Population!$O$43+AR55*Population!$O$44</f>
        <v>5.6126076038161603</v>
      </c>
      <c r="L55" s="12">
        <f t="shared" si="7"/>
        <v>4.8892667979738721E-2</v>
      </c>
      <c r="M55" s="12">
        <f t="shared" si="24"/>
        <v>22.124533449061776</v>
      </c>
      <c r="N55" s="12">
        <f t="shared" si="19"/>
        <v>0.27452339688041594</v>
      </c>
      <c r="O55" s="12">
        <f t="shared" si="9"/>
        <v>807.00324730904276</v>
      </c>
      <c r="P55" s="12">
        <f t="shared" si="10"/>
        <v>330</v>
      </c>
      <c r="Q55" s="12">
        <f t="shared" si="11"/>
        <v>312.99837634547862</v>
      </c>
      <c r="R55" s="12">
        <f t="shared" si="12"/>
        <v>161.00851587691173</v>
      </c>
      <c r="S55" s="12">
        <f t="shared" si="25"/>
        <v>5.7884828068474427E-2</v>
      </c>
      <c r="T55" s="12">
        <f t="shared" si="20"/>
        <v>0.88202795109119148</v>
      </c>
      <c r="U55" s="12">
        <f>Population!$B$13*MIN(Y54:Z54)</f>
        <v>21.861626142596123</v>
      </c>
      <c r="V55" s="12">
        <f>X54*Population!$B$14</f>
        <v>3.8404625791473461</v>
      </c>
      <c r="W55" s="12">
        <f>AN54*T54*Population!$B$12</f>
        <v>15.099883742527867</v>
      </c>
      <c r="X55" s="12">
        <f t="shared" si="17"/>
        <v>642.99837634547862</v>
      </c>
      <c r="Y55" s="14">
        <f t="shared" si="26"/>
        <v>86.380910816281244</v>
      </c>
      <c r="Z55" s="13">
        <f t="shared" si="27"/>
        <v>86.380910816281244</v>
      </c>
      <c r="AA55" s="18">
        <f>(G55+Population!$B$11*AA54)*Population!M$29</f>
        <v>251.32149928209247</v>
      </c>
      <c r="AB55" s="18">
        <f>AA54*Population!$B$12*Population!$M$29+AB54*Population!$B$11*Population!$M$30</f>
        <v>261.29494851816997</v>
      </c>
      <c r="AC55" s="14">
        <f>(AB54*Population!$B$12*0.5*Population!$M$30)+(AC54*Population!$B$11*Population!M$31)</f>
        <v>140.10953894809134</v>
      </c>
      <c r="AD55" s="13">
        <f>(AB54*Population!$B$12*0.5*Population!$M$30)+(AD54*Population!$B$11*Population!M$31)</f>
        <v>140.10953894809134</v>
      </c>
      <c r="AE55" s="14">
        <f>(AC54*Population!$B$12*Population!M$31)+(AE54*Population!$B$11*Population!M$33)</f>
        <v>151.52881170541173</v>
      </c>
      <c r="AF55" s="13">
        <f>(AD54*Population!$B$12*Population!M$31)+(AF54*Population!$B$11*Population!M$33)</f>
        <v>151.52881170541173</v>
      </c>
      <c r="AG55" s="14">
        <f>(AE54*Population!$B$12*Population!M$33)+(AG54*Population!$B$11*Population!M$35)</f>
        <v>158.00258042670993</v>
      </c>
      <c r="AH55" s="13">
        <f>(AF54*Population!$B$12*Population!M$33)+(AH54*Population!$B$11*Population!M$35)</f>
        <v>158.00258042670993</v>
      </c>
      <c r="AI55" s="14">
        <f>(AG54*Population!$B$12*Population!M$35)+(AI54*Population!$B$11*Population!M$37)</f>
        <v>155.08381029817565</v>
      </c>
      <c r="AJ55" s="13">
        <f>(AH54*Population!$B$12*Population!M$35)+(AJ54*Population!$B$11*Population!M$37)</f>
        <v>155.08381029817565</v>
      </c>
      <c r="AK55" s="14">
        <f>(AI54*Population!$B$12*Population!M$37)+(AK54*Population!$B$11*Population!M$39)</f>
        <v>142.05995676601498</v>
      </c>
      <c r="AL55" s="13">
        <f>(AJ54*Population!$B$12*Population!M$37)+(AL54*Population!$B$11*Population!M$39)</f>
        <v>142.05995676601498</v>
      </c>
      <c r="AM55" s="14">
        <f>(AK54*Population!$B$12*Population!M$39)+(AM54*Population!$B$11*Population!M$41)</f>
        <v>122.70412796544757</v>
      </c>
      <c r="AN55" s="13">
        <f>(AL54*Population!$B$12*Population!M$39)+(AN54*Population!$B$11*Population!M$41)</f>
        <v>122.70412796544757</v>
      </c>
      <c r="AO55" s="15">
        <f>(AM54+AN54)*Population!$B$12*Population!$M$41+AO54*Population!$B$11*Population!$M$43</f>
        <v>199.65693200866727</v>
      </c>
      <c r="AP55" s="5">
        <f>AO54*Population!M$43*Population!$B$12+AP54*Population!$B$11*Population!M$44</f>
        <v>160.41902007156398</v>
      </c>
      <c r="AQ55" s="5">
        <f>AP54*Population!M$44*Population!$B$12+AQ54*Population!$B$11*Population!M$45</f>
        <v>106.88163124300303</v>
      </c>
      <c r="AR55" s="5">
        <f>(AQ54*Population!$B$12+AR54)*Population!M$46</f>
        <v>166.99772897754872</v>
      </c>
    </row>
    <row r="56" spans="1:44">
      <c r="A56">
        <f>A55+Population!$B$2</f>
        <v>53</v>
      </c>
      <c r="B56" s="4">
        <f t="shared" si="4"/>
        <v>2901</v>
      </c>
      <c r="C56" s="54">
        <f t="shared" si="21"/>
        <v>1424</v>
      </c>
      <c r="D56" s="12">
        <f>AD55*Population!$P$32*Population!$C$2+AF55*Population!$P$34*Population!$C$2+AH55*Population!$P$36*Population!$C$2+AJ55*Population!$P$38*Population!$C$2+AL55*Population!$P$40*Population!$C$2+AN54*Population!$P$42*Population!$C$2</f>
        <v>50.168734039550941</v>
      </c>
      <c r="E56" s="12">
        <f>IF(B55&gt;Population!$B$6*Population!$B$15,Population!$B$8,IF(Population!$J$6=1,D56,Population!$B$8*Population!$B$6*0.9/B55))</f>
        <v>35.642754957229528</v>
      </c>
      <c r="F56" s="12">
        <f>IF(B55&gt;Population!$B$6*0.75,Population!$B$8,E56)</f>
        <v>35.642754957229528</v>
      </c>
      <c r="G56" s="15">
        <f>IF(Population!$J$6=1,IF(E56&gt;H55,H55,E56),IF(E56&gt;X55,X55,E56))</f>
        <v>35.642754957229528</v>
      </c>
      <c r="H56" s="15">
        <f t="shared" si="22"/>
        <v>730</v>
      </c>
      <c r="I56" s="15">
        <f t="shared" si="23"/>
        <v>788</v>
      </c>
      <c r="J56" s="12">
        <f t="shared" si="18"/>
        <v>1.0794520547945206</v>
      </c>
      <c r="K56" s="12">
        <f>AA56*Population!$O$29+AB56*Population!$O$30+AC56*Population!$O$31+AD56*Population!$O$32+AE56*Population!$O$33+AF56*Population!$O$34+AG56*Population!$O$35+AH56*Population!$O$36+AI56*Population!$O$37+AJ56*Population!$O$38+AK56*Population!$O$37+AL56*Population!$O$38+AM56*Population!$O$39+AN56*Population!$O$40+AO56*Population!$O$41+AP56*Population!$O$42+AQ56*Population!$O$43+AR56*Population!$O$44</f>
        <v>5.7006620147806411</v>
      </c>
      <c r="L56" s="12">
        <f t="shared" si="7"/>
        <v>4.882569172223223E-2</v>
      </c>
      <c r="M56" s="12">
        <f t="shared" si="24"/>
        <v>21.98828334961172</v>
      </c>
      <c r="N56" s="12">
        <f t="shared" si="19"/>
        <v>0.27163047225094794</v>
      </c>
      <c r="O56" s="12">
        <f t="shared" si="9"/>
        <v>822.45119258270347</v>
      </c>
      <c r="P56" s="12">
        <f t="shared" si="10"/>
        <v>329</v>
      </c>
      <c r="Q56" s="12">
        <f t="shared" si="11"/>
        <v>316.27440370864826</v>
      </c>
      <c r="R56" s="12">
        <f t="shared" si="12"/>
        <v>166.99772897754872</v>
      </c>
      <c r="S56" s="12">
        <f t="shared" si="25"/>
        <v>5.9654749455844161E-2</v>
      </c>
      <c r="T56" s="12">
        <f t="shared" si="20"/>
        <v>0.88393753932691543</v>
      </c>
      <c r="U56" s="12">
        <f>Population!$B$13*MIN(Y55:Z55)</f>
        <v>21.595227704070311</v>
      </c>
      <c r="V56" s="12">
        <f>X55*Population!$B$14</f>
        <v>3.857990258072872</v>
      </c>
      <c r="W56" s="12">
        <f>AN55*T55*Population!$B$12</f>
        <v>15.461210082827868</v>
      </c>
      <c r="X56" s="12">
        <f t="shared" si="17"/>
        <v>645.27440370864826</v>
      </c>
      <c r="Y56" s="14">
        <f t="shared" si="26"/>
        <v>85.352071942354428</v>
      </c>
      <c r="Z56" s="13">
        <f t="shared" si="27"/>
        <v>85.352071942354428</v>
      </c>
      <c r="AA56" s="18">
        <f>(G56+Population!$B$11*AA55)*Population!M$29</f>
        <v>250.959252073046</v>
      </c>
      <c r="AB56" s="18">
        <f>AA55*Population!$B$12*Population!$M$29+AB55*Population!$B$11*Population!$M$30</f>
        <v>259.80520081170062</v>
      </c>
      <c r="AC56" s="14">
        <f>(AB55*Population!$B$12*0.5*Population!$M$30)+(AC55*Population!$B$11*Population!M$31)</f>
        <v>138.63916656031708</v>
      </c>
      <c r="AD56" s="13">
        <f>(AB55*Population!$B$12*0.5*Population!$M$30)+(AD55*Population!$B$11*Population!M$31)</f>
        <v>138.63916656031708</v>
      </c>
      <c r="AE56" s="14">
        <f>(AC55*Population!$B$12*Population!M$31)+(AE55*Population!$B$11*Population!M$33)</f>
        <v>149.75463472065894</v>
      </c>
      <c r="AF56" s="13">
        <f>(AD55*Population!$B$12*Population!M$31)+(AF55*Population!$B$11*Population!M$33)</f>
        <v>149.75463472065894</v>
      </c>
      <c r="AG56" s="14">
        <f>(AE55*Population!$B$12*Population!M$33)+(AG55*Population!$B$11*Population!M$35)</f>
        <v>156.79709965451434</v>
      </c>
      <c r="AH56" s="13">
        <f>(AF55*Population!$B$12*Population!M$33)+(AH55*Population!$B$11*Population!M$35)</f>
        <v>156.79709965451434</v>
      </c>
      <c r="AI56" s="14">
        <f>(AG55*Population!$B$12*Population!M$35)+(AI55*Population!$B$11*Population!M$37)</f>
        <v>155.20221596667278</v>
      </c>
      <c r="AJ56" s="13">
        <f>(AH55*Population!$B$12*Population!M$35)+(AJ55*Population!$B$11*Population!M$37)</f>
        <v>155.20221596667278</v>
      </c>
      <c r="AK56" s="14">
        <f>(AI55*Population!$B$12*Population!M$37)+(AK55*Population!$B$11*Population!M$39)</f>
        <v>143.6441798966498</v>
      </c>
      <c r="AL56" s="13">
        <f>(AJ55*Population!$B$12*Population!M$37)+(AL55*Population!$B$11*Population!M$39)</f>
        <v>143.6441798966498</v>
      </c>
      <c r="AM56" s="14">
        <f>(AK55*Population!$B$12*Population!M$39)+(AM55*Population!$B$11*Population!M$41)</f>
        <v>125.22834541250681</v>
      </c>
      <c r="AN56" s="13">
        <f>(AL55*Population!$B$12*Population!M$39)+(AN55*Population!$B$11*Population!M$41)</f>
        <v>125.22834541250681</v>
      </c>
      <c r="AO56" s="15">
        <f>(AM55+AN55)*Population!$B$12*Population!$M$41+AO55*Population!$B$11*Population!$M$43</f>
        <v>204.88479822701919</v>
      </c>
      <c r="AP56" s="5">
        <f>AO55*Population!M$43*Population!$B$12+AP55*Population!$B$11*Population!M$44</f>
        <v>164.82075890112503</v>
      </c>
      <c r="AQ56" s="5">
        <f>AP55*Population!M$44*Population!$B$12+AQ55*Population!$B$11*Population!M$45</f>
        <v>109.73540136738346</v>
      </c>
      <c r="AR56" s="5">
        <f>(AQ55*Population!$B$12+AR55)*Population!M$46</f>
        <v>173.0584281714039</v>
      </c>
    </row>
    <row r="57" spans="1:44">
      <c r="A57">
        <f>A56+Population!$B$2</f>
        <v>54</v>
      </c>
      <c r="B57" s="4">
        <f t="shared" si="4"/>
        <v>2917</v>
      </c>
      <c r="C57" s="54">
        <f t="shared" si="21"/>
        <v>1427</v>
      </c>
      <c r="D57" s="12">
        <f>AD56*Population!$P$32*Population!$C$2+AF56*Population!$P$34*Population!$C$2+AH56*Population!$P$36*Population!$C$2+AJ56*Population!$P$38*Population!$C$2+AL56*Population!$P$40*Population!$C$2+AN55*Population!$P$42*Population!$C$2</f>
        <v>50.022118556807087</v>
      </c>
      <c r="E57" s="12">
        <f>IF(B56&gt;Population!$B$6*Population!$B$15,Population!$B$8,IF(Population!$J$6=1,D57,Population!$B$8*Population!$B$6*0.9/B56))</f>
        <v>35.642754957229528</v>
      </c>
      <c r="F57" s="12">
        <f>IF(B56&gt;Population!$B$6*0.75,Population!$B$8,E57)</f>
        <v>35.642754957229528</v>
      </c>
      <c r="G57" s="15">
        <f>IF(Population!$J$6=1,IF(E57&gt;H56,H56,E57),IF(E57&gt;X56,X56,E57))</f>
        <v>35.642754957229528</v>
      </c>
      <c r="H57" s="15">
        <f t="shared" si="22"/>
        <v>731</v>
      </c>
      <c r="I57" s="15">
        <f t="shared" si="23"/>
        <v>783</v>
      </c>
      <c r="J57" s="12">
        <f t="shared" si="18"/>
        <v>1.0711354309165526</v>
      </c>
      <c r="K57" s="12">
        <f>AA57*Population!$O$29+AB57*Population!$O$30+AC57*Population!$O$31+AD57*Population!$O$32+AE57*Population!$O$33+AF57*Population!$O$34+AG57*Population!$O$35+AH57*Population!$O$36+AI57*Population!$O$37+AJ57*Population!$O$38+AK57*Population!$O$37+AL57*Population!$O$38+AM57*Population!$O$39+AN57*Population!$O$40+AO57*Population!$O$41+AP57*Population!$O$42+AQ57*Population!$O$43+AR57*Population!$O$44</f>
        <v>5.7879930935278345</v>
      </c>
      <c r="L57" s="12">
        <f t="shared" si="7"/>
        <v>4.8758898710300314E-2</v>
      </c>
      <c r="M57" s="12">
        <f t="shared" si="24"/>
        <v>21.841416218675651</v>
      </c>
      <c r="N57" s="12">
        <f t="shared" si="19"/>
        <v>0.26842646554679467</v>
      </c>
      <c r="O57" s="12">
        <f t="shared" si="9"/>
        <v>840.14531674114778</v>
      </c>
      <c r="P57" s="12">
        <f t="shared" si="10"/>
        <v>327</v>
      </c>
      <c r="Q57" s="12">
        <f t="shared" si="11"/>
        <v>319.92734162942611</v>
      </c>
      <c r="R57" s="12">
        <f t="shared" si="12"/>
        <v>173.0584281714039</v>
      </c>
      <c r="S57" s="12">
        <f t="shared" si="25"/>
        <v>6.1432988077359099E-2</v>
      </c>
      <c r="T57" s="12">
        <f t="shared" si="20"/>
        <v>0.88498952343286741</v>
      </c>
      <c r="U57" s="12">
        <f>Population!$B$13*MIN(Y56:Z56)</f>
        <v>21.338017985588607</v>
      </c>
      <c r="V57" s="12">
        <f>X56*Population!$B$14</f>
        <v>3.8716464222518896</v>
      </c>
      <c r="W57" s="12">
        <f>AN56*T56*Population!$B$12</f>
        <v>15.813433642558898</v>
      </c>
      <c r="X57" s="12">
        <f t="shared" si="17"/>
        <v>646.92734162942611</v>
      </c>
      <c r="Y57" s="14">
        <f t="shared" si="26"/>
        <v>84.372449126568767</v>
      </c>
      <c r="Z57" s="13">
        <f t="shared" si="27"/>
        <v>84.372449126568767</v>
      </c>
      <c r="AA57" s="18">
        <f>(G57+Population!$B$11*AA56)*Population!M$29</f>
        <v>250.64888052732064</v>
      </c>
      <c r="AB57" s="18">
        <f>AA56*Population!$B$12*Population!$M$29+AB56*Population!$B$11*Population!$M$30</f>
        <v>258.47683292368748</v>
      </c>
      <c r="AC57" s="14">
        <f>(AB56*Population!$B$12*0.5*Population!$M$30)+(AC56*Population!$B$11*Population!M$31)</f>
        <v>137.27366184689566</v>
      </c>
      <c r="AD57" s="13">
        <f>(AB56*Population!$B$12*0.5*Population!$M$30)+(AD56*Population!$B$11*Population!M$31)</f>
        <v>137.27366184689566</v>
      </c>
      <c r="AE57" s="14">
        <f>(AC56*Population!$B$12*Population!M$31)+(AE56*Population!$B$11*Population!M$33)</f>
        <v>148.025507822458</v>
      </c>
      <c r="AF57" s="13">
        <f>(AD56*Population!$B$12*Population!M$31)+(AF56*Population!$B$11*Population!M$33)</f>
        <v>148.025507822458</v>
      </c>
      <c r="AG57" s="14">
        <f>(AE56*Population!$B$12*Population!M$33)+(AG56*Population!$B$11*Population!M$35)</f>
        <v>155.51260198469089</v>
      </c>
      <c r="AH57" s="13">
        <f>(AF56*Population!$B$12*Population!M$33)+(AH56*Population!$B$11*Population!M$35)</f>
        <v>155.51260198469089</v>
      </c>
      <c r="AI57" s="14">
        <f>(AG56*Population!$B$12*Population!M$35)+(AI56*Population!$B$11*Population!M$37)</f>
        <v>155.13163078503976</v>
      </c>
      <c r="AJ57" s="13">
        <f>(AH56*Population!$B$12*Population!M$35)+(AJ56*Population!$B$11*Population!M$37)</f>
        <v>155.13163078503976</v>
      </c>
      <c r="AK57" s="14">
        <f>(AI56*Population!$B$12*Population!M$37)+(AK56*Population!$B$11*Population!M$39)</f>
        <v>145.01636087707232</v>
      </c>
      <c r="AL57" s="13">
        <f>(AJ56*Population!$B$12*Population!M$37)+(AL56*Population!$B$11*Population!M$39)</f>
        <v>145.01636087707232</v>
      </c>
      <c r="AM57" s="14">
        <f>(AK56*Population!$B$12*Population!M$39)+(AM56*Population!$B$11*Population!M$41)</f>
        <v>127.61368928673387</v>
      </c>
      <c r="AN57" s="13">
        <f>(AL56*Population!$B$12*Population!M$39)+(AN56*Population!$B$11*Population!M$41)</f>
        <v>127.61368928673387</v>
      </c>
      <c r="AO57" s="15">
        <f>(AM56+AN56)*Population!$B$12*Population!$M$41+AO56*Population!$B$11*Population!$M$43</f>
        <v>210.0531592311242</v>
      </c>
      <c r="AP57" s="5">
        <f>AO56*Population!M$43*Population!$B$12+AP56*Population!$B$11*Population!M$44</f>
        <v>169.30774769063211</v>
      </c>
      <c r="AQ57" s="5">
        <f>AP56*Population!M$44*Population!$B$12+AQ56*Population!$B$11*Population!M$45</f>
        <v>112.68217453441591</v>
      </c>
      <c r="AR57" s="5">
        <f>(AQ56*Population!$B$12+AR56)*Population!M$46</f>
        <v>179.20002622165649</v>
      </c>
    </row>
    <row r="58" spans="1:44">
      <c r="A58">
        <f>A57+Population!$B$2</f>
        <v>55</v>
      </c>
      <c r="B58" s="4">
        <f t="shared" si="4"/>
        <v>2932</v>
      </c>
      <c r="C58" s="54">
        <f t="shared" si="21"/>
        <v>1427</v>
      </c>
      <c r="D58" s="12">
        <f>AD57*Population!$P$32*Population!$C$2+AF57*Population!$P$34*Population!$C$2+AH57*Population!$P$36*Population!$C$2+AJ57*Population!$P$38*Population!$C$2+AL57*Population!$P$40*Population!$C$2+AN56*Population!$P$42*Population!$C$2</f>
        <v>49.847317596673136</v>
      </c>
      <c r="E58" s="12">
        <f>IF(B57&gt;Population!$B$6*Population!$B$15,Population!$B$8,IF(Population!$J$6=1,D58,Population!$B$8*Population!$B$6*0.9/B57))</f>
        <v>35.642754957229528</v>
      </c>
      <c r="F58" s="12">
        <f>IF(B57&gt;Population!$B$6*0.75,Population!$B$8,E58)</f>
        <v>35.642754957229528</v>
      </c>
      <c r="G58" s="15">
        <f>IF(Population!$J$6=1,IF(E58&gt;H57,H57,E58),IF(E58&gt;X57,X57,E58))</f>
        <v>35.642754957229528</v>
      </c>
      <c r="H58" s="15">
        <f t="shared" si="22"/>
        <v>731</v>
      </c>
      <c r="I58" s="15">
        <f t="shared" si="23"/>
        <v>779</v>
      </c>
      <c r="J58" s="12">
        <f t="shared" si="18"/>
        <v>1.0656634746922025</v>
      </c>
      <c r="K58" s="12">
        <f>AA58*Population!$O$29+AB58*Population!$O$30+AC58*Population!$O$31+AD58*Population!$O$32+AE58*Population!$O$33+AF58*Population!$O$34+AG58*Population!$O$35+AH58*Population!$O$36+AI58*Population!$O$37+AJ58*Population!$O$38+AK58*Population!$O$37+AL58*Population!$O$38+AM58*Population!$O$39+AN58*Population!$O$40+AO58*Population!$O$41+AP58*Population!$O$42+AQ58*Population!$O$43+AR58*Population!$O$44</f>
        <v>5.8746333756987497</v>
      </c>
      <c r="L58" s="12">
        <f t="shared" si="7"/>
        <v>4.8758898710300314E-2</v>
      </c>
      <c r="M58" s="12">
        <f t="shared" si="24"/>
        <v>21.685950404676429</v>
      </c>
      <c r="N58" s="12">
        <f t="shared" si="19"/>
        <v>0.26568894952251021</v>
      </c>
      <c r="O58" s="12">
        <f t="shared" si="9"/>
        <v>856.98987115323825</v>
      </c>
      <c r="P58" s="12">
        <f t="shared" si="10"/>
        <v>325</v>
      </c>
      <c r="Q58" s="12">
        <f t="shared" si="11"/>
        <v>323.00506442338087</v>
      </c>
      <c r="R58" s="12">
        <f t="shared" si="12"/>
        <v>179.20002622165649</v>
      </c>
      <c r="S58" s="12">
        <f t="shared" si="25"/>
        <v>6.3243878257430622E-2</v>
      </c>
      <c r="T58" s="12">
        <f t="shared" si="20"/>
        <v>0.88646383642049364</v>
      </c>
      <c r="U58" s="12">
        <f>Population!$B$13*MIN(Y57:Z57)</f>
        <v>21.093112281642192</v>
      </c>
      <c r="V58" s="12">
        <f>X57*Population!$B$14</f>
        <v>3.8815640497765567</v>
      </c>
      <c r="W58" s="12">
        <f>AN57*T57*Population!$B$12</f>
        <v>16.133825437910946</v>
      </c>
      <c r="X58" s="12">
        <f t="shared" si="17"/>
        <v>648.00506442338087</v>
      </c>
      <c r="Y58" s="14">
        <f t="shared" si="26"/>
        <v>83.430081263834154</v>
      </c>
      <c r="Z58" s="13">
        <f t="shared" si="27"/>
        <v>83.430081263834154</v>
      </c>
      <c r="AA58" s="18">
        <f>(G58+Population!$B$11*AA57)*Population!M$29</f>
        <v>250.38295578313966</v>
      </c>
      <c r="AB58" s="18">
        <f>AA57*Population!$B$12*Population!$M$29+AB57*Population!$B$11*Population!$M$30</f>
        <v>257.29416727135782</v>
      </c>
      <c r="AC58" s="14">
        <f>(AB57*Population!$B$12*0.5*Population!$M$30)+(AC57*Population!$B$11*Population!M$31)</f>
        <v>136.0094825858676</v>
      </c>
      <c r="AD58" s="13">
        <f>(AB57*Population!$B$12*0.5*Population!$M$30)+(AD57*Population!$B$11*Population!M$31)</f>
        <v>136.0094825858676</v>
      </c>
      <c r="AE58" s="14">
        <f>(AC57*Population!$B$12*Population!M$31)+(AE57*Population!$B$11*Population!M$33)</f>
        <v>146.34992530402496</v>
      </c>
      <c r="AF58" s="13">
        <f>(AD57*Population!$B$12*Population!M$31)+(AF57*Population!$B$11*Population!M$33)</f>
        <v>146.34992530402496</v>
      </c>
      <c r="AG58" s="14">
        <f>(AE57*Population!$B$12*Population!M$33)+(AG57*Population!$B$11*Population!M$35)</f>
        <v>154.16693517811214</v>
      </c>
      <c r="AH58" s="13">
        <f>(AF57*Population!$B$12*Population!M$33)+(AH57*Population!$B$11*Population!M$35)</f>
        <v>154.16693517811214</v>
      </c>
      <c r="AI58" s="14">
        <f>(AG57*Population!$B$12*Population!M$35)+(AI57*Population!$B$11*Population!M$37)</f>
        <v>154.88809801606789</v>
      </c>
      <c r="AJ58" s="13">
        <f>(AH57*Population!$B$12*Population!M$35)+(AJ57*Population!$B$11*Population!M$37)</f>
        <v>154.88809801606789</v>
      </c>
      <c r="AK58" s="14">
        <f>(AI57*Population!$B$12*Population!M$37)+(AK57*Population!$B$11*Population!M$39)</f>
        <v>146.1801935484375</v>
      </c>
      <c r="AL58" s="13">
        <f>(AJ57*Population!$B$12*Population!M$37)+(AL57*Population!$B$11*Population!M$39)</f>
        <v>146.1801935484375</v>
      </c>
      <c r="AM58" s="14">
        <f>(AK57*Population!$B$12*Population!M$39)+(AM57*Population!$B$11*Population!M$41)</f>
        <v>129.84999364057262</v>
      </c>
      <c r="AN58" s="13">
        <f>(AL57*Population!$B$12*Population!M$39)+(AN57*Population!$B$11*Population!M$41)</f>
        <v>129.84999364057262</v>
      </c>
      <c r="AO58" s="15">
        <f>(AM57+AN57)*Population!$B$12*Population!$M$41+AO57*Population!$B$11*Population!$M$43</f>
        <v>215.13128356668543</v>
      </c>
      <c r="AP58" s="5">
        <f>AO57*Population!M$43*Population!$B$12+AP57*Population!$B$11*Population!M$44</f>
        <v>173.85883899227841</v>
      </c>
      <c r="AQ58" s="5">
        <f>AP57*Population!M$44*Population!$B$12+AQ57*Population!$B$11*Population!M$45</f>
        <v>115.71672756878549</v>
      </c>
      <c r="AR58" s="5">
        <f>(AQ57*Population!$B$12+AR57)*Population!M$46</f>
        <v>185.43105105078658</v>
      </c>
    </row>
    <row r="59" spans="1:44">
      <c r="A59">
        <f>A58+Population!$B$2</f>
        <v>56</v>
      </c>
      <c r="B59" s="4">
        <f t="shared" si="4"/>
        <v>2947</v>
      </c>
      <c r="C59" s="54">
        <f t="shared" si="21"/>
        <v>1426</v>
      </c>
      <c r="D59" s="12">
        <f>AD58*Population!$P$32*Population!$C$2+AF58*Population!$P$34*Population!$C$2+AH58*Population!$P$36*Population!$C$2+AJ58*Population!$P$38*Population!$C$2+AL58*Population!$P$40*Population!$C$2+AN57*Population!$P$42*Population!$C$2</f>
        <v>49.647772741092425</v>
      </c>
      <c r="E59" s="12">
        <f>IF(B58&gt;Population!$B$6*Population!$B$15,Population!$B$8,IF(Population!$J$6=1,D59,Population!$B$8*Population!$B$6*0.9/B58))</f>
        <v>35.642754957229528</v>
      </c>
      <c r="F59" s="12">
        <f>IF(B58&gt;Population!$B$6*0.75,Population!$B$8,E59)</f>
        <v>35.642754957229528</v>
      </c>
      <c r="G59" s="15">
        <f>IF(Population!$J$6=1,IF(E59&gt;H58,H58,E59),IF(E59&gt;X58,X58,E59))</f>
        <v>35.642754957229528</v>
      </c>
      <c r="H59" s="15">
        <f t="shared" si="22"/>
        <v>731</v>
      </c>
      <c r="I59" s="15">
        <f t="shared" si="23"/>
        <v>776</v>
      </c>
      <c r="J59" s="12">
        <f t="shared" si="18"/>
        <v>1.0615595075239399</v>
      </c>
      <c r="K59" s="12">
        <f>AA59*Population!$O$29+AB59*Population!$O$30+AC59*Population!$O$31+AD59*Population!$O$32+AE59*Population!$O$33+AF59*Population!$O$34+AG59*Population!$O$35+AH59*Population!$O$36+AI59*Population!$O$37+AJ59*Population!$O$38+AK59*Population!$O$37+AL59*Population!$O$38+AM59*Population!$O$39+AN59*Population!$O$40+AO59*Population!$O$41+AP59*Population!$O$42+AQ59*Population!$O$43+AR59*Population!$O$44</f>
        <v>5.9605996205231744</v>
      </c>
      <c r="L59" s="12">
        <f t="shared" si="7"/>
        <v>4.8758898710300314E-2</v>
      </c>
      <c r="M59" s="12">
        <f t="shared" si="24"/>
        <v>21.52376776986863</v>
      </c>
      <c r="N59" s="12">
        <f t="shared" si="19"/>
        <v>0.26331862911435355</v>
      </c>
      <c r="O59" s="12">
        <f t="shared" si="9"/>
        <v>873.93869801491587</v>
      </c>
      <c r="P59" s="12">
        <f t="shared" si="10"/>
        <v>324</v>
      </c>
      <c r="Q59" s="12">
        <f t="shared" si="11"/>
        <v>324.53065099254206</v>
      </c>
      <c r="R59" s="12">
        <f t="shared" si="12"/>
        <v>185.43105105078658</v>
      </c>
      <c r="S59" s="12">
        <f t="shared" si="25"/>
        <v>6.5069186046532376E-2</v>
      </c>
      <c r="T59" s="12">
        <f t="shared" si="20"/>
        <v>0.88718283309513279</v>
      </c>
      <c r="U59" s="12">
        <f>Population!$B$13*MIN(Y58:Z58)</f>
        <v>20.857520315958539</v>
      </c>
      <c r="V59" s="12">
        <f>X58*Population!$B$14</f>
        <v>3.8880303865402852</v>
      </c>
      <c r="W59" s="12">
        <f>AN58*T58*Population!$B$12</f>
        <v>16.443903360256957</v>
      </c>
      <c r="X59" s="12">
        <f t="shared" si="17"/>
        <v>648.53065099254206</v>
      </c>
      <c r="Y59" s="14">
        <f t="shared" si="26"/>
        <v>82.538685863605565</v>
      </c>
      <c r="Z59" s="13">
        <f t="shared" si="27"/>
        <v>82.538685863605565</v>
      </c>
      <c r="AA59" s="18">
        <f>(G59+Population!$B$11*AA58)*Population!M$29</f>
        <v>250.15511282993839</v>
      </c>
      <c r="AB59" s="18">
        <f>AA58*Population!$B$12*Population!$M$29+AB58*Population!$B$11*Population!$M$30</f>
        <v>256.24270811506034</v>
      </c>
      <c r="AC59" s="14">
        <f>(AB58*Population!$B$12*0.5*Population!$M$30)+(AC58*Population!$B$11*Population!M$31)</f>
        <v>134.8424759050915</v>
      </c>
      <c r="AD59" s="13">
        <f>(AB58*Population!$B$12*0.5*Population!$M$30)+(AD58*Population!$B$11*Population!M$31)</f>
        <v>134.8424759050915</v>
      </c>
      <c r="AE59" s="14">
        <f>(AC58*Population!$B$12*Population!M$31)+(AE58*Population!$B$11*Population!M$33)</f>
        <v>144.73465550003209</v>
      </c>
      <c r="AF59" s="13">
        <f>(AD58*Population!$B$12*Population!M$31)+(AF58*Population!$B$11*Population!M$33)</f>
        <v>144.73465550003209</v>
      </c>
      <c r="AG59" s="14">
        <f>(AE58*Population!$B$12*Population!M$33)+(AG58*Population!$B$11*Population!M$35)</f>
        <v>152.77658025723304</v>
      </c>
      <c r="AH59" s="13">
        <f>(AF58*Population!$B$12*Population!M$33)+(AH58*Population!$B$11*Population!M$35)</f>
        <v>152.77658025723304</v>
      </c>
      <c r="AI59" s="14">
        <f>(AG58*Population!$B$12*Population!M$35)+(AI58*Population!$B$11*Population!M$37)</f>
        <v>154.48788740997605</v>
      </c>
      <c r="AJ59" s="13">
        <f>(AH58*Population!$B$12*Population!M$35)+(AJ58*Population!$B$11*Population!M$37)</f>
        <v>154.48788740997605</v>
      </c>
      <c r="AK59" s="14">
        <f>(AI58*Population!$B$12*Population!M$37)+(AK58*Population!$B$11*Population!M$39)</f>
        <v>147.14112547554629</v>
      </c>
      <c r="AL59" s="13">
        <f>(AJ58*Population!$B$12*Population!M$37)+(AL58*Population!$B$11*Population!M$39)</f>
        <v>147.14112547554629</v>
      </c>
      <c r="AM59" s="14">
        <f>(AK58*Population!$B$12*Population!M$39)+(AM58*Population!$B$11*Population!M$41)</f>
        <v>131.9290882133601</v>
      </c>
      <c r="AN59" s="13">
        <f>(AL58*Population!$B$12*Population!M$39)+(AN58*Population!$B$11*Population!M$41)</f>
        <v>131.9290882133601</v>
      </c>
      <c r="AO59" s="15">
        <f>(AM58+AN58)*Population!$B$12*Population!$M$41+AO58*Population!$B$11*Population!$M$43</f>
        <v>220.0901219815039</v>
      </c>
      <c r="AP59" s="5">
        <f>AO58*Population!M$43*Population!$B$12+AP58*Population!$B$11*Population!M$44</f>
        <v>178.45167945976192</v>
      </c>
      <c r="AQ59" s="5">
        <f>AP58*Population!M$44*Population!$B$12+AQ58*Population!$B$11*Population!M$45</f>
        <v>118.8318104802353</v>
      </c>
      <c r="AR59" s="5">
        <f>(AQ58*Population!$B$12+AR58)*Population!M$46</f>
        <v>191.75889127913089</v>
      </c>
    </row>
    <row r="60" spans="1:44">
      <c r="A60">
        <f>A59+Population!$B$2</f>
        <v>57</v>
      </c>
      <c r="B60" s="4">
        <f t="shared" si="4"/>
        <v>2961</v>
      </c>
      <c r="C60" s="54">
        <f t="shared" si="21"/>
        <v>1425</v>
      </c>
      <c r="D60" s="12">
        <f>AD59*Population!$P$32*Population!$C$2+AF59*Population!$P$34*Population!$C$2+AH59*Population!$P$36*Population!$C$2+AJ59*Population!$P$38*Population!$C$2+AL59*Population!$P$40*Population!$C$2+AN58*Population!$P$42*Population!$C$2</f>
        <v>49.426775003945771</v>
      </c>
      <c r="E60" s="12">
        <f>IF(B59&gt;Population!$B$6*Population!$B$15,Population!$B$8,IF(Population!$J$6=1,D60,Population!$B$8*Population!$B$6*0.9/B59))</f>
        <v>35.642754957229528</v>
      </c>
      <c r="F60" s="12">
        <f>IF(B59&gt;Population!$B$6*0.75,Population!$B$8,E60)</f>
        <v>35.642754957229528</v>
      </c>
      <c r="G60" s="15">
        <f>IF(Population!$J$6=1,IF(E60&gt;H59,H59,E60),IF(E60&gt;X59,X59,E60))</f>
        <v>35.642754957229528</v>
      </c>
      <c r="H60" s="15">
        <f t="shared" si="22"/>
        <v>730</v>
      </c>
      <c r="I60" s="15">
        <f t="shared" si="23"/>
        <v>772</v>
      </c>
      <c r="J60" s="12">
        <f t="shared" si="18"/>
        <v>1.0575342465753426</v>
      </c>
      <c r="K60" s="12">
        <f>AA60*Population!$O$29+AB60*Population!$O$30+AC60*Population!$O$31+AD60*Population!$O$32+AE60*Population!$O$33+AF60*Population!$O$34+AG60*Population!$O$35+AH60*Population!$O$36+AI60*Population!$O$37+AJ60*Population!$O$38+AK60*Population!$O$37+AL60*Population!$O$38+AM60*Population!$O$39+AN60*Population!$O$40+AO60*Population!$O$41+AP60*Population!$O$42+AQ60*Population!$O$43+AR60*Population!$O$44</f>
        <v>6.0458926560507127</v>
      </c>
      <c r="L60" s="12">
        <f t="shared" si="7"/>
        <v>4.882569172223223E-2</v>
      </c>
      <c r="M60" s="12">
        <f t="shared" si="24"/>
        <v>21.356608185019084</v>
      </c>
      <c r="N60" s="12">
        <f t="shared" si="19"/>
        <v>0.2607227288078352</v>
      </c>
      <c r="O60" s="12">
        <f t="shared" si="9"/>
        <v>891.89321496610546</v>
      </c>
      <c r="P60" s="12">
        <f t="shared" si="10"/>
        <v>322</v>
      </c>
      <c r="Q60" s="12">
        <f t="shared" si="11"/>
        <v>326.55339251694727</v>
      </c>
      <c r="R60" s="12">
        <f t="shared" si="12"/>
        <v>191.75889127913089</v>
      </c>
      <c r="S60" s="12">
        <f t="shared" si="25"/>
        <v>6.6933326195625906E-2</v>
      </c>
      <c r="T60" s="12">
        <f t="shared" si="20"/>
        <v>0.88842930481773597</v>
      </c>
      <c r="U60" s="12">
        <f>Population!$B$13*MIN(Y59:Z59)</f>
        <v>20.634671465901391</v>
      </c>
      <c r="V60" s="12">
        <f>X59*Population!$B$14</f>
        <v>3.8911839059552524</v>
      </c>
      <c r="W60" s="12">
        <f>AN59*T59*Population!$B$12</f>
        <v>16.720746035540927</v>
      </c>
      <c r="X60" s="12">
        <f t="shared" si="17"/>
        <v>648.55339251694727</v>
      </c>
      <c r="Y60" s="14">
        <f t="shared" si="26"/>
        <v>81.686276290242631</v>
      </c>
      <c r="Z60" s="13">
        <f t="shared" si="27"/>
        <v>81.686276290242631</v>
      </c>
      <c r="AA60" s="18">
        <f>(G60+Population!$B$11*AA59)*Population!M$29</f>
        <v>249.95989815939927</v>
      </c>
      <c r="AB60" s="18">
        <f>AA59*Population!$B$12*Population!$M$29+AB59*Population!$B$11*Population!$M$30</f>
        <v>255.309124412648</v>
      </c>
      <c r="AC60" s="14">
        <f>(AB59*Population!$B$12*0.5*Population!$M$30)+(AC59*Population!$B$11*Population!M$31)</f>
        <v>133.76805041517014</v>
      </c>
      <c r="AD60" s="13">
        <f>(AB59*Population!$B$12*0.5*Population!$M$30)+(AD59*Population!$B$11*Population!M$31)</f>
        <v>133.76805041517014</v>
      </c>
      <c r="AE60" s="14">
        <f>(AC59*Population!$B$12*Population!M$31)+(AE59*Population!$B$11*Population!M$33)</f>
        <v>143.18490160937105</v>
      </c>
      <c r="AF60" s="13">
        <f>(AD59*Population!$B$12*Population!M$31)+(AF59*Population!$B$11*Population!M$33)</f>
        <v>143.18490160937105</v>
      </c>
      <c r="AG60" s="14">
        <f>(AE59*Population!$B$12*Population!M$33)+(AG59*Population!$B$11*Population!M$35)</f>
        <v>151.35660267316791</v>
      </c>
      <c r="AH60" s="13">
        <f>(AF59*Population!$B$12*Population!M$33)+(AH59*Population!$B$11*Population!M$35)</f>
        <v>151.35660267316791</v>
      </c>
      <c r="AI60" s="14">
        <f>(AG59*Population!$B$12*Population!M$35)+(AI59*Population!$B$11*Population!M$37)</f>
        <v>153.94726760286179</v>
      </c>
      <c r="AJ60" s="13">
        <f>(AH59*Population!$B$12*Population!M$35)+(AJ59*Population!$B$11*Population!M$37)</f>
        <v>153.94726760286179</v>
      </c>
      <c r="AK60" s="14">
        <f>(AI59*Population!$B$12*Population!M$37)+(AK59*Population!$B$11*Population!M$39)</f>
        <v>147.90613682199265</v>
      </c>
      <c r="AL60" s="13">
        <f>(AJ59*Population!$B$12*Population!M$37)+(AL59*Population!$B$11*Population!M$39)</f>
        <v>147.90613682199265</v>
      </c>
      <c r="AM60" s="14">
        <f>(AK59*Population!$B$12*Population!M$39)+(AM59*Population!$B$11*Population!M$41)</f>
        <v>133.84476009979656</v>
      </c>
      <c r="AN60" s="13">
        <f>(AL59*Population!$B$12*Population!M$39)+(AN59*Population!$B$11*Population!M$41)</f>
        <v>133.84476009979656</v>
      </c>
      <c r="AO60" s="15">
        <f>(AM59+AN59)*Population!$B$12*Population!$M$41+AO59*Population!$B$11*Population!$M$43</f>
        <v>224.90262575868701</v>
      </c>
      <c r="AP60" s="5">
        <f>AO59*Population!M$43*Population!$B$12+AP59*Population!$B$11*Population!M$44</f>
        <v>183.06312818560141</v>
      </c>
      <c r="AQ60" s="5">
        <f>AP59*Population!M$44*Population!$B$12+AQ59*Population!$B$11*Population!M$45</f>
        <v>122.01835275318879</v>
      </c>
      <c r="AR60" s="5">
        <f>(AQ59*Population!$B$12+AR59)*Population!M$46</f>
        <v>198.18957886524831</v>
      </c>
    </row>
    <row r="61" spans="1:44">
      <c r="A61">
        <f>A60+Population!$B$2</f>
        <v>58</v>
      </c>
      <c r="B61" s="4">
        <f t="shared" si="4"/>
        <v>2975</v>
      </c>
      <c r="C61" s="54">
        <f t="shared" si="21"/>
        <v>1423</v>
      </c>
      <c r="D61" s="12">
        <f>AD60*Population!$P$32*Population!$C$2+AF60*Population!$P$34*Population!$C$2+AH60*Population!$P$36*Population!$C$2+AJ60*Population!$P$38*Population!$C$2+AL60*Population!$P$40*Population!$C$2+AN59*Population!$P$42*Population!$C$2</f>
        <v>49.187450056922529</v>
      </c>
      <c r="E61" s="12">
        <f>IF(B60&gt;Population!$B$6*Population!$B$15,Population!$B$8,IF(Population!$J$6=1,D61,Population!$B$8*Population!$B$6*0.9/B60))</f>
        <v>35.642754957229528</v>
      </c>
      <c r="F61" s="12">
        <f>IF(B60&gt;Population!$B$6*0.75,Population!$B$8,E61)</f>
        <v>35.642754957229528</v>
      </c>
      <c r="G61" s="15">
        <f>IF(Population!$J$6=1,IF(E61&gt;H60,H60,E61),IF(E61&gt;X60,X60,E61))</f>
        <v>35.642754957229528</v>
      </c>
      <c r="H61" s="15">
        <f t="shared" si="22"/>
        <v>728</v>
      </c>
      <c r="I61" s="15">
        <f t="shared" si="23"/>
        <v>769</v>
      </c>
      <c r="J61" s="12">
        <f t="shared" si="18"/>
        <v>1.0563186813186813</v>
      </c>
      <c r="K61" s="12">
        <f>AA61*Population!$O$29+AB61*Population!$O$30+AC61*Population!$O$31+AD61*Population!$O$32+AE61*Population!$O$33+AF61*Population!$O$34+AG61*Population!$O$35+AH61*Population!$O$36+AI61*Population!$O$37+AJ61*Population!$O$38+AK61*Population!$O$37+AL61*Population!$O$38+AM61*Population!$O$39+AN61*Population!$O$40+AO61*Population!$O$41+AP61*Population!$O$42+AQ61*Population!$O$43+AR61*Population!$O$44</f>
        <v>6.1304975843244547</v>
      </c>
      <c r="L61" s="12">
        <f t="shared" si="7"/>
        <v>4.8959828237952648E-2</v>
      </c>
      <c r="M61" s="12">
        <f t="shared" si="24"/>
        <v>21.186066757256597</v>
      </c>
      <c r="N61" s="12">
        <f t="shared" si="19"/>
        <v>0.25848739495798317</v>
      </c>
      <c r="O61" s="12">
        <f t="shared" si="9"/>
        <v>909.80746243660428</v>
      </c>
      <c r="P61" s="12">
        <f t="shared" si="10"/>
        <v>321</v>
      </c>
      <c r="Q61" s="12">
        <f t="shared" si="11"/>
        <v>327.09626878169786</v>
      </c>
      <c r="R61" s="12">
        <f t="shared" si="12"/>
        <v>198.18957886524831</v>
      </c>
      <c r="S61" s="12">
        <f t="shared" si="25"/>
        <v>6.8816003599468406E-2</v>
      </c>
      <c r="T61" s="12">
        <f t="shared" si="20"/>
        <v>0.89024212744738718</v>
      </c>
      <c r="U61" s="12">
        <f>Population!$B$13*MIN(Y60:Z60)</f>
        <v>20.421569072560658</v>
      </c>
      <c r="V61" s="12">
        <f>X60*Population!$B$14</f>
        <v>3.8913203551016835</v>
      </c>
      <c r="W61" s="12">
        <f>AN60*T60*Population!$B$12</f>
        <v>16.987372452708414</v>
      </c>
      <c r="X61" s="12">
        <f t="shared" si="17"/>
        <v>648.09626878169786</v>
      </c>
      <c r="Y61" s="14">
        <f t="shared" si="26"/>
        <v>80.887341275912718</v>
      </c>
      <c r="Z61" s="13">
        <f t="shared" si="27"/>
        <v>80.887341275912718</v>
      </c>
      <c r="AA61" s="18">
        <f>(G61+Population!$B$11*AA60)*Population!M$29</f>
        <v>249.79263923364252</v>
      </c>
      <c r="AB61" s="18">
        <f>AA60*Population!$B$12*Population!$M$29+AB60*Population!$B$11*Population!$M$30</f>
        <v>254.48121337123965</v>
      </c>
      <c r="AC61" s="14">
        <f>(AB60*Population!$B$12*0.5*Population!$M$30)+(AC60*Population!$B$11*Population!M$31)</f>
        <v>132.78132238693922</v>
      </c>
      <c r="AD61" s="13">
        <f>(AB60*Population!$B$12*0.5*Population!$M$30)+(AD60*Population!$B$11*Population!M$31)</f>
        <v>132.78132238693922</v>
      </c>
      <c r="AE61" s="14">
        <f>(AC60*Population!$B$12*Population!M$31)+(AE60*Population!$B$11*Population!M$33)</f>
        <v>141.70446397884979</v>
      </c>
      <c r="AF61" s="13">
        <f>(AD60*Population!$B$12*Population!M$31)+(AF60*Population!$B$11*Population!M$33)</f>
        <v>141.70446397884979</v>
      </c>
      <c r="AG61" s="14">
        <f>(AE60*Population!$B$12*Population!M$33)+(AG60*Population!$B$11*Population!M$35)</f>
        <v>149.92063348204999</v>
      </c>
      <c r="AH61" s="13">
        <f>(AF60*Population!$B$12*Population!M$33)+(AH60*Population!$B$11*Population!M$35)</f>
        <v>149.92063348204999</v>
      </c>
      <c r="AI61" s="14">
        <f>(AG60*Population!$B$12*Population!M$35)+(AI60*Population!$B$11*Population!M$37)</f>
        <v>153.28230444148875</v>
      </c>
      <c r="AJ61" s="13">
        <f>(AH60*Population!$B$12*Population!M$35)+(AJ60*Population!$B$11*Population!M$37)</f>
        <v>153.28230444148875</v>
      </c>
      <c r="AK61" s="14">
        <f>(AI60*Population!$B$12*Population!M$37)+(AK60*Population!$B$11*Population!M$39)</f>
        <v>148.48351872640438</v>
      </c>
      <c r="AL61" s="13">
        <f>(AJ60*Population!$B$12*Population!M$37)+(AL60*Population!$B$11*Population!M$39)</f>
        <v>148.48351872640438</v>
      </c>
      <c r="AM61" s="14">
        <f>(AK60*Population!$B$12*Population!M$39)+(AM60*Population!$B$11*Population!M$41)</f>
        <v>135.59268942881772</v>
      </c>
      <c r="AN61" s="13">
        <f>(AL60*Population!$B$12*Population!M$39)+(AN60*Population!$B$11*Population!M$41)</f>
        <v>135.59268942881772</v>
      </c>
      <c r="AO61" s="15">
        <f>(AM60+AN60)*Population!$B$12*Population!$M$41+AO60*Population!$B$11*Population!$M$43</f>
        <v>229.54400666463275</v>
      </c>
      <c r="AP61" s="5">
        <f>AO60*Population!M$43*Population!$B$12+AP60*Population!$B$11*Population!M$44</f>
        <v>187.66965782278163</v>
      </c>
      <c r="AQ61" s="5">
        <f>AP60*Population!M$44*Population!$B$12+AQ60*Population!$B$11*Population!M$45</f>
        <v>125.26569056269172</v>
      </c>
      <c r="AR61" s="5">
        <f>(AQ60*Population!$B$12+AR60)*Population!M$46</f>
        <v>204.7276107084185</v>
      </c>
    </row>
    <row r="62" spans="1:44">
      <c r="A62">
        <f>A61+Population!$B$2</f>
        <v>59</v>
      </c>
      <c r="B62" s="4">
        <f t="shared" si="4"/>
        <v>2988</v>
      </c>
      <c r="C62" s="54">
        <f t="shared" si="21"/>
        <v>1419</v>
      </c>
      <c r="D62" s="12">
        <f>AD61*Population!$P$32*Population!$C$2+AF61*Population!$P$34*Population!$C$2+AH61*Population!$P$36*Population!$C$2+AJ61*Population!$P$38*Population!$C$2+AL61*Population!$P$40*Population!$C$2+AN60*Population!$P$42*Population!$C$2</f>
        <v>48.932747322013292</v>
      </c>
      <c r="E62" s="12">
        <f>IF(B61&gt;Population!$B$6*Population!$B$15,Population!$B$8,IF(Population!$J$6=1,D62,Population!$B$8*Population!$B$6*0.9/B61))</f>
        <v>35.642754957229528</v>
      </c>
      <c r="F62" s="12">
        <f>IF(B61&gt;Population!$B$6*0.75,Population!$B$8,E62)</f>
        <v>35.642754957229528</v>
      </c>
      <c r="G62" s="15">
        <f>IF(Population!$J$6=1,IF(E62&gt;H61,H61,E62),IF(E62&gt;X61,X61,E62))</f>
        <v>35.642754957229528</v>
      </c>
      <c r="H62" s="15">
        <f t="shared" si="22"/>
        <v>727</v>
      </c>
      <c r="I62" s="15">
        <f t="shared" si="23"/>
        <v>767</v>
      </c>
      <c r="J62" s="12">
        <f t="shared" si="18"/>
        <v>1.0550206327372764</v>
      </c>
      <c r="K62" s="12">
        <f>AA62*Population!$O$29+AB62*Population!$O$30+AC62*Population!$O$31+AD62*Population!$O$32+AE62*Population!$O$33+AF62*Population!$O$34+AG62*Population!$O$35+AH62*Population!$O$36+AI62*Population!$O$37+AJ62*Population!$O$38+AK62*Population!$O$37+AL62*Population!$O$38+AM62*Population!$O$39+AN62*Population!$O$40+AO62*Population!$O$41+AP62*Population!$O$42+AQ62*Population!$O$43+AR62*Population!$O$44</f>
        <v>6.2143843102579481</v>
      </c>
      <c r="L62" s="12">
        <f t="shared" si="7"/>
        <v>4.9027173256161662E-2</v>
      </c>
      <c r="M62" s="12">
        <f t="shared" si="24"/>
        <v>21.013593433480054</v>
      </c>
      <c r="N62" s="12">
        <f t="shared" si="19"/>
        <v>0.25669344042838022</v>
      </c>
      <c r="O62" s="12">
        <f t="shared" si="9"/>
        <v>926.62961111072082</v>
      </c>
      <c r="P62" s="12">
        <f t="shared" si="10"/>
        <v>320</v>
      </c>
      <c r="Q62" s="12">
        <f t="shared" si="11"/>
        <v>327.18519444463959</v>
      </c>
      <c r="R62" s="12">
        <f t="shared" si="12"/>
        <v>204.7276107084185</v>
      </c>
      <c r="S62" s="12">
        <f t="shared" si="25"/>
        <v>7.0741569639676274E-2</v>
      </c>
      <c r="T62" s="12">
        <f t="shared" si="20"/>
        <v>0.89021347241353455</v>
      </c>
      <c r="U62" s="12">
        <f>Population!$B$13*MIN(Y61:Z61)</f>
        <v>20.221835318978179</v>
      </c>
      <c r="V62" s="12">
        <f>X61*Population!$B$14</f>
        <v>3.8885776126901872</v>
      </c>
      <c r="W62" s="12">
        <f>AN61*T61*Population!$B$12</f>
        <v>17.244332043346219</v>
      </c>
      <c r="X62" s="12">
        <f t="shared" si="17"/>
        <v>647.18519444463959</v>
      </c>
      <c r="Y62" s="14">
        <f t="shared" si="26"/>
        <v>80.15328534426942</v>
      </c>
      <c r="Z62" s="13">
        <f t="shared" si="27"/>
        <v>80.15328534426942</v>
      </c>
      <c r="AA62" s="18">
        <f>(G62+Population!$B$11*AA61)*Population!M$29</f>
        <v>249.6493326462429</v>
      </c>
      <c r="AB62" s="18">
        <f>AA61*Population!$B$12*Population!$M$29+AB61*Population!$B$11*Population!$M$30</f>
        <v>253.7478505730715</v>
      </c>
      <c r="AC62" s="14">
        <f>(AB61*Population!$B$12*0.5*Population!$M$30)+(AC61*Population!$B$11*Population!M$31)</f>
        <v>131.87723832419178</v>
      </c>
      <c r="AD62" s="13">
        <f>(AB61*Population!$B$12*0.5*Population!$M$30)+(AD61*Population!$B$11*Population!M$31)</f>
        <v>131.87723832419178</v>
      </c>
      <c r="AE62" s="14">
        <f>(AC61*Population!$B$12*Population!M$31)+(AE61*Population!$B$11*Population!M$33)</f>
        <v>140.29589993353889</v>
      </c>
      <c r="AF62" s="13">
        <f>(AD61*Population!$B$12*Population!M$31)+(AF61*Population!$B$11*Population!M$33)</f>
        <v>140.29589993353889</v>
      </c>
      <c r="AG62" s="14">
        <f>(AE61*Population!$B$12*Population!M$33)+(AG61*Population!$B$11*Population!M$35)</f>
        <v>148.4808764027521</v>
      </c>
      <c r="AH62" s="13">
        <f>(AF61*Population!$B$12*Population!M$33)+(AH61*Population!$B$11*Population!M$35)</f>
        <v>148.4808764027521</v>
      </c>
      <c r="AI62" s="14">
        <f>(AG61*Population!$B$12*Population!M$35)+(AI61*Population!$B$11*Population!M$37)</f>
        <v>152.50868576679014</v>
      </c>
      <c r="AJ62" s="13">
        <f>(AH61*Population!$B$12*Population!M$35)+(AJ61*Population!$B$11*Population!M$37)</f>
        <v>152.50868576679014</v>
      </c>
      <c r="AK62" s="14">
        <f>(AI61*Population!$B$12*Population!M$37)+(AK61*Population!$B$11*Population!M$39)</f>
        <v>148.88265494852274</v>
      </c>
      <c r="AL62" s="13">
        <f>(AJ61*Population!$B$12*Population!M$37)+(AL61*Population!$B$11*Population!M$39)</f>
        <v>148.88265494852274</v>
      </c>
      <c r="AM62" s="14">
        <f>(AK61*Population!$B$12*Population!M$39)+(AM61*Population!$B$11*Population!M$41)</f>
        <v>137.17036273730517</v>
      </c>
      <c r="AN62" s="13">
        <f>(AL61*Population!$B$12*Population!M$39)+(AN61*Population!$B$11*Population!M$41)</f>
        <v>137.17036273730517</v>
      </c>
      <c r="AO62" s="15">
        <f>(AM61+AN61)*Population!$B$12*Population!$M$41+AO61*Population!$B$11*Population!$M$43</f>
        <v>233.99193980401628</v>
      </c>
      <c r="AP62" s="5">
        <f>AO61*Population!M$43*Population!$B$12+AP61*Population!$B$11*Population!M$44</f>
        <v>192.24773277681618</v>
      </c>
      <c r="AQ62" s="5">
        <f>AP61*Population!M$44*Population!$B$12+AQ61*Population!$B$11*Population!M$45</f>
        <v>128.56180857947908</v>
      </c>
      <c r="AR62" s="5">
        <f>(AQ61*Population!$B$12+AR61)*Population!M$46</f>
        <v>211.37581008335269</v>
      </c>
    </row>
    <row r="63" spans="1:44">
      <c r="A63">
        <f>A62+Population!$B$2</f>
        <v>60</v>
      </c>
      <c r="B63" s="4">
        <f t="shared" si="4"/>
        <v>3000</v>
      </c>
      <c r="C63" s="54">
        <f t="shared" si="21"/>
        <v>1415</v>
      </c>
      <c r="D63" s="12">
        <f>AD62*Population!$P$32*Population!$C$2+AF62*Population!$P$34*Population!$C$2+AH62*Population!$P$36*Population!$C$2+AJ62*Population!$P$38*Population!$C$2+AL62*Population!$P$40*Population!$C$2+AN61*Population!$P$42*Population!$C$2</f>
        <v>48.665432511904314</v>
      </c>
      <c r="E63" s="12">
        <f>IF(B62&gt;Population!$B$6*Population!$B$15,Population!$B$8,IF(Population!$J$6=1,D63,Population!$B$8*Population!$B$6*0.9/B62))</f>
        <v>35.642754957229528</v>
      </c>
      <c r="F63" s="12">
        <f>IF(B62&gt;Population!$B$6*0.75,Population!$B$8,E63)</f>
        <v>35.642754957229528</v>
      </c>
      <c r="G63" s="15">
        <f>IF(Population!$J$6=1,IF(E63&gt;H62,H62,E63),IF(E63&gt;X62,X62,E63))</f>
        <v>35.642754957229528</v>
      </c>
      <c r="H63" s="15">
        <f t="shared" si="22"/>
        <v>725</v>
      </c>
      <c r="I63" s="15">
        <f t="shared" si="23"/>
        <v>764</v>
      </c>
      <c r="J63" s="12">
        <f t="shared" si="18"/>
        <v>1.0537931034482759</v>
      </c>
      <c r="K63" s="12">
        <f>AA63*Population!$O$29+AB63*Population!$O$30+AC63*Population!$O$31+AD63*Population!$O$32+AE63*Population!$O$33+AF63*Population!$O$34+AG63*Population!$O$35+AH63*Population!$O$36+AI63*Population!$O$37+AJ63*Population!$O$38+AK63*Population!$O$37+AL63*Population!$O$38+AM63*Population!$O$39+AN63*Population!$O$40+AO63*Population!$O$41+AP63*Population!$O$42+AQ63*Population!$O$43+AR63*Population!$O$44</f>
        <v>6.2975083553068547</v>
      </c>
      <c r="L63" s="12">
        <f t="shared" si="7"/>
        <v>4.9162420630661417E-2</v>
      </c>
      <c r="M63" s="12">
        <f t="shared" si="24"/>
        <v>20.84049463458166</v>
      </c>
      <c r="N63" s="12">
        <f t="shared" si="19"/>
        <v>0.25466666666666665</v>
      </c>
      <c r="O63" s="12">
        <f t="shared" si="9"/>
        <v>944.20802075037909</v>
      </c>
      <c r="P63" s="12">
        <f t="shared" si="10"/>
        <v>319</v>
      </c>
      <c r="Q63" s="12">
        <f t="shared" si="11"/>
        <v>326.89598962481045</v>
      </c>
      <c r="R63" s="12">
        <f t="shared" si="12"/>
        <v>211.37581008335269</v>
      </c>
      <c r="S63" s="12">
        <f t="shared" si="25"/>
        <v>7.2711742624554085E-2</v>
      </c>
      <c r="T63" s="12">
        <f t="shared" si="20"/>
        <v>0.89089102017215238</v>
      </c>
      <c r="U63" s="12">
        <f>Population!$B$13*MIN(Y62:Z62)</f>
        <v>20.038321336067355</v>
      </c>
      <c r="V63" s="12">
        <f>X62*Population!$B$14</f>
        <v>3.8831111666678377</v>
      </c>
      <c r="W63" s="12">
        <f>AN62*T62*Population!$B$12</f>
        <v>17.444414989228648</v>
      </c>
      <c r="X63" s="12">
        <f t="shared" si="17"/>
        <v>645.89598962481045</v>
      </c>
      <c r="Y63" s="14">
        <f t="shared" si="26"/>
        <v>79.445175514599669</v>
      </c>
      <c r="Z63" s="13">
        <f t="shared" si="27"/>
        <v>79.445175514599669</v>
      </c>
      <c r="AA63" s="18">
        <f>(G63+Population!$B$11*AA62)*Population!M$29</f>
        <v>249.5265482991642</v>
      </c>
      <c r="AB63" s="18">
        <f>AA62*Population!$B$12*Population!$M$29+AB62*Population!$B$11*Population!$M$30</f>
        <v>253.09893126533484</v>
      </c>
      <c r="AC63" s="14">
        <f>(AB62*Population!$B$12*0.5*Population!$M$30)+(AC62*Population!$B$11*Population!M$31)</f>
        <v>131.05067636425133</v>
      </c>
      <c r="AD63" s="13">
        <f>(AB62*Population!$B$12*0.5*Population!$M$30)+(AD62*Population!$B$11*Population!M$31)</f>
        <v>131.05067636425133</v>
      </c>
      <c r="AE63" s="14">
        <f>(AC62*Population!$B$12*Population!M$31)+(AE62*Population!$B$11*Population!M$33)</f>
        <v>138.96067813735462</v>
      </c>
      <c r="AF63" s="13">
        <f>(AD62*Population!$B$12*Population!M$31)+(AF62*Population!$B$11*Population!M$33)</f>
        <v>138.96067813735462</v>
      </c>
      <c r="AG63" s="14">
        <f>(AE62*Population!$B$12*Population!M$33)+(AG62*Population!$B$11*Population!M$35)</f>
        <v>147.04813666589359</v>
      </c>
      <c r="AH63" s="13">
        <f>(AF62*Population!$B$12*Population!M$33)+(AH62*Population!$B$11*Population!M$35)</f>
        <v>147.04813666589359</v>
      </c>
      <c r="AI63" s="14">
        <f>(AG62*Population!$B$12*Population!M$35)+(AI62*Population!$B$11*Population!M$37)</f>
        <v>151.64157252296661</v>
      </c>
      <c r="AJ63" s="13">
        <f>(AH62*Population!$B$12*Population!M$35)+(AJ62*Population!$B$11*Population!M$37)</f>
        <v>151.64157252296661</v>
      </c>
      <c r="AK63" s="14">
        <f>(AI62*Population!$B$12*Population!M$37)+(AK62*Population!$B$11*Population!M$39)</f>
        <v>149.11381008517822</v>
      </c>
      <c r="AL63" s="13">
        <f>(AJ62*Population!$B$12*Population!M$37)+(AL62*Population!$B$11*Population!M$39)</f>
        <v>149.11381008517822</v>
      </c>
      <c r="AM63" s="14">
        <f>(AK62*Population!$B$12*Population!M$39)+(AM62*Population!$B$11*Population!M$41)</f>
        <v>138.576967728017</v>
      </c>
      <c r="AN63" s="13">
        <f>(AL62*Population!$B$12*Population!M$39)+(AN62*Population!$B$11*Population!M$41)</f>
        <v>138.576967728017</v>
      </c>
      <c r="AO63" s="15">
        <f>(AM62+AN62)*Population!$B$12*Population!$M$41+AO62*Population!$B$11*Population!$M$43</f>
        <v>238.22671153204604</v>
      </c>
      <c r="AP63" s="5">
        <f>AO62*Population!M$43*Population!$B$12+AP62*Population!$B$11*Population!M$44</f>
        <v>196.77415978936327</v>
      </c>
      <c r="AQ63" s="5">
        <f>AP62*Population!M$44*Population!$B$12+AQ62*Population!$B$11*Population!M$45</f>
        <v>131.89359039634959</v>
      </c>
      <c r="AR63" s="5">
        <f>(AQ62*Population!$B$12+AR62)*Population!M$46</f>
        <v>218.13522787366225</v>
      </c>
    </row>
    <row r="64" spans="1:44">
      <c r="A64">
        <f>A63+Population!$B$2</f>
        <v>61</v>
      </c>
      <c r="B64" s="4">
        <f t="shared" si="4"/>
        <v>3012</v>
      </c>
      <c r="C64" s="54">
        <f t="shared" si="21"/>
        <v>1410</v>
      </c>
      <c r="D64" s="12">
        <f>AD63*Population!$P$32*Population!$C$2+AF63*Population!$P$34*Population!$C$2+AH63*Population!$P$36*Population!$C$2+AJ63*Population!$P$38*Population!$C$2+AL63*Population!$P$40*Population!$C$2+AN62*Population!$P$42*Population!$C$2</f>
        <v>48.388083212929928</v>
      </c>
      <c r="E64" s="12">
        <f>IF(B63&gt;Population!$B$6*Population!$B$15,Population!$B$8,IF(Population!$J$6=1,D64,Population!$B$8*Population!$B$6*0.9/B63))</f>
        <v>35.642754957229528</v>
      </c>
      <c r="F64" s="12">
        <f>IF(B63&gt;Population!$B$6*0.75,Population!$B$8,E64)</f>
        <v>35.642754957229528</v>
      </c>
      <c r="G64" s="15">
        <f>IF(Population!$J$6=1,IF(E64&gt;H63,H63,E64),IF(E64&gt;X63,X63,E64))</f>
        <v>35.642754957229528</v>
      </c>
      <c r="H64" s="15">
        <f t="shared" si="22"/>
        <v>723</v>
      </c>
      <c r="I64" s="15">
        <f t="shared" si="23"/>
        <v>762</v>
      </c>
      <c r="J64" s="12">
        <f t="shared" si="18"/>
        <v>1.053941908713693</v>
      </c>
      <c r="K64" s="12">
        <f>AA64*Population!$O$29+AB64*Population!$O$30+AC64*Population!$O$31+AD64*Population!$O$32+AE64*Population!$O$33+AF64*Population!$O$34+AG64*Population!$O$35+AH64*Population!$O$36+AI64*Population!$O$37+AJ64*Population!$O$38+AK64*Population!$O$37+AL64*Population!$O$38+AM64*Population!$O$39+AN64*Population!$O$40+AO64*Population!$O$41+AP64*Population!$O$42+AQ64*Population!$O$43+AR64*Population!$O$44</f>
        <v>6.3798119154179664</v>
      </c>
      <c r="L64" s="12">
        <f t="shared" si="7"/>
        <v>4.9298416261728255E-2</v>
      </c>
      <c r="M64" s="12">
        <f t="shared" si="24"/>
        <v>20.667936593701391</v>
      </c>
      <c r="N64" s="12">
        <f t="shared" si="19"/>
        <v>0.25298804780876494</v>
      </c>
      <c r="O64" s="12">
        <f t="shared" si="9"/>
        <v>961.50960662617035</v>
      </c>
      <c r="P64" s="12">
        <f t="shared" si="10"/>
        <v>318</v>
      </c>
      <c r="Q64" s="12">
        <f t="shared" si="11"/>
        <v>326.24519668691482</v>
      </c>
      <c r="R64" s="12">
        <f t="shared" si="12"/>
        <v>218.13522787366225</v>
      </c>
      <c r="S64" s="12">
        <f t="shared" si="25"/>
        <v>7.4702882723388347E-2</v>
      </c>
      <c r="T64" s="12">
        <f t="shared" si="20"/>
        <v>0.8910721945877107</v>
      </c>
      <c r="U64" s="12">
        <f>Population!$B$13*MIN(Y63:Z63)</f>
        <v>19.861293878649917</v>
      </c>
      <c r="V64" s="12">
        <f>X63*Population!$B$14</f>
        <v>3.875375937748863</v>
      </c>
      <c r="W64" s="12">
        <f>AN63*T63*Population!$B$12</f>
        <v>17.636710878796642</v>
      </c>
      <c r="X64" s="12">
        <f t="shared" si="17"/>
        <v>644.24519668691482</v>
      </c>
      <c r="Y64" s="14">
        <f t="shared" si="26"/>
        <v>78.782671979714451</v>
      </c>
      <c r="Z64" s="13">
        <f t="shared" si="27"/>
        <v>78.782671979714451</v>
      </c>
      <c r="AA64" s="18">
        <f>(G64+Population!$B$11*AA63)*Population!M$29</f>
        <v>249.42134730204953</v>
      </c>
      <c r="AB64" s="18">
        <f>AA63*Population!$B$12*Population!$M$29+AB63*Population!$B$11*Population!$M$30</f>
        <v>252.5253063650508</v>
      </c>
      <c r="AC64" s="14">
        <f>(AB63*Population!$B$12*0.5*Population!$M$30)+(AC63*Population!$B$11*Population!M$31)</f>
        <v>130.29652891727963</v>
      </c>
      <c r="AD64" s="13">
        <f>(AB63*Population!$B$12*0.5*Population!$M$30)+(AD63*Population!$B$11*Population!M$31)</f>
        <v>130.29652891727963</v>
      </c>
      <c r="AE64" s="14">
        <f>(AC63*Population!$B$12*Population!M$31)+(AE63*Population!$B$11*Population!M$33)</f>
        <v>137.69932524803065</v>
      </c>
      <c r="AF64" s="13">
        <f>(AD63*Population!$B$12*Population!M$31)+(AF63*Population!$B$11*Population!M$33)</f>
        <v>137.69932524803065</v>
      </c>
      <c r="AG64" s="14">
        <f>(AE63*Population!$B$12*Population!M$33)+(AG63*Population!$B$11*Population!M$35)</f>
        <v>145.63186772458002</v>
      </c>
      <c r="AH64" s="13">
        <f>(AF63*Population!$B$12*Population!M$33)+(AH63*Population!$B$11*Population!M$35)</f>
        <v>145.63186772458002</v>
      </c>
      <c r="AI64" s="14">
        <f>(AG63*Population!$B$12*Population!M$35)+(AI63*Population!$B$11*Population!M$37)</f>
        <v>150.69547549511859</v>
      </c>
      <c r="AJ64" s="13">
        <f>(AH63*Population!$B$12*Population!M$35)+(AJ63*Population!$B$11*Population!M$37)</f>
        <v>150.69547549511859</v>
      </c>
      <c r="AK64" s="14">
        <f>(AI63*Population!$B$12*Population!M$37)+(AK63*Population!$B$11*Population!M$39)</f>
        <v>149.18792716037294</v>
      </c>
      <c r="AL64" s="13">
        <f>(AJ63*Population!$B$12*Population!M$37)+(AL63*Population!$B$11*Population!M$39)</f>
        <v>149.18792716037294</v>
      </c>
      <c r="AM64" s="14">
        <f>(AK63*Population!$B$12*Population!M$39)+(AM63*Population!$B$11*Population!M$41)</f>
        <v>139.81327303852714</v>
      </c>
      <c r="AN64" s="13">
        <f>(AL63*Population!$B$12*Population!M$39)+(AN63*Population!$B$11*Population!M$41)</f>
        <v>139.81327303852714</v>
      </c>
      <c r="AO64" s="15">
        <f>(AM63+AN63)*Population!$B$12*Population!$M$41+AO63*Population!$B$11*Population!$M$43</f>
        <v>242.23131530579869</v>
      </c>
      <c r="AP64" s="5">
        <f>AO63*Population!M$43*Population!$B$12+AP63*Population!$B$11*Population!M$44</f>
        <v>201.22640723696873</v>
      </c>
      <c r="AQ64" s="5">
        <f>AP63*Population!M$44*Population!$B$12+AQ63*Population!$B$11*Population!M$45</f>
        <v>135.24707205543521</v>
      </c>
      <c r="AR64" s="5">
        <f>(AQ63*Population!$B$12+AR63)*Population!M$46</f>
        <v>225.00508276284569</v>
      </c>
    </row>
    <row r="65" spans="1:44">
      <c r="A65">
        <f>A64+Population!$B$2</f>
        <v>62</v>
      </c>
      <c r="B65" s="4">
        <f t="shared" si="4"/>
        <v>3023</v>
      </c>
      <c r="C65" s="54">
        <f t="shared" si="21"/>
        <v>1405</v>
      </c>
      <c r="D65" s="12">
        <f>AD64*Population!$P$32*Population!$C$2+AF64*Population!$P$34*Population!$C$2+AH64*Population!$P$36*Population!$C$2+AJ64*Population!$P$38*Population!$C$2+AL64*Population!$P$40*Population!$C$2+AN63*Population!$P$42*Population!$C$2</f>
        <v>48.103087123930834</v>
      </c>
      <c r="E65" s="12">
        <f>IF(B64&gt;Population!$B$6*Population!$B$15,Population!$B$8,IF(Population!$J$6=1,D65,Population!$B$8*Population!$B$6*0.9/B64))</f>
        <v>35.642754957229528</v>
      </c>
      <c r="F65" s="12">
        <f>IF(B64&gt;Population!$B$6*0.75,Population!$B$8,E65)</f>
        <v>35.642754957229528</v>
      </c>
      <c r="G65" s="15">
        <f>IF(Population!$J$6=1,IF(E65&gt;H64,H64,E65),IF(E65&gt;X64,X64,E65))</f>
        <v>35.642754957229528</v>
      </c>
      <c r="H65" s="15">
        <f t="shared" si="22"/>
        <v>720</v>
      </c>
      <c r="I65" s="15">
        <f t="shared" si="23"/>
        <v>760</v>
      </c>
      <c r="J65" s="12">
        <f t="shared" si="18"/>
        <v>1.0555555555555556</v>
      </c>
      <c r="K65" s="12">
        <f>AA65*Population!$O$29+AB65*Population!$O$30+AC65*Population!$O$31+AD65*Population!$O$32+AE65*Population!$O$33+AF65*Population!$O$34+AG65*Population!$O$35+AH65*Population!$O$36+AI65*Population!$O$37+AJ65*Population!$O$38+AK65*Population!$O$37+AL65*Population!$O$38+AM65*Population!$O$39+AN65*Population!$O$40+AO65*Population!$O$41+AP65*Population!$O$42+AQ65*Population!$O$43+AR65*Population!$O$44</f>
        <v>6.4612251220982211</v>
      </c>
      <c r="L65" s="12">
        <f t="shared" si="7"/>
        <v>4.9503826329485454E-2</v>
      </c>
      <c r="M65" s="12">
        <f t="shared" si="24"/>
        <v>20.496950093371126</v>
      </c>
      <c r="N65" s="12">
        <f t="shared" si="19"/>
        <v>0.25140588819053922</v>
      </c>
      <c r="O65" s="12">
        <f t="shared" si="9"/>
        <v>978.44456157910804</v>
      </c>
      <c r="P65" s="12">
        <f t="shared" si="10"/>
        <v>317</v>
      </c>
      <c r="Q65" s="12">
        <f t="shared" si="11"/>
        <v>325.27771921044598</v>
      </c>
      <c r="R65" s="12">
        <f t="shared" si="12"/>
        <v>225.00508276284569</v>
      </c>
      <c r="S65" s="12">
        <f t="shared" si="25"/>
        <v>7.6739245397044645E-2</v>
      </c>
      <c r="T65" s="12">
        <f t="shared" si="20"/>
        <v>0.89205238779228613</v>
      </c>
      <c r="U65" s="12">
        <f>Population!$B$13*MIN(Y64:Z64)</f>
        <v>19.695667994928613</v>
      </c>
      <c r="V65" s="12">
        <f>X64*Population!$B$14</f>
        <v>3.8654711801214892</v>
      </c>
      <c r="W65" s="12">
        <f>AN64*T64*Population!$B$12</f>
        <v>17.797674291275882</v>
      </c>
      <c r="X65" s="12">
        <f t="shared" si="17"/>
        <v>642.27771921044598</v>
      </c>
      <c r="Y65" s="14">
        <f t="shared" si="26"/>
        <v>78.156166163133662</v>
      </c>
      <c r="Z65" s="13">
        <f t="shared" si="27"/>
        <v>78.156166163133662</v>
      </c>
      <c r="AA65" s="18">
        <f>(G65+Population!$B$11*AA64)*Population!M$29</f>
        <v>249.33121162875537</v>
      </c>
      <c r="AB65" s="18">
        <f>AA64*Population!$B$12*Population!$M$29+AB64*Population!$B$11*Population!$M$30</f>
        <v>252.01871589453668</v>
      </c>
      <c r="AC65" s="14">
        <f>(AB64*Population!$B$12*0.5*Population!$M$30)+(AC64*Population!$B$11*Population!M$31)</f>
        <v>129.60976886241258</v>
      </c>
      <c r="AD65" s="13">
        <f>(AB64*Population!$B$12*0.5*Population!$M$30)+(AD64*Population!$B$11*Population!M$31)</f>
        <v>129.60976886241258</v>
      </c>
      <c r="AE65" s="14">
        <f>(AC64*Population!$B$12*Population!M$31)+(AE64*Population!$B$11*Population!M$33)</f>
        <v>136.51156329594815</v>
      </c>
      <c r="AF65" s="13">
        <f>(AD64*Population!$B$12*Population!M$31)+(AF64*Population!$B$11*Population!M$33)</f>
        <v>136.51156329594815</v>
      </c>
      <c r="AG65" s="14">
        <f>(AE64*Population!$B$12*Population!M$33)+(AG64*Population!$B$11*Population!M$35)</f>
        <v>144.24023214605174</v>
      </c>
      <c r="AH65" s="13">
        <f>(AF64*Population!$B$12*Population!M$33)+(AH64*Population!$B$11*Population!M$35)</f>
        <v>144.24023214605174</v>
      </c>
      <c r="AI65" s="14">
        <f>(AG64*Population!$B$12*Population!M$35)+(AI64*Population!$B$11*Population!M$37)</f>
        <v>149.6841565187938</v>
      </c>
      <c r="AJ65" s="13">
        <f>(AH64*Population!$B$12*Population!M$35)+(AJ64*Population!$B$11*Population!M$37)</f>
        <v>149.6841565187938</v>
      </c>
      <c r="AK65" s="14">
        <f>(AI64*Population!$B$12*Population!M$37)+(AK64*Population!$B$11*Population!M$39)</f>
        <v>149.11643688907401</v>
      </c>
      <c r="AL65" s="13">
        <f>(AJ64*Population!$B$12*Population!M$37)+(AL64*Population!$B$11*Population!M$39)</f>
        <v>149.11643688907401</v>
      </c>
      <c r="AM65" s="14">
        <f>(AK64*Population!$B$12*Population!M$39)+(AM64*Population!$B$11*Population!M$41)</f>
        <v>140.881496523712</v>
      </c>
      <c r="AN65" s="13">
        <f>(AL64*Population!$B$12*Population!M$39)+(AN64*Population!$B$11*Population!M$41)</f>
        <v>140.881496523712</v>
      </c>
      <c r="AO65" s="15">
        <f>(AM64+AN64)*Population!$B$12*Population!$M$41+AO64*Population!$B$11*Population!$M$43</f>
        <v>245.99149896108233</v>
      </c>
      <c r="AP65" s="5">
        <f>AO64*Population!M$43*Population!$B$12+AP64*Population!$B$11*Population!M$44</f>
        <v>205.58289042526226</v>
      </c>
      <c r="AQ65" s="5">
        <f>AP64*Population!M$44*Population!$B$12+AQ64*Population!$B$11*Population!M$45</f>
        <v>138.60769366223835</v>
      </c>
      <c r="AR65" s="5">
        <f>(AQ64*Population!$B$12+AR64)*Population!M$46</f>
        <v>231.98273883526596</v>
      </c>
    </row>
    <row r="66" spans="1:44">
      <c r="A66">
        <f>A65+Population!$B$2</f>
        <v>63</v>
      </c>
      <c r="B66" s="4">
        <f t="shared" si="4"/>
        <v>3034</v>
      </c>
      <c r="C66" s="54">
        <f t="shared" si="21"/>
        <v>1400</v>
      </c>
      <c r="D66" s="12">
        <f>AD65*Population!$P$32*Population!$C$2+AF65*Population!$P$34*Population!$C$2+AH65*Population!$P$36*Population!$C$2+AJ65*Population!$P$38*Population!$C$2+AL65*Population!$P$40*Population!$C$2+AN64*Population!$P$42*Population!$C$2</f>
        <v>47.812642586799228</v>
      </c>
      <c r="E66" s="12">
        <f>IF(B65&gt;Population!$B$6*Population!$B$15,Population!$B$8,IF(Population!$J$6=1,D66,Population!$B$8*Population!$B$6*0.9/B65))</f>
        <v>35.642754957229528</v>
      </c>
      <c r="F66" s="12">
        <f>IF(B65&gt;Population!$B$6*0.75,Population!$B$8,E66)</f>
        <v>35.642754957229528</v>
      </c>
      <c r="G66" s="15">
        <f>IF(Population!$J$6=1,IF(E66&gt;H65,H65,E66),IF(E66&gt;X65,X65,E66))</f>
        <v>35.642754957229528</v>
      </c>
      <c r="H66" s="15">
        <f t="shared" si="22"/>
        <v>717</v>
      </c>
      <c r="I66" s="15">
        <f t="shared" si="23"/>
        <v>758</v>
      </c>
      <c r="J66" s="12">
        <f t="shared" ref="J66:J97" si="28">I66/H66</f>
        <v>1.0571827057182706</v>
      </c>
      <c r="K66" s="12">
        <f>AA66*Population!$O$29+AB66*Population!$O$30+AC66*Population!$O$31+AD66*Population!$O$32+AE66*Population!$O$33+AF66*Population!$O$34+AG66*Population!$O$35+AH66*Population!$O$36+AI66*Population!$O$37+AJ66*Population!$O$38+AK66*Population!$O$37+AL66*Population!$O$38+AM66*Population!$O$39+AN66*Population!$O$40+AO66*Population!$O$41+AP66*Population!$O$42+AQ66*Population!$O$43+AR66*Population!$O$44</f>
        <v>6.5416674656745872</v>
      </c>
      <c r="L66" s="12">
        <f t="shared" si="7"/>
        <v>4.9710955309943551E-2</v>
      </c>
      <c r="M66" s="12">
        <f t="shared" si="24"/>
        <v>20.328436320527633</v>
      </c>
      <c r="N66" s="12">
        <f t="shared" ref="N66:N97" si="29">I66/B66</f>
        <v>0.24983520105471324</v>
      </c>
      <c r="O66" s="12">
        <f t="shared" si="9"/>
        <v>995.98057551941747</v>
      </c>
      <c r="P66" s="12">
        <f t="shared" si="10"/>
        <v>316</v>
      </c>
      <c r="Q66" s="12">
        <f t="shared" si="11"/>
        <v>324.00971224029126</v>
      </c>
      <c r="R66" s="12">
        <f t="shared" si="12"/>
        <v>231.98273883526596</v>
      </c>
      <c r="S66" s="12">
        <f t="shared" si="25"/>
        <v>7.8794897309708081E-2</v>
      </c>
      <c r="T66" s="12">
        <f t="shared" ref="T66:T97" si="30">X66/H66</f>
        <v>0.89262163492369773</v>
      </c>
      <c r="U66" s="12">
        <f>Population!$B$13*MIN(Y65:Z65)</f>
        <v>19.539041540783415</v>
      </c>
      <c r="V66" s="12">
        <f>X65*Population!$B$14</f>
        <v>3.853666315262676</v>
      </c>
      <c r="W66" s="12">
        <f>AN65*T65*Population!$B$12</f>
        <v>17.95338219567542</v>
      </c>
      <c r="X66" s="12">
        <f t="shared" si="17"/>
        <v>640.00971224029126</v>
      </c>
      <c r="Y66" s="14">
        <f t="shared" si="26"/>
        <v>77.583696283978384</v>
      </c>
      <c r="Z66" s="13">
        <f t="shared" si="27"/>
        <v>77.583696283978384</v>
      </c>
      <c r="AA66" s="18">
        <f>(G66+Population!$B$11*AA65)*Population!M$29</f>
        <v>249.25398384743184</v>
      </c>
      <c r="AB66" s="18">
        <f>AA65*Population!$B$12*Population!$M$29+AB65*Population!$B$11*Population!$M$30</f>
        <v>251.57172189394237</v>
      </c>
      <c r="AC66" s="14">
        <f>(AB65*Population!$B$12*0.5*Population!$M$30)+(AC65*Population!$B$11*Population!M$31)</f>
        <v>128.98550147969291</v>
      </c>
      <c r="AD66" s="13">
        <f>(AB65*Population!$B$12*0.5*Population!$M$30)+(AD65*Population!$B$11*Population!M$31)</f>
        <v>128.98550147969291</v>
      </c>
      <c r="AE66" s="14">
        <f>(AC65*Population!$B$12*Population!M$31)+(AE65*Population!$B$11*Population!M$33)</f>
        <v>135.39643677277849</v>
      </c>
      <c r="AF66" s="13">
        <f>(AD65*Population!$B$12*Population!M$31)+(AF65*Population!$B$11*Population!M$33)</f>
        <v>135.39643677277849</v>
      </c>
      <c r="AG66" s="14">
        <f>(AE65*Population!$B$12*Population!M$33)+(AG65*Population!$B$11*Population!M$35)</f>
        <v>142.8801733111593</v>
      </c>
      <c r="AH66" s="13">
        <f>(AF65*Population!$B$12*Population!M$33)+(AH65*Population!$B$11*Population!M$35)</f>
        <v>142.8801733111593</v>
      </c>
      <c r="AI66" s="14">
        <f>(AG65*Population!$B$12*Population!M$35)+(AI65*Population!$B$11*Population!M$37)</f>
        <v>148.62055264714252</v>
      </c>
      <c r="AJ66" s="13">
        <f>(AH65*Population!$B$12*Population!M$35)+(AJ65*Population!$B$11*Population!M$37)</f>
        <v>148.62055264714252</v>
      </c>
      <c r="AK66" s="14">
        <f>(AI65*Population!$B$12*Population!M$37)+(AK65*Population!$B$11*Population!M$39)</f>
        <v>148.91108041710854</v>
      </c>
      <c r="AL66" s="13">
        <f>(AJ65*Population!$B$12*Population!M$37)+(AL65*Population!$B$11*Population!M$39)</f>
        <v>148.91108041710854</v>
      </c>
      <c r="AM66" s="14">
        <f>(AK65*Population!$B$12*Population!M$39)+(AM65*Population!$B$11*Population!M$41)</f>
        <v>141.78516537608084</v>
      </c>
      <c r="AN66" s="13">
        <f>(AL65*Population!$B$12*Population!M$39)+(AN65*Population!$B$11*Population!M$41)</f>
        <v>141.78516537608084</v>
      </c>
      <c r="AO66" s="15">
        <f>(AM65+AN65)*Population!$B$12*Population!$M$41+AO65*Population!$B$11*Population!$M$43</f>
        <v>249.49576738035142</v>
      </c>
      <c r="AP66" s="5">
        <f>AO65*Population!M$43*Population!$B$12+AP65*Population!$B$11*Population!M$44</f>
        <v>209.82322105881275</v>
      </c>
      <c r="AQ66" s="5">
        <f>AP65*Population!M$44*Population!$B$12+AQ65*Population!$B$11*Population!M$45</f>
        <v>141.96054462003022</v>
      </c>
      <c r="AR66" s="5">
        <f>(AQ65*Population!$B$12+AR65)*Population!M$46</f>
        <v>239.06371843765433</v>
      </c>
    </row>
    <row r="67" spans="1:44">
      <c r="A67">
        <f>A66+Population!$B$2</f>
        <v>64</v>
      </c>
      <c r="B67" s="4">
        <f t="shared" si="4"/>
        <v>3044</v>
      </c>
      <c r="C67" s="54">
        <f t="shared" ref="C67:C98" si="31">FLOOR(B67-I67-G67-SUM(AO67:AR67),1)</f>
        <v>1393</v>
      </c>
      <c r="D67" s="12">
        <f>AD66*Population!$P$32*Population!$C$2+AF66*Population!$P$34*Population!$C$2+AH66*Population!$P$36*Population!$C$2+AJ66*Population!$P$38*Population!$C$2+AL66*Population!$P$40*Population!$C$2+AN65*Population!$P$42*Population!$C$2</f>
        <v>47.518761069375174</v>
      </c>
      <c r="E67" s="12">
        <f>IF(B66&gt;Population!$B$6*Population!$B$15,Population!$B$8,IF(Population!$J$6=1,D67,Population!$B$8*Population!$B$6*0.9/B66))</f>
        <v>35.642754957229528</v>
      </c>
      <c r="F67" s="12">
        <f>IF(B66&gt;Population!$B$6*0.75,Population!$B$8,E67)</f>
        <v>35.642754957229528</v>
      </c>
      <c r="G67" s="15">
        <f>IF(Population!$J$6=1,IF(E67&gt;H66,H66,E67),IF(E67&gt;X66,X66,E67))</f>
        <v>35.642754957229528</v>
      </c>
      <c r="H67" s="15">
        <f t="shared" si="22"/>
        <v>714</v>
      </c>
      <c r="I67" s="15">
        <f t="shared" si="23"/>
        <v>757</v>
      </c>
      <c r="J67" s="12">
        <f t="shared" si="28"/>
        <v>1.0602240896358543</v>
      </c>
      <c r="K67" s="12">
        <f>AA67*Population!$O$29+AB67*Population!$O$30+AC67*Population!$O$31+AD67*Population!$O$32+AE67*Population!$O$33+AF67*Population!$O$34+AG67*Population!$O$35+AH67*Population!$O$36+AI67*Population!$O$37+AJ67*Population!$O$38+AK67*Population!$O$37+AL67*Population!$O$38+AM67*Population!$O$39+AN67*Population!$O$40+AO67*Population!$O$41+AP67*Population!$O$42+AQ67*Population!$O$43+AR67*Population!$O$44</f>
        <v>6.6210493408061168</v>
      </c>
      <c r="L67" s="12">
        <f t="shared" si="7"/>
        <v>4.9919824870069365E-2</v>
      </c>
      <c r="M67" s="12">
        <f t="shared" si="24"/>
        <v>20.163173583957104</v>
      </c>
      <c r="N67" s="12">
        <f t="shared" si="29"/>
        <v>0.24868593955321944</v>
      </c>
      <c r="O67" s="12">
        <f t="shared" si="9"/>
        <v>1012.0289885317186</v>
      </c>
      <c r="P67" s="12">
        <f t="shared" si="10"/>
        <v>316</v>
      </c>
      <c r="Q67" s="12">
        <f t="shared" si="11"/>
        <v>321.4855057341407</v>
      </c>
      <c r="R67" s="12">
        <f t="shared" si="12"/>
        <v>239.06371843765433</v>
      </c>
      <c r="S67" s="12">
        <f t="shared" si="25"/>
        <v>8.0894135234705969E-2</v>
      </c>
      <c r="T67" s="12">
        <f t="shared" si="30"/>
        <v>0.89283684276490294</v>
      </c>
      <c r="U67" s="12">
        <f>Population!$B$13*MIN(Y66:Z66)</f>
        <v>19.395924070994596</v>
      </c>
      <c r="V67" s="12">
        <f>X66*Population!$B$14</f>
        <v>3.8400582734417479</v>
      </c>
      <c r="W67" s="12">
        <f>AN66*T66*Population!$B$12</f>
        <v>18.080072303703446</v>
      </c>
      <c r="X67" s="12">
        <f t="shared" si="17"/>
        <v>637.4855057341407</v>
      </c>
      <c r="Y67" s="14">
        <f t="shared" si="26"/>
        <v>77.053857577010831</v>
      </c>
      <c r="Z67" s="13">
        <f t="shared" si="27"/>
        <v>77.053857577010831</v>
      </c>
      <c r="AA67" s="18">
        <f>(G67+Population!$B$11*AA66)*Population!M$29</f>
        <v>249.18781548156531</v>
      </c>
      <c r="AB67" s="18">
        <f>AA66*Population!$B$12*Population!$M$29+AB66*Population!$B$11*Population!$M$30</f>
        <v>251.17764232415533</v>
      </c>
      <c r="AC67" s="14">
        <f>(AB66*Population!$B$12*0.5*Population!$M$30)+(AC66*Population!$B$11*Population!M$31)</f>
        <v>128.41900412985069</v>
      </c>
      <c r="AD67" s="13">
        <f>(AB66*Population!$B$12*0.5*Population!$M$30)+(AD66*Population!$B$11*Population!M$31)</f>
        <v>128.41900412985069</v>
      </c>
      <c r="AE67" s="14">
        <f>(AC66*Population!$B$12*Population!M$31)+(AE66*Population!$B$11*Population!M$33)</f>
        <v>134.35242887256959</v>
      </c>
      <c r="AF67" s="13">
        <f>(AD66*Population!$B$12*Population!M$31)+(AF66*Population!$B$11*Population!M$33)</f>
        <v>134.35242887256959</v>
      </c>
      <c r="AG67" s="14">
        <f>(AE66*Population!$B$12*Population!M$33)+(AG66*Population!$B$11*Population!M$35)</f>
        <v>141.55749489127788</v>
      </c>
      <c r="AH67" s="13">
        <f>(AF66*Population!$B$12*Population!M$33)+(AH66*Population!$B$11*Population!M$35)</f>
        <v>141.55749489127788</v>
      </c>
      <c r="AI67" s="14">
        <f>(AG66*Population!$B$12*Population!M$35)+(AI66*Population!$B$11*Population!M$37)</f>
        <v>147.5167214992517</v>
      </c>
      <c r="AJ67" s="13">
        <f>(AH66*Population!$B$12*Population!M$35)+(AJ66*Population!$B$11*Population!M$37)</f>
        <v>147.5167214992517</v>
      </c>
      <c r="AK67" s="14">
        <f>(AI66*Population!$B$12*Population!M$37)+(AK66*Population!$B$11*Population!M$39)</f>
        <v>148.5837468631866</v>
      </c>
      <c r="AL67" s="13">
        <f>(AJ66*Population!$B$12*Population!M$37)+(AL66*Population!$B$11*Population!M$39)</f>
        <v>148.5837468631866</v>
      </c>
      <c r="AM67" s="14">
        <f>(AK66*Population!$B$12*Population!M$39)+(AM66*Population!$B$11*Population!M$41)</f>
        <v>142.52897118486575</v>
      </c>
      <c r="AN67" s="13">
        <f>(AL66*Population!$B$12*Population!M$39)+(AN66*Population!$B$11*Population!M$41)</f>
        <v>142.52897118486575</v>
      </c>
      <c r="AO67" s="15">
        <f>(AM66+AN66)*Population!$B$12*Population!$M$41+AO66*Population!$B$11*Population!$M$43</f>
        <v>252.73534487402583</v>
      </c>
      <c r="AP67" s="5">
        <f>AO66*Population!M$43*Population!$B$12+AP66*Population!$B$11*Population!M$44</f>
        <v>213.92841990052318</v>
      </c>
      <c r="AQ67" s="5">
        <f>AP66*Population!M$44*Population!$B$12+AQ66*Population!$B$11*Population!M$45</f>
        <v>145.29059859158488</v>
      </c>
      <c r="AR67" s="5">
        <f>(AQ66*Population!$B$12+AR66)*Population!M$46</f>
        <v>246.24174765444496</v>
      </c>
    </row>
    <row r="68" spans="1:44">
      <c r="A68">
        <f>A67+Population!$B$2</f>
        <v>65</v>
      </c>
      <c r="B68" s="4">
        <f t="shared" ref="B68:B115" si="32">FLOOR(SUM(AA68:AR68),1)</f>
        <v>3054</v>
      </c>
      <c r="C68" s="54">
        <f t="shared" si="31"/>
        <v>1387</v>
      </c>
      <c r="D68" s="12">
        <f>AD67*Population!$P$32*Population!$C$2+AF67*Population!$P$34*Population!$C$2+AH67*Population!$P$36*Population!$C$2+AJ67*Population!$P$38*Population!$C$2+AL67*Population!$P$40*Population!$C$2+AN66*Population!$P$42*Population!$C$2</f>
        <v>47.223271287649695</v>
      </c>
      <c r="E68" s="12">
        <f>IF(B67&gt;Population!$B$6*Population!$B$15,Population!$B$8,IF(Population!$J$6=1,D68,Population!$B$8*Population!$B$6*0.9/B67))</f>
        <v>35.642754957229528</v>
      </c>
      <c r="F68" s="12">
        <f>IF(B67&gt;Population!$B$6*0.75,Population!$B$8,E68)</f>
        <v>35.642754957229528</v>
      </c>
      <c r="G68" s="15">
        <f>IF(Population!$J$6=1,IF(E68&gt;H67,H67,E68),IF(E68&gt;X67,X67,E68))</f>
        <v>35.642754957229528</v>
      </c>
      <c r="H68" s="15">
        <f t="shared" ref="H68:H103" si="33">FLOOR(AF68+AH68+AJ68+AL68+AN68,1)</f>
        <v>711</v>
      </c>
      <c r="I68" s="15">
        <f t="shared" ref="I68:I103" si="34">FLOOR(SUM(AA68:AD68),1)</f>
        <v>755</v>
      </c>
      <c r="J68" s="12">
        <f t="shared" si="28"/>
        <v>1.0618846694796062</v>
      </c>
      <c r="K68" s="12">
        <f>AA68*Population!$O$29+AB68*Population!$O$30+AC68*Population!$O$31+AD68*Population!$O$32+AE68*Population!$O$33+AF68*Population!$O$34+AG68*Population!$O$35+AH68*Population!$O$36+AI68*Population!$O$37+AJ68*Population!$O$38+AK68*Population!$O$37+AL68*Population!$O$38+AM68*Population!$O$39+AN68*Population!$O$40+AO68*Population!$O$41+AP68*Population!$O$42+AQ68*Population!$O$43+AR68*Population!$O$44</f>
        <v>6.699273675954025</v>
      </c>
      <c r="L68" s="12">
        <f t="shared" ref="L68:L115" si="35">G68/H68</f>
        <v>5.0130457042516917E-2</v>
      </c>
      <c r="M68" s="12">
        <f t="shared" ref="M68:M103" si="36">(AE68+AF68+AG68+AH68+AI68+AJ68)/21*0.5</f>
        <v>20.001824664934276</v>
      </c>
      <c r="N68" s="12">
        <f t="shared" si="29"/>
        <v>0.24721676489849378</v>
      </c>
      <c r="O68" s="12">
        <f t="shared" ref="O68:O115" si="37">B68-I68-P68*2-Q68*2</f>
        <v>1029.5104905649443</v>
      </c>
      <c r="P68" s="12">
        <f t="shared" ref="P68:P115" si="38">CEILING(I68/2.4,1)</f>
        <v>315</v>
      </c>
      <c r="Q68" s="12">
        <f t="shared" ref="Q68:Q115" si="39">X68-P68</f>
        <v>319.74475471752783</v>
      </c>
      <c r="R68" s="12">
        <f t="shared" ref="R68:R103" si="40">SUM(AR67:AR67)</f>
        <v>246.24174765444496</v>
      </c>
      <c r="S68" s="12">
        <f t="shared" ref="S68:S99" si="41">SUM(AR68:AR68)/B68</f>
        <v>8.3008785643714791E-2</v>
      </c>
      <c r="T68" s="12">
        <f t="shared" si="30"/>
        <v>0.89274930340017977</v>
      </c>
      <c r="U68" s="12">
        <f>Population!$B$13*MIN(Y67:Z67)</f>
        <v>19.263464394252708</v>
      </c>
      <c r="V68" s="12">
        <f>X67*Population!$B$14</f>
        <v>3.8249130344048443</v>
      </c>
      <c r="W68" s="12">
        <f>AN67*T67*Population!$B$12</f>
        <v>18.179302376460765</v>
      </c>
      <c r="X68" s="12">
        <f t="shared" si="17"/>
        <v>634.74475471752783</v>
      </c>
      <c r="Y68" s="14">
        <f t="shared" ref="Y68:Y99" si="42">(AE68+AG68+AI68+AK68+AM68)-X68</f>
        <v>76.558512566032391</v>
      </c>
      <c r="Z68" s="13">
        <f t="shared" ref="Z68:Z103" si="43">(AF68+AH68+AJ68+AL68+AN68)-X68</f>
        <v>76.558512566032391</v>
      </c>
      <c r="AA68" s="18">
        <f>(G68+Population!$B$11*AA67)*Population!M$29</f>
        <v>249.13112276598531</v>
      </c>
      <c r="AB68" s="18">
        <f>AA67*Population!$B$12*Population!$M$29+AB67*Population!$B$11*Population!$M$30</f>
        <v>250.83048705089629</v>
      </c>
      <c r="AC68" s="14">
        <f>(AB67*Population!$B$12*0.5*Population!$M$30)+(AC67*Population!$B$11*Population!M$31)</f>
        <v>127.90575551297228</v>
      </c>
      <c r="AD68" s="13">
        <f>(AB67*Population!$B$12*0.5*Population!$M$30)+(AD67*Population!$B$11*Population!M$31)</f>
        <v>127.90575551297228</v>
      </c>
      <c r="AE68" s="14">
        <f>(AC67*Population!$B$12*Population!M$31)+(AE67*Population!$B$11*Population!M$33)</f>
        <v>133.37756669514846</v>
      </c>
      <c r="AF68" s="13">
        <f>(AD67*Population!$B$12*Population!M$31)+(AF67*Population!$B$11*Population!M$33)</f>
        <v>133.37756669514846</v>
      </c>
      <c r="AG68" s="14">
        <f>(AE67*Population!$B$12*Population!M$33)+(AG67*Population!$B$11*Population!M$35)</f>
        <v>140.27694543062483</v>
      </c>
      <c r="AH68" s="13">
        <f>(AF67*Population!$B$12*Population!M$33)+(AH67*Population!$B$11*Population!M$35)</f>
        <v>140.27694543062483</v>
      </c>
      <c r="AI68" s="14">
        <f>(AG67*Population!$B$12*Population!M$35)+(AI67*Population!$B$11*Population!M$37)</f>
        <v>146.3838058378465</v>
      </c>
      <c r="AJ68" s="13">
        <f>(AH67*Population!$B$12*Population!M$35)+(AJ67*Population!$B$11*Population!M$37)</f>
        <v>146.3838058378465</v>
      </c>
      <c r="AK68" s="14">
        <f>(AI67*Population!$B$12*Population!M$37)+(AK67*Population!$B$11*Population!M$39)</f>
        <v>148.14632654417554</v>
      </c>
      <c r="AL68" s="13">
        <f>(AJ67*Population!$B$12*Population!M$37)+(AL67*Population!$B$11*Population!M$39)</f>
        <v>148.14632654417554</v>
      </c>
      <c r="AM68" s="14">
        <f>(AK67*Population!$B$12*Population!M$39)+(AM67*Population!$B$11*Population!M$41)</f>
        <v>143.11862277576489</v>
      </c>
      <c r="AN68" s="13">
        <f>(AL67*Population!$B$12*Population!M$39)+(AN67*Population!$B$11*Population!M$41)</f>
        <v>143.11862277576489</v>
      </c>
      <c r="AO68" s="15">
        <f>(AM67+AN67)*Population!$B$12*Population!$M$41+AO67*Population!$B$11*Population!$M$43</f>
        <v>255.70410183750238</v>
      </c>
      <c r="AP68" s="5">
        <f>AO67*Population!M$43*Population!$B$12+AP67*Population!$B$11*Population!M$44</f>
        <v>217.8810923944508</v>
      </c>
      <c r="AQ68" s="5">
        <f>AP67*Population!M$44*Population!$B$12+AQ67*Population!$B$11*Population!M$45</f>
        <v>148.58293488009608</v>
      </c>
      <c r="AR68" s="5">
        <f>(AQ67*Population!$B$12+AR67)*Population!M$46</f>
        <v>253.50883135590499</v>
      </c>
    </row>
    <row r="69" spans="1:44">
      <c r="A69">
        <f>A68+Population!$B$2</f>
        <v>66</v>
      </c>
      <c r="B69" s="4">
        <f t="shared" si="32"/>
        <v>3063</v>
      </c>
      <c r="C69" s="54">
        <f t="shared" si="31"/>
        <v>1380</v>
      </c>
      <c r="D69" s="12">
        <f>AD68*Population!$P$32*Population!$C$2+AF68*Population!$P$34*Population!$C$2+AH68*Population!$P$36*Population!$C$2+AJ68*Population!$P$38*Population!$C$2+AL68*Population!$P$40*Population!$C$2+AN67*Population!$P$42*Population!$C$2</f>
        <v>46.927824681096403</v>
      </c>
      <c r="E69" s="12">
        <f>IF(B68&gt;Population!$B$6*Population!$B$15,Population!$B$8,IF(Population!$J$6=1,D69,Population!$B$8*Population!$B$6*0.9/B68))</f>
        <v>35.642754957229528</v>
      </c>
      <c r="F69" s="12">
        <f>IF(B68&gt;Population!$B$6*0.75,Population!$B$8,E69)</f>
        <v>35.642754957229528</v>
      </c>
      <c r="G69" s="15">
        <f>IF(Population!$J$6=1,IF(E69&gt;H68,H68,E69),IF(E69&gt;X68,X68,E69))</f>
        <v>35.642754957229528</v>
      </c>
      <c r="H69" s="15">
        <f t="shared" si="33"/>
        <v>707</v>
      </c>
      <c r="I69" s="15">
        <f t="shared" si="34"/>
        <v>754</v>
      </c>
      <c r="J69" s="12">
        <f t="shared" si="28"/>
        <v>1.0664780763790664</v>
      </c>
      <c r="K69" s="12">
        <f>AA69*Population!$O$29+AB69*Population!$O$30+AC69*Population!$O$31+AD69*Population!$O$32+AE69*Population!$O$33+AF69*Population!$O$34+AG69*Population!$O$35+AH69*Population!$O$36+AI69*Population!$O$37+AJ69*Population!$O$38+AK69*Population!$O$37+AL69*Population!$O$38+AM69*Population!$O$39+AN69*Population!$O$40+AO69*Population!$O$41+AP69*Population!$O$42+AQ69*Population!$O$43+AR69*Population!$O$44</f>
        <v>6.7762376107065752</v>
      </c>
      <c r="L69" s="12">
        <f t="shared" si="35"/>
        <v>5.0414080561852231E-2</v>
      </c>
      <c r="M69" s="12">
        <f t="shared" si="36"/>
        <v>19.844944597946924</v>
      </c>
      <c r="N69" s="12">
        <f t="shared" si="29"/>
        <v>0.24616389160953314</v>
      </c>
      <c r="O69" s="12">
        <f t="shared" si="37"/>
        <v>1045.3536144204406</v>
      </c>
      <c r="P69" s="12">
        <f t="shared" si="38"/>
        <v>315</v>
      </c>
      <c r="Q69" s="12">
        <f t="shared" si="39"/>
        <v>316.82319278977968</v>
      </c>
      <c r="R69" s="12">
        <f t="shared" si="40"/>
        <v>253.50883135590499</v>
      </c>
      <c r="S69" s="12">
        <f t="shared" si="41"/>
        <v>8.5163354385550422E-2</v>
      </c>
      <c r="T69" s="12">
        <f t="shared" si="30"/>
        <v>0.89366788230520466</v>
      </c>
      <c r="U69" s="12">
        <f>Population!$B$13*MIN(Y68:Z68)</f>
        <v>19.139628141508098</v>
      </c>
      <c r="V69" s="12">
        <f>X68*Population!$B$14</f>
        <v>3.8084685283051671</v>
      </c>
      <c r="W69" s="12">
        <f>AN68*T68*Population!$B$12</f>
        <v>18.252721540951029</v>
      </c>
      <c r="X69" s="12">
        <f t="shared" si="17"/>
        <v>631.82319278977968</v>
      </c>
      <c r="Y69" s="14">
        <f t="shared" si="42"/>
        <v>76.091923514438008</v>
      </c>
      <c r="Z69" s="13">
        <f t="shared" si="43"/>
        <v>76.091923514438008</v>
      </c>
      <c r="AA69" s="18">
        <f>(G69+Population!$B$11*AA68)*Population!M$29</f>
        <v>249.08254873883888</v>
      </c>
      <c r="AB69" s="18">
        <f>AA68*Population!$B$12*Population!$M$29+AB68*Population!$B$11*Population!$M$30</f>
        <v>250.52489666828595</v>
      </c>
      <c r="AC69" s="14">
        <f>(AB68*Population!$B$12*0.5*Population!$M$30)+(AC68*Population!$B$11*Population!M$31)</f>
        <v>127.44145615192365</v>
      </c>
      <c r="AD69" s="13">
        <f>(AB68*Population!$B$12*0.5*Population!$M$30)+(AD68*Population!$B$11*Population!M$31)</f>
        <v>127.44145615192365</v>
      </c>
      <c r="AE69" s="14">
        <f>(AC68*Population!$B$12*Population!M$31)+(AE68*Population!$B$11*Population!M$33)</f>
        <v>132.46951551035662</v>
      </c>
      <c r="AF69" s="13">
        <f>(AD68*Population!$B$12*Population!M$31)+(AF68*Population!$B$11*Population!M$33)</f>
        <v>132.46951551035662</v>
      </c>
      <c r="AG69" s="14">
        <f>(AE68*Population!$B$12*Population!M$33)+(AG68*Population!$B$11*Population!M$35)</f>
        <v>139.04230572092519</v>
      </c>
      <c r="AH69" s="13">
        <f>(AF68*Population!$B$12*Population!M$33)+(AH68*Population!$B$11*Population!M$35)</f>
        <v>139.04230572092519</v>
      </c>
      <c r="AI69" s="14">
        <f>(AG68*Population!$B$12*Population!M$35)+(AI68*Population!$B$11*Population!M$37)</f>
        <v>145.23201532560358</v>
      </c>
      <c r="AJ69" s="13">
        <f>(AH68*Population!$B$12*Population!M$35)+(AJ68*Population!$B$11*Population!M$37)</f>
        <v>145.23201532560358</v>
      </c>
      <c r="AK69" s="14">
        <f>(AI68*Population!$B$12*Population!M$37)+(AK68*Population!$B$11*Population!M$39)</f>
        <v>147.6105803591289</v>
      </c>
      <c r="AL69" s="13">
        <f>(AJ68*Population!$B$12*Population!M$37)+(AL68*Population!$B$11*Population!M$39)</f>
        <v>147.6105803591289</v>
      </c>
      <c r="AM69" s="14">
        <f>(AK68*Population!$B$12*Population!M$39)+(AM68*Population!$B$11*Population!M$41)</f>
        <v>143.56069938820335</v>
      </c>
      <c r="AN69" s="13">
        <f>(AL68*Population!$B$12*Population!M$39)+(AN68*Population!$B$11*Population!M$41)</f>
        <v>143.56069938820335</v>
      </c>
      <c r="AO69" s="15">
        <f>(AM68+AN68)*Population!$B$12*Population!$M$41+AO68*Population!$B$11*Population!$M$43</f>
        <v>258.39845037645057</v>
      </c>
      <c r="AP69" s="5">
        <f>AO68*Population!M$43*Population!$B$12+AP68*Population!$B$11*Population!M$44</f>
        <v>221.66556770667526</v>
      </c>
      <c r="AQ69" s="5">
        <f>AP68*Population!M$44*Population!$B$12+AQ68*Population!$B$11*Population!M$45</f>
        <v>151.82294350490184</v>
      </c>
      <c r="AR69" s="5">
        <f>(AQ68*Population!$B$12+AR68)*Population!M$46</f>
        <v>260.85535448294092</v>
      </c>
    </row>
    <row r="70" spans="1:44">
      <c r="A70">
        <f>A69+Population!$B$2</f>
        <v>67</v>
      </c>
      <c r="B70" s="4">
        <f t="shared" si="32"/>
        <v>3071</v>
      </c>
      <c r="C70" s="54">
        <f t="shared" si="31"/>
        <v>1373</v>
      </c>
      <c r="D70" s="12">
        <f>AD69*Population!$P$32*Population!$C$2+AF69*Population!$P$34*Population!$C$2+AH69*Population!$P$36*Population!$C$2+AJ69*Population!$P$38*Population!$C$2+AL69*Population!$P$40*Population!$C$2+AN68*Population!$P$42*Population!$C$2</f>
        <v>46.633901981740919</v>
      </c>
      <c r="E70" s="12">
        <f>IF(B69&gt;Population!$B$6*Population!$B$15,Population!$B$8,IF(Population!$J$6=1,D70,Population!$B$8*Population!$B$6*0.9/B69))</f>
        <v>35.642754957229528</v>
      </c>
      <c r="F70" s="12">
        <f>IF(B69&gt;Population!$B$6*0.75,Population!$B$8,E70)</f>
        <v>35.642754957229528</v>
      </c>
      <c r="G70" s="15">
        <f>IF(Population!$J$6=1,IF(E70&gt;H69,H69,E70),IF(E70&gt;X69,X69,E70))</f>
        <v>35.642754957229528</v>
      </c>
      <c r="H70" s="15">
        <f t="shared" si="33"/>
        <v>704</v>
      </c>
      <c r="I70" s="15">
        <f t="shared" si="34"/>
        <v>753</v>
      </c>
      <c r="J70" s="12">
        <f t="shared" si="28"/>
        <v>1.0696022727272727</v>
      </c>
      <c r="K70" s="12">
        <f>AA70*Population!$O$29+AB70*Population!$O$30+AC70*Population!$O$31+AD70*Population!$O$32+AE70*Population!$O$33+AF70*Population!$O$34+AG70*Population!$O$35+AH70*Population!$O$36+AI70*Population!$O$37+AJ70*Population!$O$38+AK70*Population!$O$37+AL70*Population!$O$38+AM70*Population!$O$39+AN70*Population!$O$40+AO70*Population!$O$41+AP70*Population!$O$42+AQ70*Population!$O$43+AR70*Population!$O$44</f>
        <v>6.8518341874874888</v>
      </c>
      <c r="L70" s="12">
        <f t="shared" si="35"/>
        <v>5.0628913291519216E-2</v>
      </c>
      <c r="M70" s="12">
        <f t="shared" si="36"/>
        <v>19.692988703900649</v>
      </c>
      <c r="N70" s="12">
        <f t="shared" si="29"/>
        <v>0.2451970042331488</v>
      </c>
      <c r="O70" s="12">
        <f t="shared" si="37"/>
        <v>1060.5454127494161</v>
      </c>
      <c r="P70" s="12">
        <f t="shared" si="38"/>
        <v>314</v>
      </c>
      <c r="Q70" s="12">
        <f t="shared" si="39"/>
        <v>314.72729362529196</v>
      </c>
      <c r="R70" s="12">
        <f t="shared" si="40"/>
        <v>260.85535448294092</v>
      </c>
      <c r="S70" s="12">
        <f t="shared" si="41"/>
        <v>8.7355977216368494E-2</v>
      </c>
      <c r="T70" s="12">
        <f t="shared" si="30"/>
        <v>0.8930785420813806</v>
      </c>
      <c r="U70" s="12">
        <f>Population!$B$13*MIN(Y69:Z69)</f>
        <v>19.022980878609502</v>
      </c>
      <c r="V70" s="12">
        <f>X69*Population!$B$14</f>
        <v>3.7909391567386783</v>
      </c>
      <c r="W70" s="12">
        <f>AN69*T69*Population!$B$12</f>
        <v>18.32794088635854</v>
      </c>
      <c r="X70" s="12">
        <f t="shared" si="17"/>
        <v>628.72729362529196</v>
      </c>
      <c r="Y70" s="14">
        <f t="shared" si="42"/>
        <v>75.676001048381863</v>
      </c>
      <c r="Z70" s="13">
        <f t="shared" si="43"/>
        <v>75.676001048381863</v>
      </c>
      <c r="AA70" s="18">
        <f>(G70+Population!$B$11*AA69)*Population!M$29</f>
        <v>249.04093076218911</v>
      </c>
      <c r="AB70" s="18">
        <f>AA69*Population!$B$12*Population!$M$29+AB69*Population!$B$11*Population!$M$30</f>
        <v>250.25608466046634</v>
      </c>
      <c r="AC70" s="14">
        <f>(AB69*Population!$B$12*0.5*Population!$M$30)+(AC69*Population!$B$11*Population!M$31)</f>
        <v>127.02204156407616</v>
      </c>
      <c r="AD70" s="13">
        <f>(AB69*Population!$B$12*0.5*Population!$M$30)+(AD69*Population!$B$11*Population!M$31)</f>
        <v>127.02204156407616</v>
      </c>
      <c r="AE70" s="14">
        <f>(AC69*Population!$B$12*Population!M$31)+(AE69*Population!$B$11*Population!M$33)</f>
        <v>131.62566240238033</v>
      </c>
      <c r="AF70" s="13">
        <f>(AD69*Population!$B$12*Population!M$31)+(AF69*Population!$B$11*Population!M$33)</f>
        <v>131.62566240238033</v>
      </c>
      <c r="AG70" s="14">
        <f>(AE69*Population!$B$12*Population!M$33)+(AG69*Population!$B$11*Population!M$35)</f>
        <v>137.85647700367448</v>
      </c>
      <c r="AH70" s="13">
        <f>(AF69*Population!$B$12*Population!M$33)+(AH69*Population!$B$11*Population!M$35)</f>
        <v>137.85647700367448</v>
      </c>
      <c r="AI70" s="14">
        <f>(AG69*Population!$B$12*Population!M$35)+(AI69*Population!$B$11*Population!M$37)</f>
        <v>144.07062337585882</v>
      </c>
      <c r="AJ70" s="13">
        <f>(AH69*Population!$B$12*Population!M$35)+(AJ69*Population!$B$11*Population!M$37)</f>
        <v>144.07062337585882</v>
      </c>
      <c r="AK70" s="14">
        <f>(AI69*Population!$B$12*Population!M$37)+(AK69*Population!$B$11*Population!M$39)</f>
        <v>146.98802544645923</v>
      </c>
      <c r="AL70" s="13">
        <f>(AJ69*Population!$B$12*Population!M$37)+(AL69*Population!$B$11*Population!M$39)</f>
        <v>146.98802544645923</v>
      </c>
      <c r="AM70" s="14">
        <f>(AK69*Population!$B$12*Population!M$39)+(AM69*Population!$B$11*Population!M$41)</f>
        <v>143.86250644530105</v>
      </c>
      <c r="AN70" s="13">
        <f>(AL69*Population!$B$12*Population!M$39)+(AN69*Population!$B$11*Population!M$41)</f>
        <v>143.86250644530105</v>
      </c>
      <c r="AO70" s="15">
        <f>(AM69+AN69)*Population!$B$12*Population!$M$41+AO69*Population!$B$11*Population!$M$43</f>
        <v>260.81721362258344</v>
      </c>
      <c r="AP70" s="5">
        <f>AO69*Population!M$43*Population!$B$12+AP69*Population!$B$11*Population!M$44</f>
        <v>225.26800223657608</v>
      </c>
      <c r="AQ70" s="5">
        <f>AP69*Population!M$44*Population!$B$12+AQ69*Population!$B$11*Population!M$45</f>
        <v>154.99651181928672</v>
      </c>
      <c r="AR70" s="5">
        <f>(AQ69*Population!$B$12+AR69)*Population!M$46</f>
        <v>268.27020603146764</v>
      </c>
    </row>
    <row r="71" spans="1:44">
      <c r="A71">
        <f>A70+Population!$B$2</f>
        <v>68</v>
      </c>
      <c r="B71" s="4">
        <f t="shared" si="32"/>
        <v>3079</v>
      </c>
      <c r="C71" s="54">
        <f t="shared" si="31"/>
        <v>1365</v>
      </c>
      <c r="D71" s="12">
        <f>AD70*Population!$P$32*Population!$C$2+AF70*Population!$P$34*Population!$C$2+AH70*Population!$P$36*Population!$C$2+AJ70*Population!$P$38*Population!$C$2+AL70*Population!$P$40*Population!$C$2+AN69*Population!$P$42*Population!$C$2</f>
        <v>46.342820643782531</v>
      </c>
      <c r="E71" s="12">
        <f>IF(B70&gt;Population!$B$6*Population!$B$15,Population!$B$8,IF(Population!$J$6=1,D71,Population!$B$8*Population!$B$6*0.9/B70))</f>
        <v>35.642754957229528</v>
      </c>
      <c r="F71" s="12">
        <f>IF(B70&gt;Population!$B$6*0.75,Population!$B$8,E71)</f>
        <v>35.642754957229528</v>
      </c>
      <c r="G71" s="15">
        <f>IF(Population!$J$6=1,IF(E71&gt;H70,H70,E71),IF(E71&gt;X70,X70,E71))</f>
        <v>35.642754957229528</v>
      </c>
      <c r="H71" s="15">
        <f t="shared" si="33"/>
        <v>700</v>
      </c>
      <c r="I71" s="15">
        <f t="shared" si="34"/>
        <v>752</v>
      </c>
      <c r="J71" s="12">
        <f t="shared" si="28"/>
        <v>1.0742857142857143</v>
      </c>
      <c r="K71" s="12">
        <f>AA71*Population!$O$29+AB71*Population!$O$30+AC71*Population!$O$31+AD71*Population!$O$32+AE71*Population!$O$33+AF71*Population!$O$34+AG71*Population!$O$35+AH71*Population!$O$36+AI71*Population!$O$37+AJ71*Population!$O$38+AK71*Population!$O$37+AL71*Population!$O$38+AM71*Population!$O$39+AN71*Population!$O$40+AO71*Population!$O$41+AP71*Population!$O$42+AQ71*Population!$O$43+AR71*Population!$O$44</f>
        <v>6.9259540271485296</v>
      </c>
      <c r="L71" s="12">
        <f t="shared" si="35"/>
        <v>5.0918221367470755E-2</v>
      </c>
      <c r="M71" s="12">
        <f t="shared" si="36"/>
        <v>19.546320722652361</v>
      </c>
      <c r="N71" s="12">
        <f t="shared" si="29"/>
        <v>0.24423514127963625</v>
      </c>
      <c r="O71" s="12">
        <f t="shared" si="37"/>
        <v>1075.9608590391124</v>
      </c>
      <c r="P71" s="12">
        <f t="shared" si="38"/>
        <v>314</v>
      </c>
      <c r="Q71" s="12">
        <f t="shared" si="39"/>
        <v>311.5195704804438</v>
      </c>
      <c r="R71" s="12">
        <f t="shared" si="40"/>
        <v>268.27020603146764</v>
      </c>
      <c r="S71" s="12">
        <f t="shared" si="41"/>
        <v>8.9555349816799579E-2</v>
      </c>
      <c r="T71" s="12">
        <f t="shared" si="30"/>
        <v>0.89359938640063397</v>
      </c>
      <c r="U71" s="12">
        <f>Population!$B$13*MIN(Y70:Z70)</f>
        <v>18.919000262095466</v>
      </c>
      <c r="V71" s="12">
        <f>X70*Population!$B$14</f>
        <v>3.7723637617517518</v>
      </c>
      <c r="W71" s="12">
        <f>AN70*T70*Population!$B$12</f>
        <v>18.35435964519181</v>
      </c>
      <c r="X71" s="12">
        <f t="shared" si="17"/>
        <v>625.5195704804438</v>
      </c>
      <c r="Y71" s="14">
        <f t="shared" si="42"/>
        <v>75.274937472362581</v>
      </c>
      <c r="Z71" s="13">
        <f t="shared" si="43"/>
        <v>75.274937472362581</v>
      </c>
      <c r="AA71" s="18">
        <f>(G71+Population!$B$11*AA70)*Population!M$29</f>
        <v>249.0052726938309</v>
      </c>
      <c r="AB71" s="18">
        <f>AA70*Population!$B$12*Population!$M$29+AB70*Population!$B$11*Population!$M$30</f>
        <v>250.01978319897231</v>
      </c>
      <c r="AC71" s="14">
        <f>(AB70*Population!$B$12*0.5*Population!$M$30)+(AC70*Population!$B$11*Population!M$31)</f>
        <v>126.64368941021463</v>
      </c>
      <c r="AD71" s="13">
        <f>(AB70*Population!$B$12*0.5*Population!$M$30)+(AD70*Population!$B$11*Population!M$31)</f>
        <v>126.64368941021463</v>
      </c>
      <c r="AE71" s="14">
        <f>(AC70*Population!$B$12*Population!M$31)+(AE70*Population!$B$11*Population!M$33)</f>
        <v>130.84318977644725</v>
      </c>
      <c r="AF71" s="13">
        <f>(AD70*Population!$B$12*Population!M$31)+(AF70*Population!$B$11*Population!M$33)</f>
        <v>130.84318977644725</v>
      </c>
      <c r="AG71" s="14">
        <f>(AE70*Population!$B$12*Population!M$33)+(AG70*Population!$B$11*Population!M$35)</f>
        <v>136.72156836472507</v>
      </c>
      <c r="AH71" s="13">
        <f>(AF70*Population!$B$12*Population!M$33)+(AH70*Population!$B$11*Population!M$35)</f>
        <v>136.72156836472507</v>
      </c>
      <c r="AI71" s="14">
        <f>(AG70*Population!$B$12*Population!M$35)+(AI70*Population!$B$11*Population!M$37)</f>
        <v>142.90797703452722</v>
      </c>
      <c r="AJ71" s="13">
        <f>(AH70*Population!$B$12*Population!M$35)+(AJ70*Population!$B$11*Population!M$37)</f>
        <v>142.90797703452722</v>
      </c>
      <c r="AK71" s="14">
        <f>(AI70*Population!$B$12*Population!M$37)+(AK70*Population!$B$11*Population!M$39)</f>
        <v>146.28983691494133</v>
      </c>
      <c r="AL71" s="13">
        <f>(AJ70*Population!$B$12*Population!M$37)+(AL70*Population!$B$11*Population!M$39)</f>
        <v>146.28983691494133</v>
      </c>
      <c r="AM71" s="14">
        <f>(AK70*Population!$B$12*Population!M$39)+(AM70*Population!$B$11*Population!M$41)</f>
        <v>144.03193586216551</v>
      </c>
      <c r="AN71" s="13">
        <f>(AL70*Population!$B$12*Population!M$39)+(AN70*Population!$B$11*Population!M$41)</f>
        <v>144.03193586216551</v>
      </c>
      <c r="AO71" s="15">
        <f>(AM70+AN70)*Population!$B$12*Population!$M$41+AO70*Population!$B$11*Population!$M$43</f>
        <v>262.96147340125293</v>
      </c>
      <c r="AP71" s="5">
        <f>AO70*Population!M$43*Population!$B$12+AP70*Population!$B$11*Population!M$44</f>
        <v>228.67644916371219</v>
      </c>
      <c r="AQ71" s="5">
        <f>AP70*Population!M$44*Population!$B$12+AQ70*Population!$B$11*Population!M$45</f>
        <v>158.09019106763128</v>
      </c>
      <c r="AR71" s="5">
        <f>(AQ70*Population!$B$12+AR70)*Population!M$46</f>
        <v>275.74092208592589</v>
      </c>
    </row>
    <row r="72" spans="1:44">
      <c r="A72">
        <f>A71+Population!$B$2</f>
        <v>69</v>
      </c>
      <c r="B72" s="4">
        <f t="shared" si="32"/>
        <v>3086</v>
      </c>
      <c r="C72" s="54">
        <f t="shared" si="31"/>
        <v>1358</v>
      </c>
      <c r="D72" s="12">
        <f>AD71*Population!$P$32*Population!$C$2+AF71*Population!$P$34*Population!$C$2+AH71*Population!$P$36*Population!$C$2+AJ71*Population!$P$38*Population!$C$2+AL71*Population!$P$40*Population!$C$2+AN70*Population!$P$42*Population!$C$2</f>
        <v>46.055742925831169</v>
      </c>
      <c r="E72" s="12">
        <f>IF(B71&gt;Population!$B$6*Population!$B$15,Population!$B$8,IF(Population!$J$6=1,D72,Population!$B$8*Population!$B$6*0.9/B71))</f>
        <v>35.642754957229528</v>
      </c>
      <c r="F72" s="12">
        <f>IF(B71&gt;Population!$B$6*0.75,Population!$B$8,E72)</f>
        <v>35.642754957229528</v>
      </c>
      <c r="G72" s="15">
        <f>IF(Population!$J$6=1,IF(E72&gt;H71,H71,E72),IF(E72&gt;X71,X71,E72))</f>
        <v>35.642754957229528</v>
      </c>
      <c r="H72" s="15">
        <f t="shared" si="33"/>
        <v>697</v>
      </c>
      <c r="I72" s="15">
        <f t="shared" si="34"/>
        <v>751</v>
      </c>
      <c r="J72" s="12">
        <f t="shared" si="28"/>
        <v>1.0774748923959827</v>
      </c>
      <c r="K72" s="12">
        <f>AA72*Population!$O$29+AB72*Population!$O$30+AC72*Population!$O$31+AD72*Population!$O$32+AE72*Population!$O$33+AF72*Population!$O$34+AG72*Population!$O$35+AH72*Population!$O$36+AI72*Population!$O$37+AJ72*Population!$O$38+AK72*Population!$O$37+AL72*Population!$O$38+AM72*Population!$O$39+AN72*Population!$O$40+AO72*Population!$O$41+AP72*Population!$O$42+AQ72*Population!$O$43+AR72*Population!$O$44</f>
        <v>6.9984869611627163</v>
      </c>
      <c r="L72" s="12">
        <f t="shared" si="35"/>
        <v>5.1137381574217398E-2</v>
      </c>
      <c r="M72" s="12">
        <f t="shared" si="36"/>
        <v>19.405220914804882</v>
      </c>
      <c r="N72" s="12">
        <f t="shared" si="29"/>
        <v>0.24335709656513285</v>
      </c>
      <c r="O72" s="12">
        <f t="shared" si="37"/>
        <v>1090.6030107225611</v>
      </c>
      <c r="P72" s="12">
        <f t="shared" si="38"/>
        <v>313</v>
      </c>
      <c r="Q72" s="12">
        <f t="shared" si="39"/>
        <v>309.19849463871947</v>
      </c>
      <c r="R72" s="12">
        <f t="shared" si="40"/>
        <v>275.74092208592589</v>
      </c>
      <c r="S72" s="12">
        <f t="shared" si="41"/>
        <v>9.1786728521891903E-2</v>
      </c>
      <c r="T72" s="12">
        <f t="shared" si="30"/>
        <v>0.89268076705698629</v>
      </c>
      <c r="U72" s="12">
        <f>Population!$B$13*MIN(Y71:Z71)</f>
        <v>18.818734368090645</v>
      </c>
      <c r="V72" s="12">
        <f>X71*Population!$B$14</f>
        <v>3.7531174228826627</v>
      </c>
      <c r="W72" s="12">
        <f>AN71*T71*Population!$B$12</f>
        <v>18.386692786932368</v>
      </c>
      <c r="X72" s="12">
        <f t="shared" si="17"/>
        <v>622.19849463871947</v>
      </c>
      <c r="Y72" s="14">
        <f t="shared" si="42"/>
        <v>74.9152422846023</v>
      </c>
      <c r="Z72" s="13">
        <f t="shared" si="43"/>
        <v>74.9152422846023</v>
      </c>
      <c r="AA72" s="18">
        <f>(G72+Population!$B$11*AA71)*Population!M$29</f>
        <v>248.97472104424594</v>
      </c>
      <c r="AB72" s="18">
        <f>AA71*Population!$B$12*Population!$M$29+AB71*Population!$B$11*Population!$M$30</f>
        <v>249.81219271994749</v>
      </c>
      <c r="AC72" s="14">
        <f>(AB71*Population!$B$12*0.5*Population!$M$30)+(AC71*Population!$B$11*Population!M$31)</f>
        <v>126.30282174558808</v>
      </c>
      <c r="AD72" s="13">
        <f>(AB71*Population!$B$12*0.5*Population!$M$30)+(AD71*Population!$B$11*Population!M$31)</f>
        <v>126.30282174558808</v>
      </c>
      <c r="AE72" s="14">
        <f>(AC71*Population!$B$12*Population!M$31)+(AE71*Population!$B$11*Population!M$33)</f>
        <v>130.11913932482122</v>
      </c>
      <c r="AF72" s="13">
        <f>(AD71*Population!$B$12*Population!M$31)+(AF71*Population!$B$11*Population!M$33)</f>
        <v>130.11913932482122</v>
      </c>
      <c r="AG72" s="14">
        <f>(AE71*Population!$B$12*Population!M$33)+(AG71*Population!$B$11*Population!M$35)</f>
        <v>135.63898199105415</v>
      </c>
      <c r="AH72" s="13">
        <f>(AF71*Population!$B$12*Population!M$33)+(AH71*Population!$B$11*Population!M$35)</f>
        <v>135.63898199105415</v>
      </c>
      <c r="AI72" s="14">
        <f>(AG71*Population!$B$12*Population!M$35)+(AI71*Population!$B$11*Population!M$37)</f>
        <v>141.75151789502721</v>
      </c>
      <c r="AJ72" s="13">
        <f>(AH71*Population!$B$12*Population!M$35)+(AJ71*Population!$B$11*Population!M$37)</f>
        <v>141.75151789502721</v>
      </c>
      <c r="AK72" s="14">
        <f>(AI71*Population!$B$12*Population!M$37)+(AK71*Population!$B$11*Population!M$39)</f>
        <v>145.5267651838584</v>
      </c>
      <c r="AL72" s="13">
        <f>(AJ71*Population!$B$12*Population!M$37)+(AL71*Population!$B$11*Population!M$39)</f>
        <v>145.5267651838584</v>
      </c>
      <c r="AM72" s="14">
        <f>(AK71*Population!$B$12*Population!M$39)+(AM71*Population!$B$11*Population!M$41)</f>
        <v>144.07733252856082</v>
      </c>
      <c r="AN72" s="13">
        <f>(AL71*Population!$B$12*Population!M$39)+(AN71*Population!$B$11*Population!M$41)</f>
        <v>144.07733252856082</v>
      </c>
      <c r="AO72" s="15">
        <f>(AM71+AN71)*Population!$B$12*Population!$M$41+AO71*Population!$B$11*Population!$M$43</f>
        <v>264.83440077216909</v>
      </c>
      <c r="AP72" s="5">
        <f>AO71*Population!M$43*Population!$B$12+AP71*Population!$B$11*Population!M$44</f>
        <v>231.88089602324936</v>
      </c>
      <c r="AQ72" s="5">
        <f>AP71*Population!M$44*Population!$B$12+AQ71*Population!$B$11*Population!M$45</f>
        <v>161.09134179952036</v>
      </c>
      <c r="AR72" s="5">
        <f>(AQ71*Population!$B$12+AR71)*Population!M$46</f>
        <v>283.25384421855841</v>
      </c>
    </row>
    <row r="73" spans="1:44">
      <c r="A73">
        <f>A72+Population!$B$2</f>
        <v>70</v>
      </c>
      <c r="B73" s="4">
        <f t="shared" si="32"/>
        <v>3093</v>
      </c>
      <c r="C73" s="54">
        <f t="shared" si="31"/>
        <v>1351</v>
      </c>
      <c r="D73" s="12">
        <f>AD72*Population!$P$32*Population!$C$2+AF72*Population!$P$34*Population!$C$2+AH72*Population!$P$36*Population!$C$2+AJ72*Population!$P$38*Population!$C$2+AL72*Population!$P$40*Population!$C$2+AN71*Population!$P$42*Population!$C$2</f>
        <v>45.773684441841183</v>
      </c>
      <c r="E73" s="12">
        <f>IF(B72&gt;Population!$B$6*Population!$B$15,Population!$B$8,IF(Population!$J$6=1,D73,Population!$B$8*Population!$B$6*0.9/B72))</f>
        <v>35.642754957229528</v>
      </c>
      <c r="F73" s="12">
        <f>IF(B72&gt;Population!$B$6*0.75,Population!$B$8,E73)</f>
        <v>35.642754957229528</v>
      </c>
      <c r="G73" s="15">
        <f>IF(Population!$J$6=1,IF(E73&gt;H72,H72,E73),IF(E73&gt;X72,X72,E73))</f>
        <v>35.642754957229528</v>
      </c>
      <c r="H73" s="15">
        <f t="shared" si="33"/>
        <v>693</v>
      </c>
      <c r="I73" s="15">
        <f t="shared" si="34"/>
        <v>750</v>
      </c>
      <c r="J73" s="12">
        <f t="shared" si="28"/>
        <v>1.0822510822510822</v>
      </c>
      <c r="K73" s="12">
        <f>AA73*Population!$O$29+AB73*Population!$O$30+AC73*Population!$O$31+AD73*Population!$O$32+AE73*Population!$O$33+AF73*Population!$O$34+AG73*Population!$O$35+AH73*Population!$O$36+AI73*Population!$O$37+AJ73*Population!$O$38+AK73*Population!$O$37+AL73*Population!$O$38+AM73*Population!$O$39+AN73*Population!$O$40+AO73*Population!$O$41+AP73*Population!$O$42+AQ73*Population!$O$43+AR73*Population!$O$44</f>
        <v>7.0693235965060026</v>
      </c>
      <c r="L73" s="12">
        <f t="shared" si="35"/>
        <v>5.1432546835829047E-2</v>
      </c>
      <c r="M73" s="12">
        <f t="shared" si="36"/>
        <v>19.269894024185096</v>
      </c>
      <c r="N73" s="12">
        <f t="shared" si="29"/>
        <v>0.24248302618816683</v>
      </c>
      <c r="O73" s="12">
        <f t="shared" si="37"/>
        <v>1105.358932577959</v>
      </c>
      <c r="P73" s="12">
        <f t="shared" si="38"/>
        <v>313</v>
      </c>
      <c r="Q73" s="12">
        <f t="shared" si="39"/>
        <v>305.82053371102052</v>
      </c>
      <c r="R73" s="12">
        <f t="shared" si="40"/>
        <v>283.25384421855841</v>
      </c>
      <c r="S73" s="12">
        <f t="shared" si="41"/>
        <v>9.4016905790599348E-2</v>
      </c>
      <c r="T73" s="12">
        <f t="shared" si="30"/>
        <v>0.89295892310392566</v>
      </c>
      <c r="U73" s="12">
        <f>Population!$B$13*MIN(Y72:Z72)</f>
        <v>18.728810571150575</v>
      </c>
      <c r="V73" s="12">
        <f>X72*Population!$B$14</f>
        <v>3.733190967832317</v>
      </c>
      <c r="W73" s="12">
        <f>AN72*T72*Population!$B$12</f>
        <v>18.373580531017165</v>
      </c>
      <c r="X73" s="12">
        <f t="shared" si="17"/>
        <v>618.82053371102052</v>
      </c>
      <c r="Y73" s="14">
        <f t="shared" si="42"/>
        <v>74.56367734604396</v>
      </c>
      <c r="Z73" s="13">
        <f t="shared" si="43"/>
        <v>74.56367734604396</v>
      </c>
      <c r="AA73" s="18">
        <f>(G73+Population!$B$11*AA72)*Population!M$29</f>
        <v>248.94854454800429</v>
      </c>
      <c r="AB73" s="18">
        <f>AA72*Population!$B$12*Population!$M$29+AB72*Population!$B$11*Population!$M$30</f>
        <v>249.62993530957357</v>
      </c>
      <c r="AC73" s="14">
        <f>(AB72*Population!$B$12*0.5*Population!$M$30)+(AC72*Population!$B$11*Population!M$31)</f>
        <v>125.9961033467257</v>
      </c>
      <c r="AD73" s="13">
        <f>(AB72*Population!$B$12*0.5*Population!$M$30)+(AD72*Population!$B$11*Population!M$31)</f>
        <v>125.9961033467257</v>
      </c>
      <c r="AE73" s="14">
        <f>(AC72*Population!$B$12*Population!M$31)+(AE72*Population!$B$11*Population!M$33)</f>
        <v>129.45046712381895</v>
      </c>
      <c r="AF73" s="13">
        <f>(AD72*Population!$B$12*Population!M$31)+(AF72*Population!$B$11*Population!M$33)</f>
        <v>129.45046712381895</v>
      </c>
      <c r="AG73" s="14">
        <f>(AE72*Population!$B$12*Population!M$33)+(AG72*Population!$B$11*Population!M$35)</f>
        <v>134.6094952369761</v>
      </c>
      <c r="AH73" s="13">
        <f>(AF72*Population!$B$12*Population!M$33)+(AH72*Population!$B$11*Population!M$35)</f>
        <v>134.6094952369761</v>
      </c>
      <c r="AI73" s="14">
        <f>(AG72*Population!$B$12*Population!M$35)+(AI72*Population!$B$11*Population!M$37)</f>
        <v>140.60781214709198</v>
      </c>
      <c r="AJ73" s="13">
        <f>(AH72*Population!$B$12*Population!M$35)+(AJ72*Population!$B$11*Population!M$37)</f>
        <v>140.60781214709198</v>
      </c>
      <c r="AK73" s="14">
        <f>(AI72*Population!$B$12*Population!M$37)+(AK72*Population!$B$11*Population!M$39)</f>
        <v>144.70906824984303</v>
      </c>
      <c r="AL73" s="13">
        <f>(AJ72*Population!$B$12*Population!M$37)+(AL72*Population!$B$11*Population!M$39)</f>
        <v>144.70906824984303</v>
      </c>
      <c r="AM73" s="14">
        <f>(AK72*Population!$B$12*Population!M$39)+(AM72*Population!$B$11*Population!M$41)</f>
        <v>144.00736829933447</v>
      </c>
      <c r="AN73" s="13">
        <f>(AL72*Population!$B$12*Population!M$39)+(AN72*Population!$B$11*Population!M$41)</f>
        <v>144.00736829933447</v>
      </c>
      <c r="AO73" s="15">
        <f>(AM72+AN72)*Population!$B$12*Population!$M$41+AO72*Population!$B$11*Population!$M$43</f>
        <v>266.44107375709103</v>
      </c>
      <c r="AP73" s="5">
        <f>AO72*Population!M$43*Population!$B$12+AP72*Population!$B$11*Population!M$44</f>
        <v>234.87327264700798</v>
      </c>
      <c r="AQ73" s="5">
        <f>AP72*Population!M$44*Population!$B$12+AQ72*Population!$B$11*Population!M$45</f>
        <v>163.98825754256177</v>
      </c>
      <c r="AR73" s="5">
        <f>(AQ72*Population!$B$12+AR72)*Population!M$46</f>
        <v>290.7942896103238</v>
      </c>
    </row>
    <row r="74" spans="1:44">
      <c r="A74">
        <f>A73+Population!$B$2</f>
        <v>71</v>
      </c>
      <c r="B74" s="4">
        <f t="shared" si="32"/>
        <v>3099</v>
      </c>
      <c r="C74" s="54">
        <f t="shared" si="31"/>
        <v>1343</v>
      </c>
      <c r="D74" s="12">
        <f>AD73*Population!$P$32*Population!$C$2+AF73*Population!$P$34*Population!$C$2+AH73*Population!$P$36*Population!$C$2+AJ73*Population!$P$38*Population!$C$2+AL73*Population!$P$40*Population!$C$2+AN72*Population!$P$42*Population!$C$2</f>
        <v>45.497523019428478</v>
      </c>
      <c r="E74" s="12">
        <f>IF(B73&gt;Population!$B$6*Population!$B$15,Population!$B$8,IF(Population!$J$6=1,D74,Population!$B$8*Population!$B$6*0.9/B73))</f>
        <v>35.642754957229528</v>
      </c>
      <c r="F74" s="12">
        <f>IF(B73&gt;Population!$B$6*0.75,Population!$B$8,E74)</f>
        <v>35.642754957229528</v>
      </c>
      <c r="G74" s="15">
        <f>IF(Population!$J$6=1,IF(E74&gt;H73,H73,E74),IF(E74&gt;X73,X73,E74))</f>
        <v>35.642754957229528</v>
      </c>
      <c r="H74" s="15">
        <f t="shared" si="33"/>
        <v>689</v>
      </c>
      <c r="I74" s="15">
        <f t="shared" si="34"/>
        <v>749</v>
      </c>
      <c r="J74" s="12">
        <f t="shared" si="28"/>
        <v>1.0870827285921625</v>
      </c>
      <c r="K74" s="12">
        <f>AA74*Population!$O$29+AB74*Population!$O$30+AC74*Population!$O$31+AD74*Population!$O$32+AE74*Population!$O$33+AF74*Population!$O$34+AG74*Population!$O$35+AH74*Population!$O$36+AI74*Population!$O$37+AJ74*Population!$O$38+AK74*Population!$O$37+AL74*Population!$O$38+AM74*Population!$O$39+AN74*Population!$O$40+AO74*Population!$O$41+AP74*Population!$O$42+AQ74*Population!$O$43+AR74*Population!$O$44</f>
        <v>7.1383567927602325</v>
      </c>
      <c r="L74" s="12">
        <f t="shared" si="35"/>
        <v>5.1731139270289592E-2</v>
      </c>
      <c r="M74" s="12">
        <f t="shared" si="36"/>
        <v>19.140477012178579</v>
      </c>
      <c r="N74" s="12">
        <f t="shared" si="29"/>
        <v>0.24169086802194256</v>
      </c>
      <c r="O74" s="12">
        <f t="shared" si="37"/>
        <v>1119.243701599642</v>
      </c>
      <c r="P74" s="12">
        <f t="shared" si="38"/>
        <v>313</v>
      </c>
      <c r="Q74" s="12">
        <f t="shared" si="39"/>
        <v>302.378149200179</v>
      </c>
      <c r="R74" s="12">
        <f t="shared" si="40"/>
        <v>290.7942896103238</v>
      </c>
      <c r="S74" s="12">
        <f t="shared" si="41"/>
        <v>9.6271935899413782E-2</v>
      </c>
      <c r="T74" s="12">
        <f t="shared" si="30"/>
        <v>0.89314680580577499</v>
      </c>
      <c r="U74" s="12">
        <f>Population!$B$13*MIN(Y73:Z73)</f>
        <v>18.64091933651099</v>
      </c>
      <c r="V74" s="12">
        <f>X73*Population!$B$14</f>
        <v>3.7129232022661234</v>
      </c>
      <c r="W74" s="12">
        <f>AN73*T73*Population!$B$12</f>
        <v>18.370380645086303</v>
      </c>
      <c r="X74" s="12">
        <f t="shared" si="17"/>
        <v>615.378149200179</v>
      </c>
      <c r="Y74" s="14">
        <f t="shared" si="42"/>
        <v>74.249250617369853</v>
      </c>
      <c r="Z74" s="13">
        <f t="shared" si="43"/>
        <v>74.249250617369853</v>
      </c>
      <c r="AA74" s="18">
        <f>(G74+Population!$B$11*AA73)*Population!M$29</f>
        <v>248.92611666064644</v>
      </c>
      <c r="AB74" s="18">
        <f>AA73*Population!$B$12*Population!$M$29+AB73*Population!$B$11*Population!$M$30</f>
        <v>249.47001184052732</v>
      </c>
      <c r="AC74" s="14">
        <f>(AB73*Population!$B$12*0.5*Population!$M$30)+(AC73*Population!$B$11*Population!M$31)</f>
        <v>125.72043694978316</v>
      </c>
      <c r="AD74" s="13">
        <f>(AB73*Population!$B$12*0.5*Population!$M$30)+(AD73*Population!$B$11*Population!M$31)</f>
        <v>125.72043694978316</v>
      </c>
      <c r="AE74" s="14">
        <f>(AC73*Population!$B$12*Population!M$31)+(AE73*Population!$B$11*Population!M$33)</f>
        <v>128.83409057601943</v>
      </c>
      <c r="AF74" s="13">
        <f>(AD73*Population!$B$12*Population!M$31)+(AF73*Population!$B$11*Population!M$33)</f>
        <v>128.83409057601943</v>
      </c>
      <c r="AG74" s="14">
        <f>(AE73*Population!$B$12*Population!M$33)+(AG73*Population!$B$11*Population!M$35)</f>
        <v>133.63333869505379</v>
      </c>
      <c r="AH74" s="13">
        <f>(AF73*Population!$B$12*Population!M$33)+(AH73*Population!$B$11*Population!M$35)</f>
        <v>133.63333869505379</v>
      </c>
      <c r="AI74" s="14">
        <f>(AG73*Population!$B$12*Population!M$35)+(AI73*Population!$B$11*Population!M$37)</f>
        <v>139.48258798467691</v>
      </c>
      <c r="AJ74" s="13">
        <f>(AH73*Population!$B$12*Population!M$35)+(AJ73*Population!$B$11*Population!M$37)</f>
        <v>139.48258798467691</v>
      </c>
      <c r="AK74" s="14">
        <f>(AI73*Population!$B$12*Population!M$37)+(AK73*Population!$B$11*Population!M$39)</f>
        <v>143.84645802579851</v>
      </c>
      <c r="AL74" s="13">
        <f>(AJ73*Population!$B$12*Population!M$37)+(AL73*Population!$B$11*Population!M$39)</f>
        <v>143.84645802579851</v>
      </c>
      <c r="AM74" s="14">
        <f>(AK73*Population!$B$12*Population!M$39)+(AM73*Population!$B$11*Population!M$41)</f>
        <v>143.83092453600028</v>
      </c>
      <c r="AN74" s="13">
        <f>(AL73*Population!$B$12*Population!M$39)+(AN73*Population!$B$11*Population!M$41)</f>
        <v>143.83092453600028</v>
      </c>
      <c r="AO74" s="15">
        <f>(AM73+AN73)*Population!$B$12*Population!$M$41+AO73*Population!$B$11*Population!$M$43</f>
        <v>267.7882863055018</v>
      </c>
      <c r="AP74" s="5">
        <f>AO73*Population!M$43*Population!$B$12+AP73*Population!$B$11*Population!M$44</f>
        <v>237.64743207060789</v>
      </c>
      <c r="AQ74" s="5">
        <f>AP73*Population!M$44*Population!$B$12+AQ73*Population!$B$11*Population!M$45</f>
        <v>166.77026657848378</v>
      </c>
      <c r="AR74" s="5">
        <f>(AQ73*Population!$B$12+AR73)*Population!M$46</f>
        <v>298.34672935228332</v>
      </c>
    </row>
    <row r="75" spans="1:44">
      <c r="A75">
        <f>A74+Population!$B$2</f>
        <v>72</v>
      </c>
      <c r="B75" s="4">
        <f t="shared" si="32"/>
        <v>3105</v>
      </c>
      <c r="C75" s="54">
        <f t="shared" si="31"/>
        <v>1335</v>
      </c>
      <c r="D75" s="12">
        <f>AD74*Population!$P$32*Population!$C$2+AF74*Population!$P$34*Population!$C$2+AH74*Population!$P$36*Population!$C$2+AJ74*Population!$P$38*Population!$C$2+AL74*Population!$P$40*Population!$C$2+AN73*Population!$P$42*Population!$C$2</f>
        <v>45.228007725332269</v>
      </c>
      <c r="E75" s="12">
        <f>IF(B74&gt;Population!$B$6*Population!$B$15,Population!$B$8,IF(Population!$J$6=1,D75,Population!$B$8*Population!$B$6*0.9/B74))</f>
        <v>35.642754957229528</v>
      </c>
      <c r="F75" s="12">
        <f>IF(B74&gt;Population!$B$6*0.75,Population!$B$8,E75)</f>
        <v>35.642754957229528</v>
      </c>
      <c r="G75" s="15">
        <f>IF(Population!$J$6=1,IF(E75&gt;H74,H74,E75),IF(E75&gt;X74,X74,E75))</f>
        <v>35.642754957229528</v>
      </c>
      <c r="H75" s="15">
        <f t="shared" si="33"/>
        <v>685</v>
      </c>
      <c r="I75" s="15">
        <f t="shared" si="34"/>
        <v>749</v>
      </c>
      <c r="J75" s="12">
        <f t="shared" si="28"/>
        <v>1.0934306569343066</v>
      </c>
      <c r="K75" s="12">
        <f>AA75*Population!$O$29+AB75*Population!$O$30+AC75*Population!$O$31+AD75*Population!$O$32+AE75*Population!$O$33+AF75*Population!$O$34+AG75*Population!$O$35+AH75*Population!$O$36+AI75*Population!$O$37+AJ75*Population!$O$38+AK75*Population!$O$37+AL75*Population!$O$38+AM75*Population!$O$39+AN75*Population!$O$40+AO75*Population!$O$41+AP75*Population!$O$42+AQ75*Population!$O$43+AR75*Population!$O$44</f>
        <v>7.205483034415991</v>
      </c>
      <c r="L75" s="12">
        <f t="shared" si="35"/>
        <v>5.2033218915663544E-2</v>
      </c>
      <c r="M75" s="12">
        <f t="shared" si="36"/>
        <v>19.017046493027664</v>
      </c>
      <c r="N75" s="12">
        <f t="shared" si="29"/>
        <v>0.24122383252818036</v>
      </c>
      <c r="O75" s="12">
        <f t="shared" si="37"/>
        <v>1132.2070800314793</v>
      </c>
      <c r="P75" s="12">
        <f t="shared" si="38"/>
        <v>313</v>
      </c>
      <c r="Q75" s="12">
        <f t="shared" si="39"/>
        <v>298.89645998426033</v>
      </c>
      <c r="R75" s="12">
        <f t="shared" si="40"/>
        <v>298.34672935228332</v>
      </c>
      <c r="S75" s="12">
        <f t="shared" si="41"/>
        <v>9.8516899048023035E-2</v>
      </c>
      <c r="T75" s="12">
        <f t="shared" si="30"/>
        <v>0.89327950362665742</v>
      </c>
      <c r="U75" s="12">
        <f>Population!$B$13*MIN(Y74:Z74)</f>
        <v>18.562312654342463</v>
      </c>
      <c r="V75" s="12">
        <f>X74*Population!$B$14</f>
        <v>3.692268895201074</v>
      </c>
      <c r="W75" s="12">
        <f>AN74*T74*Population!$B$12</f>
        <v>18.351732975060017</v>
      </c>
      <c r="X75" s="12">
        <f t="shared" si="17"/>
        <v>611.89645998426033</v>
      </c>
      <c r="Y75" s="14">
        <f t="shared" si="42"/>
        <v>73.966560107294413</v>
      </c>
      <c r="Z75" s="13">
        <f t="shared" si="43"/>
        <v>73.966560107294413</v>
      </c>
      <c r="AA75" s="18">
        <f>(G75+Population!$B$11*AA74)*Population!M$29</f>
        <v>248.90690056210167</v>
      </c>
      <c r="AB75" s="18">
        <f>AA74*Population!$B$12*Population!$M$29+AB74*Population!$B$11*Population!$M$30</f>
        <v>249.32976274063736</v>
      </c>
      <c r="AC75" s="14">
        <f>(AB74*Population!$B$12*0.5*Population!$M$30)+(AC74*Population!$B$11*Population!M$31)</f>
        <v>125.47295611202169</v>
      </c>
      <c r="AD75" s="13">
        <f>(AB74*Population!$B$12*0.5*Population!$M$30)+(AD74*Population!$B$11*Population!M$31)</f>
        <v>125.47295611202169</v>
      </c>
      <c r="AE75" s="14">
        <f>(AC74*Population!$B$12*Population!M$31)+(AE74*Population!$B$11*Population!M$33)</f>
        <v>128.26692792851043</v>
      </c>
      <c r="AF75" s="13">
        <f>(AD74*Population!$B$12*Population!M$31)+(AF74*Population!$B$11*Population!M$33)</f>
        <v>128.26692792851043</v>
      </c>
      <c r="AG75" s="14">
        <f>(AE74*Population!$B$12*Population!M$33)+(AG74*Population!$B$11*Population!M$35)</f>
        <v>132.71026968517947</v>
      </c>
      <c r="AH75" s="13">
        <f>(AF74*Population!$B$12*Population!M$33)+(AH74*Population!$B$11*Population!M$35)</f>
        <v>132.71026968517947</v>
      </c>
      <c r="AI75" s="14">
        <f>(AG74*Population!$B$12*Population!M$35)+(AI74*Population!$B$11*Population!M$37)</f>
        <v>138.38077873989104</v>
      </c>
      <c r="AJ75" s="13">
        <f>(AH74*Population!$B$12*Population!M$35)+(AJ74*Population!$B$11*Population!M$37)</f>
        <v>138.38077873989104</v>
      </c>
      <c r="AK75" s="14">
        <f>(AI74*Population!$B$12*Population!M$37)+(AK74*Population!$B$11*Population!M$39)</f>
        <v>142.94805976772574</v>
      </c>
      <c r="AL75" s="13">
        <f>(AJ74*Population!$B$12*Population!M$37)+(AL74*Population!$B$11*Population!M$39)</f>
        <v>142.94805976772574</v>
      </c>
      <c r="AM75" s="14">
        <f>(AK74*Population!$B$12*Population!M$39)+(AM74*Population!$B$11*Population!M$41)</f>
        <v>143.55698397024798</v>
      </c>
      <c r="AN75" s="13">
        <f>(AL74*Population!$B$12*Population!M$39)+(AN74*Population!$B$11*Population!M$41)</f>
        <v>143.55698397024798</v>
      </c>
      <c r="AO75" s="15">
        <f>(AM74+AN74)*Population!$B$12*Population!$M$41+AO74*Population!$B$11*Population!$M$43</f>
        <v>268.88435224292914</v>
      </c>
      <c r="AP75" s="5">
        <f>AO74*Population!M$43*Population!$B$12+AP74*Population!$B$11*Population!M$44</f>
        <v>240.19910719405186</v>
      </c>
      <c r="AQ75" s="5">
        <f>AP74*Population!M$44*Population!$B$12+AQ74*Population!$B$11*Population!M$45</f>
        <v>169.4278120648184</v>
      </c>
      <c r="AR75" s="5">
        <f>(AQ74*Population!$B$12+AR74)*Population!M$46</f>
        <v>305.89497154411151</v>
      </c>
    </row>
    <row r="76" spans="1:44">
      <c r="A76">
        <f>A75+Population!$B$2</f>
        <v>73</v>
      </c>
      <c r="B76" s="4">
        <f t="shared" si="32"/>
        <v>3110</v>
      </c>
      <c r="C76" s="54">
        <f t="shared" si="31"/>
        <v>1328</v>
      </c>
      <c r="D76" s="12">
        <f>AD75*Population!$P$32*Population!$C$2+AF75*Population!$P$34*Population!$C$2+AH75*Population!$P$36*Population!$C$2+AJ75*Population!$P$38*Population!$C$2+AL75*Population!$P$40*Population!$C$2+AN74*Population!$P$42*Population!$C$2</f>
        <v>44.965767937267444</v>
      </c>
      <c r="E76" s="12">
        <f>IF(B75&gt;Population!$B$6*Population!$B$15,Population!$B$8,IF(Population!$J$6=1,D76,Population!$B$8*Population!$B$6*0.9/B75))</f>
        <v>35.642754957229528</v>
      </c>
      <c r="F76" s="12">
        <f>IF(B75&gt;Population!$B$6*0.75,Population!$B$8,E76)</f>
        <v>35.642754957229528</v>
      </c>
      <c r="G76" s="15">
        <f>IF(Population!$J$6=1,IF(E76&gt;H75,H75,E76),IF(E76&gt;X75,X75,E76))</f>
        <v>35.642754957229528</v>
      </c>
      <c r="H76" s="15">
        <f t="shared" si="33"/>
        <v>682</v>
      </c>
      <c r="I76" s="15">
        <f t="shared" si="34"/>
        <v>748</v>
      </c>
      <c r="J76" s="12">
        <f t="shared" si="28"/>
        <v>1.096774193548387</v>
      </c>
      <c r="K76" s="12">
        <f>AA76*Population!$O$29+AB76*Population!$O$30+AC76*Population!$O$31+AD76*Population!$O$32+AE76*Population!$O$33+AF76*Population!$O$34+AG76*Population!$O$35+AH76*Population!$O$36+AI76*Population!$O$37+AJ76*Population!$O$38+AK76*Population!$O$37+AL76*Population!$O$38+AM76*Population!$O$39+AN76*Population!$O$40+AO76*Population!$O$41+AP76*Population!$O$42+AQ76*Population!$O$43+AR76*Population!$O$44</f>
        <v>7.2706036847361037</v>
      </c>
      <c r="L76" s="12">
        <f t="shared" si="35"/>
        <v>5.2262104042858547E-2</v>
      </c>
      <c r="M76" s="12">
        <f t="shared" si="36"/>
        <v>18.899625815293604</v>
      </c>
      <c r="N76" s="12">
        <f t="shared" si="29"/>
        <v>0.24051446945337621</v>
      </c>
      <c r="O76" s="12">
        <f t="shared" si="37"/>
        <v>1145.2055607499528</v>
      </c>
      <c r="P76" s="12">
        <f t="shared" si="38"/>
        <v>312</v>
      </c>
      <c r="Q76" s="12">
        <f t="shared" si="39"/>
        <v>296.39721962502358</v>
      </c>
      <c r="R76" s="12">
        <f t="shared" si="40"/>
        <v>305.89497154411151</v>
      </c>
      <c r="S76" s="12">
        <f t="shared" si="41"/>
        <v>0.10077888939233923</v>
      </c>
      <c r="T76" s="12">
        <f t="shared" si="30"/>
        <v>0.89207803464079705</v>
      </c>
      <c r="U76" s="12">
        <f>Population!$B$13*MIN(Y75:Z75)</f>
        <v>18.491640026823603</v>
      </c>
      <c r="V76" s="12">
        <f>X75*Population!$B$14</f>
        <v>3.6713787599055623</v>
      </c>
      <c r="W76" s="12">
        <f>AN75*T75*Population!$B$12</f>
        <v>18.319501626154732</v>
      </c>
      <c r="X76" s="12">
        <f t="shared" si="17"/>
        <v>608.39721962502358</v>
      </c>
      <c r="Y76" s="14">
        <f t="shared" si="42"/>
        <v>73.711838419236756</v>
      </c>
      <c r="Z76" s="13">
        <f t="shared" si="43"/>
        <v>73.711838419236756</v>
      </c>
      <c r="AA76" s="18">
        <f>(G76+Population!$B$11*AA75)*Population!M$29</f>
        <v>248.89043630769416</v>
      </c>
      <c r="AB76" s="18">
        <f>AA75*Population!$B$12*Population!$M$29+AB75*Population!$B$11*Population!$M$30</f>
        <v>249.20683223208542</v>
      </c>
      <c r="AC76" s="14">
        <f>(AB75*Population!$B$12*0.5*Population!$M$30)+(AC75*Population!$B$11*Population!M$31)</f>
        <v>125.25101629729886</v>
      </c>
      <c r="AD76" s="13">
        <f>(AB75*Population!$B$12*0.5*Population!$M$30)+(AD75*Population!$B$11*Population!M$31)</f>
        <v>125.25101629729886</v>
      </c>
      <c r="AE76" s="14">
        <f>(AC75*Population!$B$12*Population!M$31)+(AE75*Population!$B$11*Population!M$33)</f>
        <v>127.74593109457348</v>
      </c>
      <c r="AF76" s="13">
        <f>(AD75*Population!$B$12*Population!M$31)+(AF75*Population!$B$11*Population!M$33)</f>
        <v>127.74593109457348</v>
      </c>
      <c r="AG76" s="14">
        <f>(AE75*Population!$B$12*Population!M$33)+(AG75*Population!$B$11*Population!M$35)</f>
        <v>131.83964076435689</v>
      </c>
      <c r="AH76" s="13">
        <f>(AF75*Population!$B$12*Population!M$33)+(AH75*Population!$B$11*Population!M$35)</f>
        <v>131.83964076435689</v>
      </c>
      <c r="AI76" s="14">
        <f>(AG75*Population!$B$12*Population!M$35)+(AI75*Population!$B$11*Population!M$37)</f>
        <v>137.30657026223523</v>
      </c>
      <c r="AJ76" s="13">
        <f>(AH75*Population!$B$12*Population!M$35)+(AJ75*Population!$B$11*Population!M$37)</f>
        <v>137.30657026223523</v>
      </c>
      <c r="AK76" s="14">
        <f>(AI75*Population!$B$12*Population!M$37)+(AK75*Population!$B$11*Population!M$39)</f>
        <v>142.02238351464865</v>
      </c>
      <c r="AL76" s="13">
        <f>(AJ75*Population!$B$12*Population!M$37)+(AL75*Population!$B$11*Population!M$39)</f>
        <v>142.02238351464865</v>
      </c>
      <c r="AM76" s="14">
        <f>(AK75*Population!$B$12*Population!M$39)+(AM75*Population!$B$11*Population!M$41)</f>
        <v>143.19453240844607</v>
      </c>
      <c r="AN76" s="13">
        <f>(AL75*Population!$B$12*Population!M$39)+(AN75*Population!$B$11*Population!M$41)</f>
        <v>143.19453240844607</v>
      </c>
      <c r="AO76" s="15">
        <f>(AM75+AN75)*Population!$B$12*Population!$M$41+AO75*Population!$B$11*Population!$M$43</f>
        <v>269.73890760815112</v>
      </c>
      <c r="AP76" s="5">
        <f>AO75*Population!M$43*Population!$B$12+AP75*Population!$B$11*Population!M$44</f>
        <v>242.52584609864829</v>
      </c>
      <c r="AQ76" s="5">
        <f>AP75*Population!M$44*Population!$B$12+AQ75*Population!$B$11*Population!M$45</f>
        <v>171.95251109467395</v>
      </c>
      <c r="AR76" s="5">
        <f>(AQ75*Population!$B$12+AR75)*Population!M$46</f>
        <v>313.42234601017498</v>
      </c>
    </row>
    <row r="77" spans="1:44">
      <c r="A77">
        <f>A76+Population!$B$2</f>
        <v>74</v>
      </c>
      <c r="B77" s="4">
        <f t="shared" si="32"/>
        <v>3115</v>
      </c>
      <c r="C77" s="54">
        <f t="shared" si="31"/>
        <v>1321</v>
      </c>
      <c r="D77" s="12">
        <f>AD76*Population!$P$32*Population!$C$2+AF76*Population!$P$34*Population!$C$2+AH76*Population!$P$36*Population!$C$2+AJ76*Population!$P$38*Population!$C$2+AL76*Population!$P$40*Population!$C$2+AN75*Population!$P$42*Population!$C$2</f>
        <v>44.711322359292168</v>
      </c>
      <c r="E77" s="12">
        <f>IF(B76&gt;Population!$B$6*Population!$B$15,Population!$B$8,IF(Population!$J$6=1,D77,Population!$B$8*Population!$B$6*0.9/B76))</f>
        <v>35.642754957229528</v>
      </c>
      <c r="F77" s="12">
        <f>IF(B76&gt;Population!$B$6*0.75,Population!$B$8,E77)</f>
        <v>35.642754957229528</v>
      </c>
      <c r="G77" s="15">
        <f>IF(Population!$J$6=1,IF(E77&gt;H76,H76,E77),IF(E77&gt;X76,X76,E77))</f>
        <v>35.642754957229528</v>
      </c>
      <c r="H77" s="15">
        <f t="shared" si="33"/>
        <v>678</v>
      </c>
      <c r="I77" s="15">
        <f t="shared" si="34"/>
        <v>748</v>
      </c>
      <c r="J77" s="12">
        <f t="shared" si="28"/>
        <v>1.1032448377581121</v>
      </c>
      <c r="K77" s="12">
        <f>AA77*Population!$O$29+AB77*Population!$O$30+AC77*Population!$O$31+AD77*Population!$O$32+AE77*Population!$O$33+AF77*Population!$O$34+AG77*Population!$O$35+AH77*Population!$O$36+AI77*Population!$O$37+AJ77*Population!$O$38+AK77*Population!$O$37+AL77*Population!$O$38+AM77*Population!$O$39+AN77*Population!$O$40+AO77*Population!$O$41+AP77*Population!$O$42+AQ77*Population!$O$43+AR77*Population!$O$44</f>
        <v>7.3336261108034293</v>
      </c>
      <c r="L77" s="12">
        <f t="shared" si="35"/>
        <v>5.2570435040161546E-2</v>
      </c>
      <c r="M77" s="12">
        <f t="shared" si="36"/>
        <v>18.78819174895963</v>
      </c>
      <c r="N77" s="12">
        <f t="shared" si="29"/>
        <v>0.24012841091492776</v>
      </c>
      <c r="O77" s="12">
        <f t="shared" si="37"/>
        <v>1157.1477501879019</v>
      </c>
      <c r="P77" s="12">
        <f t="shared" si="38"/>
        <v>312</v>
      </c>
      <c r="Q77" s="12">
        <f t="shared" si="39"/>
        <v>292.92612490604904</v>
      </c>
      <c r="R77" s="12">
        <f t="shared" si="40"/>
        <v>313.42234601017498</v>
      </c>
      <c r="S77" s="12">
        <f t="shared" si="41"/>
        <v>0.10302147277515972</v>
      </c>
      <c r="T77" s="12">
        <f t="shared" si="30"/>
        <v>0.89222142316526409</v>
      </c>
      <c r="U77" s="12">
        <f>Population!$B$13*MIN(Y76:Z76)</f>
        <v>18.427959604809189</v>
      </c>
      <c r="V77" s="12">
        <f>X76*Population!$B$14</f>
        <v>3.6503833177501415</v>
      </c>
      <c r="W77" s="12">
        <f>AN76*T76*Population!$B$12</f>
        <v>18.248671006033497</v>
      </c>
      <c r="X77" s="12">
        <f t="shared" ref="X77:X103" si="44">X76+U77-W77-V77</f>
        <v>604.92612490604904</v>
      </c>
      <c r="Y77" s="14">
        <f t="shared" si="42"/>
        <v>73.45567880106978</v>
      </c>
      <c r="Z77" s="13">
        <f t="shared" si="43"/>
        <v>73.45567880106978</v>
      </c>
      <c r="AA77" s="18">
        <f>(G77+Population!$B$11*AA76)*Population!M$29</f>
        <v>248.87632981919108</v>
      </c>
      <c r="AB77" s="18">
        <f>AA76*Population!$B$12*Population!$M$29+AB76*Population!$B$11*Population!$M$30</f>
        <v>249.09913585136465</v>
      </c>
      <c r="AC77" s="14">
        <f>(AB76*Population!$B$12*0.5*Population!$M$30)+(AC76*Population!$B$11*Population!M$31)</f>
        <v>125.05218468857456</v>
      </c>
      <c r="AD77" s="13">
        <f>(AB76*Population!$B$12*0.5*Population!$M$30)+(AD76*Population!$B$11*Population!M$31)</f>
        <v>125.05218468857456</v>
      </c>
      <c r="AE77" s="14">
        <f>(AC76*Population!$B$12*Population!M$31)+(AE76*Population!$B$11*Population!M$33)</f>
        <v>127.26811248745854</v>
      </c>
      <c r="AF77" s="13">
        <f>(AD76*Population!$B$12*Population!M$31)+(AF76*Population!$B$11*Population!M$33)</f>
        <v>127.26811248745854</v>
      </c>
      <c r="AG77" s="14">
        <f>(AE76*Population!$B$12*Population!M$33)+(AG76*Population!$B$11*Population!M$35)</f>
        <v>131.02046302096804</v>
      </c>
      <c r="AH77" s="13">
        <f>(AF76*Population!$B$12*Population!M$33)+(AH76*Population!$B$11*Population!M$35)</f>
        <v>131.02046302096804</v>
      </c>
      <c r="AI77" s="14">
        <f>(AG76*Population!$B$12*Population!M$35)+(AI76*Population!$B$11*Population!M$37)</f>
        <v>136.26345121972568</v>
      </c>
      <c r="AJ77" s="13">
        <f>(AH76*Population!$B$12*Population!M$35)+(AJ76*Population!$B$11*Population!M$37)</f>
        <v>136.26345121972568</v>
      </c>
      <c r="AK77" s="14">
        <f>(AI76*Population!$B$12*Population!M$37)+(AK76*Population!$B$11*Population!M$39)</f>
        <v>141.07730641101926</v>
      </c>
      <c r="AL77" s="13">
        <f>(AJ76*Population!$B$12*Population!M$37)+(AL76*Population!$B$11*Population!M$39)</f>
        <v>141.07730641101926</v>
      </c>
      <c r="AM77" s="14">
        <f>(AK76*Population!$B$12*Population!M$39)+(AM76*Population!$B$11*Population!M$41)</f>
        <v>142.75247056794737</v>
      </c>
      <c r="AN77" s="13">
        <f>(AL76*Population!$B$12*Population!M$39)+(AN76*Population!$B$11*Population!M$41)</f>
        <v>142.75247056794737</v>
      </c>
      <c r="AO77" s="15">
        <f>(AM76+AN76)*Population!$B$12*Population!$M$41+AO76*Population!$B$11*Population!$M$43</f>
        <v>270.36271442577089</v>
      </c>
      <c r="AP77" s="5">
        <f>AO76*Population!M$43*Population!$B$12+AP76*Population!$B$11*Population!M$44</f>
        <v>244.62692897351295</v>
      </c>
      <c r="AQ77" s="5">
        <f>AP76*Population!M$44*Population!$B$12+AQ76*Population!$B$11*Population!M$45</f>
        <v>174.33719358849419</v>
      </c>
      <c r="AR77" s="5">
        <f>(AQ76*Population!$B$12+AR76)*Population!M$46</f>
        <v>320.91188769462252</v>
      </c>
    </row>
    <row r="78" spans="1:44">
      <c r="A78">
        <f>A77+Population!$B$2</f>
        <v>75</v>
      </c>
      <c r="B78" s="4">
        <f t="shared" si="32"/>
        <v>3119</v>
      </c>
      <c r="C78" s="54">
        <f t="shared" si="31"/>
        <v>1314</v>
      </c>
      <c r="D78" s="12">
        <f>AD77*Population!$P$32*Population!$C$2+AF77*Population!$P$34*Population!$C$2+AH77*Population!$P$36*Population!$C$2+AJ77*Population!$P$38*Population!$C$2+AL77*Population!$P$40*Population!$C$2+AN76*Population!$P$42*Population!$C$2</f>
        <v>44.465087894104791</v>
      </c>
      <c r="E78" s="12">
        <f>IF(B77&gt;Population!$B$6*Population!$B$15,Population!$B$8,IF(Population!$J$6=1,D78,Population!$B$8*Population!$B$6*0.9/B77))</f>
        <v>35.642754957229528</v>
      </c>
      <c r="F78" s="12">
        <f>IF(B77&gt;Population!$B$6*0.75,Population!$B$8,E78)</f>
        <v>35.642754957229528</v>
      </c>
      <c r="G78" s="15">
        <f>IF(Population!$J$6=1,IF(E78&gt;H77,H77,E78),IF(E78&gt;X77,X77,E78))</f>
        <v>35.642754957229528</v>
      </c>
      <c r="H78" s="15">
        <f t="shared" si="33"/>
        <v>674</v>
      </c>
      <c r="I78" s="15">
        <f t="shared" si="34"/>
        <v>747</v>
      </c>
      <c r="J78" s="12">
        <f t="shared" si="28"/>
        <v>1.1083086053412463</v>
      </c>
      <c r="K78" s="12">
        <f>AA78*Population!$O$29+AB78*Population!$O$30+AC78*Population!$O$31+AD78*Population!$O$32+AE78*Population!$O$33+AF78*Population!$O$34+AG78*Population!$O$35+AH78*Population!$O$36+AI78*Population!$O$37+AJ78*Population!$O$38+AK78*Population!$O$37+AL78*Population!$O$38+AM78*Population!$O$39+AN78*Population!$O$40+AO78*Population!$O$41+AP78*Population!$O$42+AQ78*Population!$O$43+AR78*Population!$O$44</f>
        <v>7.3944646724737453</v>
      </c>
      <c r="L78" s="12">
        <f t="shared" si="35"/>
        <v>5.2882425752566062E-2</v>
      </c>
      <c r="M78" s="12">
        <f t="shared" si="36"/>
        <v>18.682680750166323</v>
      </c>
      <c r="N78" s="12">
        <f t="shared" si="29"/>
        <v>0.23949983969220903</v>
      </c>
      <c r="O78" s="12">
        <f t="shared" si="37"/>
        <v>1169.0695421292371</v>
      </c>
      <c r="P78" s="12">
        <f t="shared" si="38"/>
        <v>312</v>
      </c>
      <c r="Q78" s="12">
        <f t="shared" si="39"/>
        <v>289.46522893538145</v>
      </c>
      <c r="R78" s="12">
        <f t="shared" si="40"/>
        <v>320.91188769462252</v>
      </c>
      <c r="S78" s="12">
        <f t="shared" si="41"/>
        <v>0.10527300931921564</v>
      </c>
      <c r="T78" s="12">
        <f t="shared" si="30"/>
        <v>0.89238164530472019</v>
      </c>
      <c r="U78" s="12">
        <f>Population!$B$13*MIN(Y77:Z77)</f>
        <v>18.363919700267445</v>
      </c>
      <c r="V78" s="12">
        <f>X77*Population!$B$14</f>
        <v>3.6295567494362944</v>
      </c>
      <c r="W78" s="12">
        <f>AN77*T77*Population!$B$12</f>
        <v>18.19525892149878</v>
      </c>
      <c r="X78" s="12">
        <f t="shared" si="44"/>
        <v>601.46522893538145</v>
      </c>
      <c r="Y78" s="14">
        <f t="shared" si="42"/>
        <v>73.230667706553618</v>
      </c>
      <c r="Z78" s="13">
        <f t="shared" si="43"/>
        <v>73.230667706553618</v>
      </c>
      <c r="AA78" s="18">
        <f>(G78+Population!$B$11*AA77)*Population!M$29</f>
        <v>248.86424345238933</v>
      </c>
      <c r="AB78" s="18">
        <f>AA77*Population!$B$12*Population!$M$29+AB77*Population!$B$11*Population!$M$30</f>
        <v>249.00483104343903</v>
      </c>
      <c r="AC78" s="14">
        <f>(AB77*Population!$B$12*0.5*Population!$M$30)+(AC77*Population!$B$11*Population!M$31)</f>
        <v>124.87422914461388</v>
      </c>
      <c r="AD78" s="13">
        <f>(AB77*Population!$B$12*0.5*Population!$M$30)+(AD77*Population!$B$11*Population!M$31)</f>
        <v>124.87422914461388</v>
      </c>
      <c r="AE78" s="14">
        <f>(AC77*Population!$B$12*Population!M$31)+(AE77*Population!$B$11*Population!M$33)</f>
        <v>126.83056654487348</v>
      </c>
      <c r="AF78" s="13">
        <f>(AD77*Population!$B$12*Population!M$31)+(AF77*Population!$B$11*Population!M$33)</f>
        <v>126.83056654487348</v>
      </c>
      <c r="AG78" s="14">
        <f>(AE77*Population!$B$12*Population!M$33)+(AG77*Population!$B$11*Population!M$35)</f>
        <v>130.25146405258067</v>
      </c>
      <c r="AH78" s="13">
        <f>(AF77*Population!$B$12*Population!M$33)+(AH77*Population!$B$11*Population!M$35)</f>
        <v>130.25146405258067</v>
      </c>
      <c r="AI78" s="14">
        <f>(AG77*Population!$B$12*Population!M$35)+(AI77*Population!$B$11*Population!M$37)</f>
        <v>135.25426515603866</v>
      </c>
      <c r="AJ78" s="13">
        <f>(AH77*Population!$B$12*Population!M$35)+(AJ77*Population!$B$11*Population!M$37)</f>
        <v>135.25426515603866</v>
      </c>
      <c r="AK78" s="14">
        <f>(AI77*Population!$B$12*Population!M$37)+(AK77*Population!$B$11*Population!M$39)</f>
        <v>140.12006475566349</v>
      </c>
      <c r="AL78" s="13">
        <f>(AJ77*Population!$B$12*Population!M$37)+(AL77*Population!$B$11*Population!M$39)</f>
        <v>140.12006475566349</v>
      </c>
      <c r="AM78" s="14">
        <f>(AK77*Population!$B$12*Population!M$39)+(AM77*Population!$B$11*Population!M$41)</f>
        <v>142.2395361327788</v>
      </c>
      <c r="AN78" s="13">
        <f>(AL77*Population!$B$12*Population!M$39)+(AN77*Population!$B$11*Population!M$41)</f>
        <v>142.2395361327788</v>
      </c>
      <c r="AO78" s="15">
        <f>(AM77+AN77)*Population!$B$12*Population!$M$41+AO77*Population!$B$11*Population!$M$43</f>
        <v>270.76746858943119</v>
      </c>
      <c r="AP78" s="5">
        <f>AO77*Population!M$43*Population!$B$12+AP77*Population!$B$11*Population!M$44</f>
        <v>246.50326959670201</v>
      </c>
      <c r="AQ78" s="5">
        <f>AP77*Population!M$44*Population!$B$12+AQ77*Population!$B$11*Population!M$45</f>
        <v>176.5759221641251</v>
      </c>
      <c r="AR78" s="5">
        <f>(AQ77*Population!$B$12+AR77)*Population!M$46</f>
        <v>328.34651606663357</v>
      </c>
    </row>
    <row r="79" spans="1:44">
      <c r="A79">
        <f>A78+Population!$B$2</f>
        <v>76</v>
      </c>
      <c r="B79" s="4">
        <f t="shared" si="32"/>
        <v>3122</v>
      </c>
      <c r="C79" s="54">
        <f t="shared" si="31"/>
        <v>1305</v>
      </c>
      <c r="D79" s="12">
        <f>AD78*Population!$P$32*Population!$C$2+AF78*Population!$P$34*Population!$C$2+AH78*Population!$P$36*Population!$C$2+AJ78*Population!$P$38*Population!$C$2+AL78*Population!$P$40*Population!$C$2+AN77*Population!$P$42*Population!$C$2</f>
        <v>44.22738830042745</v>
      </c>
      <c r="E79" s="12">
        <f>IF(B78&gt;Population!$B$6*Population!$B$15,Population!$B$8,IF(Population!$J$6=1,D79,Population!$B$8*Population!$B$6*0.9/B78))</f>
        <v>35.642754957229528</v>
      </c>
      <c r="F79" s="12">
        <f>IF(B78&gt;Population!$B$6*0.75,Population!$B$8,E79)</f>
        <v>35.642754957229528</v>
      </c>
      <c r="G79" s="15">
        <f>IF(Population!$J$6=1,IF(E79&gt;H78,H78,E79),IF(E79&gt;X78,X78,E79))</f>
        <v>35.642754957229528</v>
      </c>
      <c r="H79" s="15">
        <f t="shared" si="33"/>
        <v>671</v>
      </c>
      <c r="I79" s="15">
        <f t="shared" si="34"/>
        <v>747</v>
      </c>
      <c r="J79" s="12">
        <f t="shared" si="28"/>
        <v>1.113263785394933</v>
      </c>
      <c r="K79" s="12">
        <f>AA79*Population!$O$29+AB79*Population!$O$30+AC79*Population!$O$31+AD79*Population!$O$32+AE79*Population!$O$33+AF79*Population!$O$34+AG79*Population!$O$35+AH79*Population!$O$36+AI79*Population!$O$37+AJ79*Population!$O$38+AK79*Population!$O$37+AL79*Population!$O$38+AM79*Population!$O$39+AN79*Population!$O$40+AO79*Population!$O$41+AP79*Population!$O$42+AQ79*Population!$O$43+AR79*Population!$O$44</f>
        <v>7.4530415708480238</v>
      </c>
      <c r="L79" s="12">
        <f t="shared" si="35"/>
        <v>5.3118859846839832E-2</v>
      </c>
      <c r="M79" s="12">
        <f t="shared" si="36"/>
        <v>18.582994786406566</v>
      </c>
      <c r="N79" s="12">
        <f t="shared" si="29"/>
        <v>0.23926969891095451</v>
      </c>
      <c r="O79" s="12">
        <f t="shared" si="37"/>
        <v>1178.9380628179133</v>
      </c>
      <c r="P79" s="12">
        <f t="shared" si="38"/>
        <v>312</v>
      </c>
      <c r="Q79" s="12">
        <f t="shared" si="39"/>
        <v>286.03096859104335</v>
      </c>
      <c r="R79" s="12">
        <f t="shared" si="40"/>
        <v>328.34651606663357</v>
      </c>
      <c r="S79" s="12">
        <f t="shared" si="41"/>
        <v>0.10753017557888828</v>
      </c>
      <c r="T79" s="12">
        <f t="shared" si="30"/>
        <v>0.89125330639499756</v>
      </c>
      <c r="U79" s="12">
        <f>Population!$B$13*MIN(Y78:Z78)</f>
        <v>18.307666926638404</v>
      </c>
      <c r="V79" s="12">
        <f>X78*Population!$B$14</f>
        <v>3.6087913736122887</v>
      </c>
      <c r="W79" s="12">
        <f>AN78*T78*Population!$B$12</f>
        <v>18.133135897364191</v>
      </c>
      <c r="X79" s="12">
        <f t="shared" si="44"/>
        <v>598.03096859104335</v>
      </c>
      <c r="Y79" s="14">
        <f t="shared" si="42"/>
        <v>73.033412484450309</v>
      </c>
      <c r="Z79" s="13">
        <f t="shared" si="43"/>
        <v>73.033412484450309</v>
      </c>
      <c r="AA79" s="18">
        <f>(G79+Population!$B$11*AA78)*Population!M$29</f>
        <v>248.85388791547206</v>
      </c>
      <c r="AB79" s="18">
        <f>AA78*Population!$B$12*Population!$M$29+AB78*Population!$B$11*Population!$M$30</f>
        <v>248.9222906154676</v>
      </c>
      <c r="AC79" s="14">
        <f>(AB78*Population!$B$12*0.5*Population!$M$30)+(AC78*Population!$B$11*Population!M$31)</f>
        <v>124.71510664338022</v>
      </c>
      <c r="AD79" s="13">
        <f>(AB78*Population!$B$12*0.5*Population!$M$30)+(AD78*Population!$B$11*Population!M$31)</f>
        <v>124.71510664338022</v>
      </c>
      <c r="AE79" s="14">
        <f>(AC78*Population!$B$12*Population!M$31)+(AE78*Population!$B$11*Population!M$33)</f>
        <v>126.43048658485377</v>
      </c>
      <c r="AF79" s="13">
        <f>(AD78*Population!$B$12*Population!M$31)+(AF78*Population!$B$11*Population!M$33)</f>
        <v>126.43048658485377</v>
      </c>
      <c r="AG79" s="14">
        <f>(AE78*Population!$B$12*Population!M$33)+(AG78*Population!$B$11*Population!M$35)</f>
        <v>129.5311406377935</v>
      </c>
      <c r="AH79" s="13">
        <f>(AF78*Population!$B$12*Population!M$33)+(AH78*Population!$B$11*Population!M$35)</f>
        <v>129.5311406377935</v>
      </c>
      <c r="AI79" s="14">
        <f>(AG78*Population!$B$12*Population!M$35)+(AI78*Population!$B$11*Population!M$37)</f>
        <v>134.28126329189058</v>
      </c>
      <c r="AJ79" s="13">
        <f>(AH78*Population!$B$12*Population!M$35)+(AJ78*Population!$B$11*Population!M$37)</f>
        <v>134.28126329189058</v>
      </c>
      <c r="AK79" s="14">
        <f>(AI78*Population!$B$12*Population!M$37)+(AK78*Population!$B$11*Population!M$39)</f>
        <v>139.15725462213354</v>
      </c>
      <c r="AL79" s="13">
        <f>(AJ78*Population!$B$12*Population!M$37)+(AL78*Population!$B$11*Population!M$39)</f>
        <v>139.15725462213354</v>
      </c>
      <c r="AM79" s="14">
        <f>(AK78*Population!$B$12*Population!M$39)+(AM78*Population!$B$11*Population!M$41)</f>
        <v>141.66423593882226</v>
      </c>
      <c r="AN79" s="13">
        <f>(AL78*Population!$B$12*Population!M$39)+(AN78*Population!$B$11*Population!M$41)</f>
        <v>141.66423593882226</v>
      </c>
      <c r="AO79" s="15">
        <f>(AM78+AN78)*Population!$B$12*Population!$M$41+AO78*Population!$B$11*Population!$M$43</f>
        <v>270.96561415710784</v>
      </c>
      <c r="AP79" s="5">
        <f>AO78*Population!M$43*Population!$B$12+AP78*Population!$B$11*Population!M$44</f>
        <v>248.15730425641624</v>
      </c>
      <c r="AQ79" s="5">
        <f>AP78*Population!M$44*Population!$B$12+AQ78*Population!$B$11*Population!M$45</f>
        <v>178.66399433578385</v>
      </c>
      <c r="AR79" s="5">
        <f>(AQ78*Population!$B$12+AR78)*Population!M$46</f>
        <v>335.7092081572892</v>
      </c>
    </row>
    <row r="80" spans="1:44">
      <c r="A80">
        <f>A79+Population!$B$2</f>
        <v>77</v>
      </c>
      <c r="B80" s="4">
        <f t="shared" si="32"/>
        <v>3125</v>
      </c>
      <c r="C80" s="54">
        <f t="shared" si="31"/>
        <v>1299</v>
      </c>
      <c r="D80" s="12">
        <f>AD79*Population!$P$32*Population!$C$2+AF79*Population!$P$34*Population!$C$2+AH79*Population!$P$36*Population!$C$2+AJ79*Population!$P$38*Population!$C$2+AL79*Population!$P$40*Population!$C$2+AN78*Population!$P$42*Population!$C$2</f>
        <v>43.998462576892351</v>
      </c>
      <c r="E80" s="12">
        <f>IF(B79&gt;Population!$B$6*Population!$B$15,Population!$B$8,IF(Population!$J$6=1,D80,Population!$B$8*Population!$B$6*0.9/B79))</f>
        <v>35.642754957229528</v>
      </c>
      <c r="F80" s="12">
        <f>IF(B79&gt;Population!$B$6*0.75,Population!$B$8,E80)</f>
        <v>35.642754957229528</v>
      </c>
      <c r="G80" s="15">
        <f>IF(Population!$J$6=1,IF(E80&gt;H79,H79,E80),IF(E80&gt;X79,X79,E80))</f>
        <v>35.642754957229528</v>
      </c>
      <c r="H80" s="15">
        <f t="shared" si="33"/>
        <v>667</v>
      </c>
      <c r="I80" s="15">
        <f t="shared" si="34"/>
        <v>746</v>
      </c>
      <c r="J80" s="12">
        <f t="shared" si="28"/>
        <v>1.1184407796101949</v>
      </c>
      <c r="K80" s="12">
        <f>AA80*Population!$O$29+AB80*Population!$O$30+AC80*Population!$O$31+AD80*Population!$O$32+AE80*Population!$O$33+AF80*Population!$O$34+AG80*Population!$O$35+AH80*Population!$O$36+AI80*Population!$O$37+AJ80*Population!$O$38+AK80*Population!$O$37+AL80*Population!$O$38+AM80*Population!$O$39+AN80*Population!$O$40+AO80*Population!$O$41+AP80*Population!$O$42+AQ80*Population!$O$43+AR80*Population!$O$44</f>
        <v>7.5092875545390649</v>
      </c>
      <c r="L80" s="12">
        <f t="shared" si="35"/>
        <v>5.3437413728979803E-2</v>
      </c>
      <c r="M80" s="12">
        <f t="shared" si="36"/>
        <v>18.489006714267493</v>
      </c>
      <c r="N80" s="12">
        <f t="shared" si="29"/>
        <v>0.23871999999999999</v>
      </c>
      <c r="O80" s="12">
        <f t="shared" si="37"/>
        <v>1189.6716478211797</v>
      </c>
      <c r="P80" s="12">
        <f t="shared" si="38"/>
        <v>311</v>
      </c>
      <c r="Q80" s="12">
        <f t="shared" si="39"/>
        <v>283.66417608941015</v>
      </c>
      <c r="R80" s="12">
        <f t="shared" si="40"/>
        <v>335.7092081572892</v>
      </c>
      <c r="S80" s="12">
        <f t="shared" si="41"/>
        <v>0.10975461220892438</v>
      </c>
      <c r="T80" s="12">
        <f t="shared" si="30"/>
        <v>0.89155048888967037</v>
      </c>
      <c r="U80" s="12">
        <f>Population!$B$13*MIN(Y79:Z79)</f>
        <v>18.258353121112577</v>
      </c>
      <c r="V80" s="12">
        <f>X79*Population!$B$14</f>
        <v>3.5881858115462602</v>
      </c>
      <c r="W80" s="12">
        <f>AN79*T79*Population!$B$12</f>
        <v>18.03695981119948</v>
      </c>
      <c r="X80" s="12">
        <f t="shared" si="44"/>
        <v>594.66417608941015</v>
      </c>
      <c r="Y80" s="14">
        <f t="shared" si="42"/>
        <v>72.834592875078783</v>
      </c>
      <c r="Z80" s="13">
        <f t="shared" si="43"/>
        <v>72.834592875078783</v>
      </c>
      <c r="AA80" s="18">
        <f>(G80+Population!$B$11*AA79)*Population!M$29</f>
        <v>248.84501534469837</v>
      </c>
      <c r="AB80" s="18">
        <f>AA79*Population!$B$12*Population!$M$29+AB79*Population!$B$11*Population!$M$30</f>
        <v>248.85007883392186</v>
      </c>
      <c r="AC80" s="14">
        <f>(AB79*Population!$B$12*0.5*Population!$M$30)+(AC79*Population!$B$11*Population!M$31)</f>
        <v>124.57295149007629</v>
      </c>
      <c r="AD80" s="13">
        <f>(AB79*Population!$B$12*0.5*Population!$M$30)+(AD79*Population!$B$11*Population!M$31)</f>
        <v>124.57295149007629</v>
      </c>
      <c r="AE80" s="14">
        <f>(AC79*Population!$B$12*Population!M$31)+(AE79*Population!$B$11*Population!M$33)</f>
        <v>126.06517759051137</v>
      </c>
      <c r="AF80" s="13">
        <f>(AD79*Population!$B$12*Population!M$31)+(AF79*Population!$B$11*Population!M$33)</f>
        <v>126.06517759051137</v>
      </c>
      <c r="AG80" s="14">
        <f>(AE79*Population!$B$12*Population!M$33)+(AG79*Population!$B$11*Population!M$35)</f>
        <v>128.85780620253601</v>
      </c>
      <c r="AH80" s="13">
        <f>(AF79*Population!$B$12*Population!M$33)+(AH79*Population!$B$11*Population!M$35)</f>
        <v>128.85780620253601</v>
      </c>
      <c r="AI80" s="14">
        <f>(AG79*Population!$B$12*Population!M$35)+(AI79*Population!$B$11*Population!M$37)</f>
        <v>133.34615720656998</v>
      </c>
      <c r="AJ80" s="13">
        <f>(AH79*Population!$B$12*Population!M$35)+(AJ79*Population!$B$11*Population!M$37)</f>
        <v>133.34615720656998</v>
      </c>
      <c r="AK80" s="14">
        <f>(AI79*Population!$B$12*Population!M$37)+(AK79*Population!$B$11*Population!M$39)</f>
        <v>138.19483991798919</v>
      </c>
      <c r="AL80" s="13">
        <f>(AJ79*Population!$B$12*Population!M$37)+(AL79*Population!$B$11*Population!M$39)</f>
        <v>138.19483991798919</v>
      </c>
      <c r="AM80" s="14">
        <f>(AK79*Population!$B$12*Population!M$39)+(AM79*Population!$B$11*Population!M$41)</f>
        <v>141.03478804688248</v>
      </c>
      <c r="AN80" s="13">
        <f>(AL79*Population!$B$12*Population!M$39)+(AN79*Population!$B$11*Population!M$41)</f>
        <v>141.03478804688248</v>
      </c>
      <c r="AO80" s="15">
        <f>(AM79+AN79)*Population!$B$12*Population!$M$41+AO79*Population!$B$11*Population!$M$43</f>
        <v>270.97016599120752</v>
      </c>
      <c r="AP80" s="5">
        <f>AO79*Population!M$43*Population!$B$12+AP79*Population!$B$11*Population!M$44</f>
        <v>249.59287089397318</v>
      </c>
      <c r="AQ80" s="5">
        <f>AP79*Population!M$44*Population!$B$12+AQ79*Population!$B$11*Population!M$45</f>
        <v>180.59792855031395</v>
      </c>
      <c r="AR80" s="5">
        <f>(AQ79*Population!$B$12+AR79)*Population!M$46</f>
        <v>342.98316315288866</v>
      </c>
    </row>
    <row r="81" spans="1:44">
      <c r="A81">
        <f>A80+Population!$B$2</f>
        <v>78</v>
      </c>
      <c r="B81" s="4">
        <f t="shared" si="32"/>
        <v>3128</v>
      </c>
      <c r="C81" s="54">
        <f t="shared" si="31"/>
        <v>1292</v>
      </c>
      <c r="D81" s="12">
        <f>AD80*Population!$P$32*Population!$C$2+AF80*Population!$P$34*Population!$C$2+AH80*Population!$P$36*Population!$C$2+AJ80*Population!$P$38*Population!$C$2+AL80*Population!$P$40*Population!$C$2+AN79*Population!$P$42*Population!$C$2</f>
        <v>43.77847302569478</v>
      </c>
      <c r="E81" s="12">
        <f>IF(B80&gt;Population!$B$6*Population!$B$15,Population!$B$8,IF(Population!$J$6=1,D81,Population!$B$8*Population!$B$6*0.9/B80))</f>
        <v>35.642754957229528</v>
      </c>
      <c r="F81" s="12">
        <f>IF(B80&gt;Population!$B$6*0.75,Population!$B$8,E81)</f>
        <v>35.642754957229528</v>
      </c>
      <c r="G81" s="15">
        <f>IF(Population!$J$6=1,IF(E81&gt;H80,H80,E81),IF(E81&gt;X80,X80,E81))</f>
        <v>35.642754957229528</v>
      </c>
      <c r="H81" s="15">
        <f t="shared" si="33"/>
        <v>664</v>
      </c>
      <c r="I81" s="15">
        <f t="shared" si="34"/>
        <v>746</v>
      </c>
      <c r="J81" s="12">
        <f t="shared" si="28"/>
        <v>1.1234939759036144</v>
      </c>
      <c r="K81" s="12">
        <f>AA81*Population!$O$29+AB81*Population!$O$30+AC81*Population!$O$31+AD81*Population!$O$32+AE81*Population!$O$33+AF81*Population!$O$34+AG81*Population!$O$35+AH81*Population!$O$36+AI81*Population!$O$37+AJ81*Population!$O$38+AK81*Population!$O$37+AL81*Population!$O$38+AM81*Population!$O$39+AN81*Population!$O$40+AO81*Population!$O$41+AP81*Population!$O$42+AQ81*Population!$O$43+AR81*Population!$O$44</f>
        <v>7.5631424844137269</v>
      </c>
      <c r="L81" s="12">
        <f t="shared" si="35"/>
        <v>5.3678847827152903E-2</v>
      </c>
      <c r="M81" s="12">
        <f t="shared" si="36"/>
        <v>18.400565209605237</v>
      </c>
      <c r="N81" s="12">
        <f t="shared" si="29"/>
        <v>0.23849104859335038</v>
      </c>
      <c r="O81" s="12">
        <f t="shared" si="37"/>
        <v>1199.3159312777559</v>
      </c>
      <c r="P81" s="12">
        <f t="shared" si="38"/>
        <v>311</v>
      </c>
      <c r="Q81" s="12">
        <f t="shared" si="39"/>
        <v>280.34203436112205</v>
      </c>
      <c r="R81" s="12">
        <f t="shared" si="40"/>
        <v>342.98316315288866</v>
      </c>
      <c r="S81" s="12">
        <f t="shared" si="41"/>
        <v>0.11194116265312318</v>
      </c>
      <c r="T81" s="12">
        <f t="shared" si="30"/>
        <v>0.8905753529534971</v>
      </c>
      <c r="U81" s="12">
        <f>Population!$B$13*MIN(Y80:Z80)</f>
        <v>18.208648218769696</v>
      </c>
      <c r="V81" s="12">
        <f>X80*Population!$B$14</f>
        <v>3.567985056536461</v>
      </c>
      <c r="W81" s="12">
        <f>AN80*T80*Population!$B$12</f>
        <v>17.962804890521301</v>
      </c>
      <c r="X81" s="12">
        <f t="shared" si="44"/>
        <v>591.34203436112205</v>
      </c>
      <c r="Y81" s="14">
        <f t="shared" si="42"/>
        <v>72.667075167038547</v>
      </c>
      <c r="Z81" s="13">
        <f t="shared" si="43"/>
        <v>72.667075167038547</v>
      </c>
      <c r="AA81" s="18">
        <f>(G81+Population!$B$11*AA80)*Population!M$29</f>
        <v>248.83741337168982</v>
      </c>
      <c r="AB81" s="18">
        <f>AA80*Population!$B$12*Population!$M$29+AB80*Population!$B$11*Population!$M$30</f>
        <v>248.7869299522248</v>
      </c>
      <c r="AC81" s="14">
        <f>(AB80*Population!$B$12*0.5*Population!$M$30)+(AC80*Population!$B$11*Population!M$31)</f>
        <v>124.44606351241853</v>
      </c>
      <c r="AD81" s="13">
        <f>(AB80*Population!$B$12*0.5*Population!$M$30)+(AD80*Population!$B$11*Population!M$31)</f>
        <v>124.44606351241853</v>
      </c>
      <c r="AE81" s="14">
        <f>(AC80*Population!$B$12*Population!M$31)+(AE80*Population!$B$11*Population!M$33)</f>
        <v>125.73206547498742</v>
      </c>
      <c r="AF81" s="13">
        <f>(AD80*Population!$B$12*Population!M$31)+(AF80*Population!$B$11*Population!M$33)</f>
        <v>125.73206547498742</v>
      </c>
      <c r="AG81" s="14">
        <f>(AE80*Population!$B$12*Population!M$33)+(AG80*Population!$B$11*Population!M$35)</f>
        <v>128.22963325200436</v>
      </c>
      <c r="AH81" s="13">
        <f>(AF80*Population!$B$12*Population!M$33)+(AH80*Population!$B$11*Population!M$35)</f>
        <v>128.22963325200436</v>
      </c>
      <c r="AI81" s="14">
        <f>(AG80*Population!$B$12*Population!M$35)+(AI80*Population!$B$11*Population!M$37)</f>
        <v>132.45017067471818</v>
      </c>
      <c r="AJ81" s="13">
        <f>(AH80*Population!$B$12*Population!M$35)+(AJ80*Population!$B$11*Population!M$37)</f>
        <v>132.45017067471818</v>
      </c>
      <c r="AK81" s="14">
        <f>(AI80*Population!$B$12*Population!M$37)+(AK80*Population!$B$11*Population!M$39)</f>
        <v>137.23816679097331</v>
      </c>
      <c r="AL81" s="13">
        <f>(AJ80*Population!$B$12*Population!M$37)+(AL80*Population!$B$11*Population!M$39)</f>
        <v>137.23816679097331</v>
      </c>
      <c r="AM81" s="14">
        <f>(AK80*Population!$B$12*Population!M$39)+(AM80*Population!$B$11*Population!M$41)</f>
        <v>140.35907333547735</v>
      </c>
      <c r="AN81" s="13">
        <f>(AL80*Population!$B$12*Population!M$39)+(AN80*Population!$B$11*Population!M$41)</f>
        <v>140.35907333547735</v>
      </c>
      <c r="AO81" s="15">
        <f>(AM80+AN80)*Population!$B$12*Population!$M$41+AO80*Population!$B$11*Population!$M$43</f>
        <v>270.79454231918464</v>
      </c>
      <c r="AP81" s="5">
        <f>AO80*Population!M$43*Population!$B$12+AP80*Population!$B$11*Population!M$44</f>
        <v>250.81508110967468</v>
      </c>
      <c r="AQ81" s="5">
        <f>AP80*Population!M$44*Population!$B$12+AQ80*Population!$B$11*Population!M$45</f>
        <v>182.37543568281492</v>
      </c>
      <c r="AR81" s="5">
        <f>(AQ80*Population!$B$12+AR80)*Population!M$46</f>
        <v>350.15195677896929</v>
      </c>
    </row>
    <row r="82" spans="1:44">
      <c r="A82">
        <f>A81+Population!$B$2</f>
        <v>79</v>
      </c>
      <c r="B82" s="4">
        <f t="shared" si="32"/>
        <v>3130</v>
      </c>
      <c r="C82" s="54">
        <f t="shared" si="31"/>
        <v>1284</v>
      </c>
      <c r="D82" s="12">
        <f>AD81*Population!$P$32*Population!$C$2+AF81*Population!$P$34*Population!$C$2+AH81*Population!$P$36*Population!$C$2+AJ81*Population!$P$38*Population!$C$2+AL81*Population!$P$40*Population!$C$2+AN80*Population!$P$42*Population!$C$2</f>
        <v>43.567512959797327</v>
      </c>
      <c r="E82" s="12">
        <f>IF(B81&gt;Population!$B$6*Population!$B$15,Population!$B$8,IF(Population!$J$6=1,D82,Population!$B$8*Population!$B$6*0.9/B81))</f>
        <v>35.642754957229528</v>
      </c>
      <c r="F82" s="12">
        <f>IF(B81&gt;Population!$B$6*0.75,Population!$B$8,E82)</f>
        <v>35.642754957229528</v>
      </c>
      <c r="G82" s="15">
        <f>IF(Population!$J$6=1,IF(E82&gt;H81,H81,E82),IF(E82&gt;X81,X81,E82))</f>
        <v>35.642754957229528</v>
      </c>
      <c r="H82" s="15">
        <f t="shared" si="33"/>
        <v>660</v>
      </c>
      <c r="I82" s="15">
        <f t="shared" si="34"/>
        <v>746</v>
      </c>
      <c r="J82" s="12">
        <f t="shared" si="28"/>
        <v>1.1303030303030304</v>
      </c>
      <c r="K82" s="12">
        <f>AA82*Population!$O$29+AB82*Population!$O$30+AC82*Population!$O$31+AD82*Population!$O$32+AE82*Population!$O$33+AF82*Population!$O$34+AG82*Population!$O$35+AH82*Population!$O$36+AI82*Population!$O$37+AJ82*Population!$O$38+AK82*Population!$O$37+AL82*Population!$O$38+AM82*Population!$O$39+AN82*Population!$O$40+AO82*Population!$O$41+AP82*Population!$O$42+AQ82*Population!$O$43+AR82*Population!$O$44</f>
        <v>7.6145557596302398</v>
      </c>
      <c r="L82" s="12">
        <f t="shared" si="35"/>
        <v>5.4004174177620497E-2</v>
      </c>
      <c r="M82" s="12">
        <f t="shared" si="36"/>
        <v>18.3174992564985</v>
      </c>
      <c r="N82" s="12">
        <f t="shared" si="29"/>
        <v>0.23833865814696487</v>
      </c>
      <c r="O82" s="12">
        <f t="shared" si="37"/>
        <v>1207.7928784711326</v>
      </c>
      <c r="P82" s="12">
        <f t="shared" si="38"/>
        <v>311</v>
      </c>
      <c r="Q82" s="12">
        <f t="shared" si="39"/>
        <v>277.10356076443372</v>
      </c>
      <c r="R82" s="12">
        <f t="shared" si="40"/>
        <v>350.15195677896929</v>
      </c>
      <c r="S82" s="12">
        <f t="shared" si="41"/>
        <v>0.11412130479824691</v>
      </c>
      <c r="T82" s="12">
        <f t="shared" si="30"/>
        <v>0.89106600115823287</v>
      </c>
      <c r="U82" s="12">
        <f>Population!$B$13*MIN(Y81:Z81)</f>
        <v>18.166768791759637</v>
      </c>
      <c r="V82" s="12">
        <f>X81*Population!$B$14</f>
        <v>3.5480522061667323</v>
      </c>
      <c r="W82" s="12">
        <f>AN81*T81*Population!$B$12</f>
        <v>17.857190182281215</v>
      </c>
      <c r="X82" s="12">
        <f t="shared" si="44"/>
        <v>588.10356076443372</v>
      </c>
      <c r="Y82" s="14">
        <f t="shared" si="42"/>
        <v>72.500503109206875</v>
      </c>
      <c r="Z82" s="13">
        <f t="shared" si="43"/>
        <v>72.500503109206875</v>
      </c>
      <c r="AA82" s="18">
        <f>(G82+Population!$B$11*AA81)*Population!M$29</f>
        <v>248.83090004031197</v>
      </c>
      <c r="AB82" s="18">
        <f>AA81*Population!$B$12*Population!$M$29+AB81*Population!$B$11*Population!$M$30</f>
        <v>248.73172896282492</v>
      </c>
      <c r="AC82" s="14">
        <f>(AB81*Population!$B$12*0.5*Population!$M$30)+(AC81*Population!$B$11*Population!M$31)</f>
        <v>124.33289641854859</v>
      </c>
      <c r="AD82" s="13">
        <f>(AB81*Population!$B$12*0.5*Population!$M$30)+(AD81*Population!$B$11*Population!M$31)</f>
        <v>124.33289641854859</v>
      </c>
      <c r="AE82" s="14">
        <f>(AC81*Population!$B$12*Population!M$31)+(AE81*Population!$B$11*Population!M$33)</f>
        <v>125.42870333048998</v>
      </c>
      <c r="AF82" s="13">
        <f>(AD81*Population!$B$12*Population!M$31)+(AF81*Population!$B$11*Population!M$33)</f>
        <v>125.42870333048998</v>
      </c>
      <c r="AG82" s="14">
        <f>(AE81*Population!$B$12*Population!M$33)+(AG81*Population!$B$11*Population!M$35)</f>
        <v>127.6446909933647</v>
      </c>
      <c r="AH82" s="13">
        <f>(AF81*Population!$B$12*Population!M$33)+(AH81*Population!$B$11*Population!M$35)</f>
        <v>127.6446909933647</v>
      </c>
      <c r="AI82" s="14">
        <f>(AG81*Population!$B$12*Population!M$35)+(AI81*Population!$B$11*Population!M$37)</f>
        <v>131.59409006261384</v>
      </c>
      <c r="AJ82" s="13">
        <f>(AH81*Population!$B$12*Population!M$35)+(AJ81*Population!$B$11*Population!M$37)</f>
        <v>131.59409006261384</v>
      </c>
      <c r="AK82" s="14">
        <f>(AI81*Population!$B$12*Population!M$37)+(AK81*Population!$B$11*Population!M$39)</f>
        <v>136.29198334449006</v>
      </c>
      <c r="AL82" s="13">
        <f>(AJ81*Population!$B$12*Population!M$37)+(AL81*Population!$B$11*Population!M$39)</f>
        <v>136.29198334449006</v>
      </c>
      <c r="AM82" s="14">
        <f>(AK81*Population!$B$12*Population!M$39)+(AM81*Population!$B$11*Population!M$41)</f>
        <v>139.64459614268202</v>
      </c>
      <c r="AN82" s="13">
        <f>(AL81*Population!$B$12*Population!M$39)+(AN81*Population!$B$11*Population!M$41)</f>
        <v>139.64459614268202</v>
      </c>
      <c r="AO82" s="15">
        <f>(AM81+AN81)*Population!$B$12*Population!$M$41+AO81*Population!$B$11*Population!$M$43</f>
        <v>270.45240845051001</v>
      </c>
      <c r="AP82" s="5">
        <f>AO81*Population!M$43*Population!$B$12+AP81*Population!$B$11*Population!M$44</f>
        <v>251.83018750244969</v>
      </c>
      <c r="AQ82" s="5">
        <f>AP81*Population!M$44*Population!$B$12+AQ81*Population!$B$11*Population!M$45</f>
        <v>183.99537768633488</v>
      </c>
      <c r="AR82" s="5">
        <f>(AQ81*Population!$B$12+AR81)*Population!M$46</f>
        <v>357.19968401851281</v>
      </c>
    </row>
    <row r="83" spans="1:44">
      <c r="A83">
        <f>A82+Population!$B$2</f>
        <v>80</v>
      </c>
      <c r="B83" s="4">
        <f t="shared" si="32"/>
        <v>3132</v>
      </c>
      <c r="C83" s="54">
        <f t="shared" si="31"/>
        <v>1279</v>
      </c>
      <c r="D83" s="12">
        <f>AD82*Population!$P$32*Population!$C$2+AF82*Population!$P$34*Population!$C$2+AH82*Population!$P$36*Population!$C$2+AJ82*Population!$P$38*Population!$C$2+AL82*Population!$P$40*Population!$C$2+AN81*Population!$P$42*Population!$C$2</f>
        <v>43.365614026750869</v>
      </c>
      <c r="E83" s="12">
        <f>IF(B82&gt;Population!$B$6*Population!$B$15,Population!$B$8,IF(Population!$J$6=1,D83,Population!$B$8*Population!$B$6*0.9/B82))</f>
        <v>35.642754957229528</v>
      </c>
      <c r="F83" s="12">
        <f>IF(B82&gt;Population!$B$6*0.75,Population!$B$8,E83)</f>
        <v>35.642754957229528</v>
      </c>
      <c r="G83" s="15">
        <f>IF(Population!$J$6=1,IF(E83&gt;H82,H82,E83),IF(E83&gt;X82,X82,E83))</f>
        <v>35.642754957229528</v>
      </c>
      <c r="H83" s="15">
        <f t="shared" si="33"/>
        <v>657</v>
      </c>
      <c r="I83" s="15">
        <f t="shared" si="34"/>
        <v>745</v>
      </c>
      <c r="J83" s="12">
        <f t="shared" si="28"/>
        <v>1.1339421613394216</v>
      </c>
      <c r="K83" s="12">
        <f>AA83*Population!$O$29+AB83*Population!$O$30+AC83*Population!$O$31+AD83*Population!$O$32+AE83*Population!$O$33+AF83*Population!$O$34+AG83*Population!$O$35+AH83*Population!$O$36+AI83*Population!$O$37+AJ83*Population!$O$38+AK83*Population!$O$37+AL83*Population!$O$38+AM83*Population!$O$39+AN83*Population!$O$40+AO83*Population!$O$41+AP83*Population!$O$42+AQ83*Population!$O$43+AR83*Population!$O$44</f>
        <v>7.6634866096529315</v>
      </c>
      <c r="L83" s="12">
        <f t="shared" si="35"/>
        <v>5.4250768580258034E-2</v>
      </c>
      <c r="M83" s="12">
        <f t="shared" si="36"/>
        <v>18.239622206575088</v>
      </c>
      <c r="N83" s="12">
        <f t="shared" si="29"/>
        <v>0.23786717752234993</v>
      </c>
      <c r="O83" s="12">
        <f t="shared" si="37"/>
        <v>1217.1520273223355</v>
      </c>
      <c r="P83" s="12">
        <f t="shared" si="38"/>
        <v>311</v>
      </c>
      <c r="Q83" s="12">
        <f t="shared" si="39"/>
        <v>273.92398633883226</v>
      </c>
      <c r="R83" s="12">
        <f t="shared" si="40"/>
        <v>357.19968401851281</v>
      </c>
      <c r="S83" s="12">
        <f t="shared" si="41"/>
        <v>0.11625513697677906</v>
      </c>
      <c r="T83" s="12">
        <f t="shared" si="30"/>
        <v>0.89029526078969901</v>
      </c>
      <c r="U83" s="12">
        <f>Population!$B$13*MIN(Y82:Z82)</f>
        <v>18.125125777301719</v>
      </c>
      <c r="V83" s="12">
        <f>X82*Population!$B$14</f>
        <v>3.5286213645866025</v>
      </c>
      <c r="W83" s="12">
        <f>AN82*T82*Population!$B$12</f>
        <v>17.776078838316579</v>
      </c>
      <c r="X83" s="12">
        <f t="shared" si="44"/>
        <v>584.92398633883226</v>
      </c>
      <c r="Y83" s="14">
        <f t="shared" si="42"/>
        <v>72.366997095459169</v>
      </c>
      <c r="Z83" s="13">
        <f t="shared" si="43"/>
        <v>72.366997095459169</v>
      </c>
      <c r="AA83" s="18">
        <f>(G83+Population!$B$11*AA82)*Population!M$29</f>
        <v>248.82531945148457</v>
      </c>
      <c r="AB83" s="18">
        <f>AA82*Population!$B$12*Population!$M$29+AB82*Population!$B$11*Population!$M$30</f>
        <v>248.68349437682076</v>
      </c>
      <c r="AC83" s="14">
        <f>(AB82*Population!$B$12*0.5*Population!$M$30)+(AC82*Population!$B$11*Population!M$31)</f>
        <v>124.23204645306777</v>
      </c>
      <c r="AD83" s="13">
        <f>(AB82*Population!$B$12*0.5*Population!$M$30)+(AD82*Population!$B$11*Population!M$31)</f>
        <v>124.23204645306777</v>
      </c>
      <c r="AE83" s="14">
        <f>(AC82*Population!$B$12*Population!M$31)+(AE82*Population!$B$11*Population!M$33)</f>
        <v>125.15277511793684</v>
      </c>
      <c r="AF83" s="13">
        <f>(AD82*Population!$B$12*Population!M$31)+(AF82*Population!$B$11*Population!M$33)</f>
        <v>125.15277511793684</v>
      </c>
      <c r="AG83" s="14">
        <f>(AE82*Population!$B$12*Population!M$33)+(AG82*Population!$B$11*Population!M$35)</f>
        <v>127.10097841373725</v>
      </c>
      <c r="AH83" s="13">
        <f>(AF82*Population!$B$12*Population!M$33)+(AH82*Population!$B$11*Population!M$35)</f>
        <v>127.10097841373725</v>
      </c>
      <c r="AI83" s="14">
        <f>(AG82*Population!$B$12*Population!M$35)+(AI82*Population!$B$11*Population!M$37)</f>
        <v>130.77831280640274</v>
      </c>
      <c r="AJ83" s="13">
        <f>(AH82*Population!$B$12*Population!M$35)+(AJ82*Population!$B$11*Population!M$37)</f>
        <v>130.77831280640274</v>
      </c>
      <c r="AK83" s="14">
        <f>(AI82*Population!$B$12*Population!M$37)+(AK82*Population!$B$11*Population!M$39)</f>
        <v>135.36046368978649</v>
      </c>
      <c r="AL83" s="13">
        <f>(AJ82*Population!$B$12*Population!M$37)+(AL82*Population!$B$11*Population!M$39)</f>
        <v>135.36046368978649</v>
      </c>
      <c r="AM83" s="14">
        <f>(AK82*Population!$B$12*Population!M$39)+(AM82*Population!$B$11*Population!M$41)</f>
        <v>138.89845340642816</v>
      </c>
      <c r="AN83" s="13">
        <f>(AL82*Population!$B$12*Population!M$39)+(AN82*Population!$B$11*Population!M$41)</f>
        <v>138.89845340642816</v>
      </c>
      <c r="AO83" s="15">
        <f>(AM82+AN82)*Population!$B$12*Population!$M$41+AO82*Population!$B$11*Population!$M$43</f>
        <v>269.95753256737703</v>
      </c>
      <c r="AP83" s="5">
        <f>AO82*Population!M$43*Population!$B$12+AP82*Population!$B$11*Population!M$44</f>
        <v>252.64544862108366</v>
      </c>
      <c r="AQ83" s="5">
        <f>AP82*Population!M$44*Population!$B$12+AQ82*Population!$B$11*Population!M$45</f>
        <v>185.45771512525494</v>
      </c>
      <c r="AR83" s="5">
        <f>(AQ82*Population!$B$12+AR82)*Population!M$46</f>
        <v>364.11108901127199</v>
      </c>
    </row>
    <row r="84" spans="1:44">
      <c r="A84">
        <f>A83+Population!$B$2</f>
        <v>81</v>
      </c>
      <c r="B84" s="4">
        <f t="shared" si="32"/>
        <v>3134</v>
      </c>
      <c r="C84" s="54">
        <f t="shared" si="31"/>
        <v>1273</v>
      </c>
      <c r="D84" s="12">
        <f>AD83*Population!$P$32*Population!$C$2+AF83*Population!$P$34*Population!$C$2+AH83*Population!$P$36*Population!$C$2+AJ83*Population!$P$38*Population!$C$2+AL83*Population!$P$40*Population!$C$2+AN82*Population!$P$42*Population!$C$2</f>
        <v>43.172753130329156</v>
      </c>
      <c r="E84" s="12">
        <f>IF(B83&gt;Population!$B$6*Population!$B$15,Population!$B$8,IF(Population!$J$6=1,D84,Population!$B$8*Population!$B$6*0.9/B83))</f>
        <v>35.642754957229528</v>
      </c>
      <c r="F84" s="12">
        <f>IF(B83&gt;Population!$B$6*0.75,Population!$B$8,E84)</f>
        <v>35.642754957229528</v>
      </c>
      <c r="G84" s="15">
        <f>IF(Population!$J$6=1,IF(E84&gt;H83,H83,E84),IF(E84&gt;X83,X83,E84))</f>
        <v>35.642754957229528</v>
      </c>
      <c r="H84" s="15">
        <f t="shared" si="33"/>
        <v>654</v>
      </c>
      <c r="I84" s="15">
        <f t="shared" si="34"/>
        <v>745</v>
      </c>
      <c r="J84" s="12">
        <f t="shared" si="28"/>
        <v>1.1391437308868502</v>
      </c>
      <c r="K84" s="12">
        <f>AA84*Population!$O$29+AB84*Population!$O$30+AC84*Population!$O$31+AD84*Population!$O$32+AE84*Population!$O$33+AF84*Population!$O$34+AG84*Population!$O$35+AH84*Population!$O$36+AI84*Population!$O$37+AJ84*Population!$O$38+AK84*Population!$O$37+AL84*Population!$O$38+AM84*Population!$O$39+AN84*Population!$O$40+AO84*Population!$O$41+AP84*Population!$O$42+AQ84*Population!$O$43+AR84*Population!$O$44</f>
        <v>7.7099042585133404</v>
      </c>
      <c r="L84" s="12">
        <f t="shared" si="35"/>
        <v>5.4499625316864718E-2</v>
      </c>
      <c r="M84" s="12">
        <f t="shared" si="36"/>
        <v>18.166735424467419</v>
      </c>
      <c r="N84" s="12">
        <f t="shared" si="29"/>
        <v>0.23771537970644543</v>
      </c>
      <c r="O84" s="12">
        <f t="shared" si="37"/>
        <v>1225.3192265531752</v>
      </c>
      <c r="P84" s="12">
        <f t="shared" si="38"/>
        <v>311</v>
      </c>
      <c r="Q84" s="12">
        <f t="shared" si="39"/>
        <v>270.84038672341239</v>
      </c>
      <c r="R84" s="12">
        <f t="shared" si="40"/>
        <v>364.11108901127199</v>
      </c>
      <c r="S84" s="12">
        <f t="shared" si="41"/>
        <v>0.11833812420995918</v>
      </c>
      <c r="T84" s="12">
        <f t="shared" si="30"/>
        <v>0.88966419988289358</v>
      </c>
      <c r="U84" s="12">
        <f>Population!$B$13*MIN(Y83:Z83)</f>
        <v>18.091749273864792</v>
      </c>
      <c r="V84" s="12">
        <f>X83*Population!$B$14</f>
        <v>3.5095439180329935</v>
      </c>
      <c r="W84" s="12">
        <f>AN83*T83*Population!$B$12</f>
        <v>17.665804971251688</v>
      </c>
      <c r="X84" s="12">
        <f t="shared" si="44"/>
        <v>581.84038672341239</v>
      </c>
      <c r="Y84" s="14">
        <f t="shared" si="42"/>
        <v>72.235604318639957</v>
      </c>
      <c r="Z84" s="13">
        <f t="shared" si="43"/>
        <v>72.235604318639957</v>
      </c>
      <c r="AA84" s="18">
        <f>(G84+Population!$B$11*AA83)*Population!M$29</f>
        <v>248.82053803167742</v>
      </c>
      <c r="AB84" s="18">
        <f>AA83*Population!$B$12*Population!$M$29+AB83*Population!$B$11*Population!$M$30</f>
        <v>248.64136284504332</v>
      </c>
      <c r="AC84" s="14">
        <f>(AB83*Population!$B$12*0.5*Population!$M$30)+(AC83*Population!$B$11*Population!M$31)</f>
        <v>124.14224145315443</v>
      </c>
      <c r="AD84" s="13">
        <f>(AB83*Population!$B$12*0.5*Population!$M$30)+(AD83*Population!$B$11*Population!M$31)</f>
        <v>124.14224145315443</v>
      </c>
      <c r="AE84" s="14">
        <f>(AC83*Population!$B$12*Population!M$31)+(AE83*Population!$B$11*Population!M$33)</f>
        <v>124.90209720747067</v>
      </c>
      <c r="AF84" s="13">
        <f>(AD83*Population!$B$12*Population!M$31)+(AF83*Population!$B$11*Population!M$33)</f>
        <v>124.90209720747067</v>
      </c>
      <c r="AG84" s="14">
        <f>(AE83*Population!$B$12*Population!M$33)+(AG83*Population!$B$11*Population!M$35)</f>
        <v>126.59645310490669</v>
      </c>
      <c r="AH84" s="13">
        <f>(AF83*Population!$B$12*Population!M$33)+(AH83*Population!$B$11*Population!M$35)</f>
        <v>126.59645310490669</v>
      </c>
      <c r="AI84" s="14">
        <f>(AG83*Population!$B$12*Population!M$35)+(AI83*Population!$B$11*Population!M$37)</f>
        <v>130.0028936014385</v>
      </c>
      <c r="AJ84" s="13">
        <f>(AH83*Population!$B$12*Population!M$35)+(AJ83*Population!$B$11*Population!M$37)</f>
        <v>130.0028936014385</v>
      </c>
      <c r="AK84" s="14">
        <f>(AI83*Population!$B$12*Population!M$37)+(AK83*Population!$B$11*Population!M$39)</f>
        <v>134.44723543468956</v>
      </c>
      <c r="AL84" s="13">
        <f>(AJ83*Population!$B$12*Population!M$37)+(AL83*Population!$B$11*Population!M$39)</f>
        <v>134.44723543468956</v>
      </c>
      <c r="AM84" s="14">
        <f>(AK83*Population!$B$12*Population!M$39)+(AM83*Population!$B$11*Population!M$41)</f>
        <v>138.127311693547</v>
      </c>
      <c r="AN84" s="13">
        <f>(AL83*Population!$B$12*Population!M$39)+(AN83*Population!$B$11*Population!M$41)</f>
        <v>138.127311693547</v>
      </c>
      <c r="AO84" s="15">
        <f>(AM83+AN83)*Population!$B$12*Population!$M$41+AO83*Population!$B$11*Population!$M$43</f>
        <v>269.32365421276529</v>
      </c>
      <c r="AP84" s="5">
        <f>AO83*Population!M$43*Population!$B$12+AP83*Population!$B$11*Population!M$44</f>
        <v>253.26899359539266</v>
      </c>
      <c r="AQ84" s="5">
        <f>AP83*Population!M$44*Population!$B$12+AQ83*Population!$B$11*Population!M$45</f>
        <v>186.76344532304904</v>
      </c>
      <c r="AR84" s="5">
        <f>(AQ83*Population!$B$12+AR83)*Population!M$46</f>
        <v>370.87168127401208</v>
      </c>
    </row>
    <row r="85" spans="1:44">
      <c r="A85">
        <f>A84+Population!$B$2</f>
        <v>82</v>
      </c>
      <c r="B85" s="4">
        <f t="shared" si="32"/>
        <v>3135</v>
      </c>
      <c r="C85" s="54">
        <f t="shared" si="31"/>
        <v>1266</v>
      </c>
      <c r="D85" s="12">
        <f>AD84*Population!$P$32*Population!$C$2+AF84*Population!$P$34*Population!$C$2+AH84*Population!$P$36*Population!$C$2+AJ84*Population!$P$38*Population!$C$2+AL84*Population!$P$40*Population!$C$2+AN83*Population!$P$42*Population!$C$2</f>
        <v>42.988858938246061</v>
      </c>
      <c r="E85" s="12">
        <f>IF(B84&gt;Population!$B$6*Population!$B$15,Population!$B$8,IF(Population!$J$6=1,D85,Population!$B$8*Population!$B$6*0.9/B84))</f>
        <v>35.642754957229528</v>
      </c>
      <c r="F85" s="12">
        <f>IF(B84&gt;Population!$B$6*0.75,Population!$B$8,E85)</f>
        <v>35.642754957229528</v>
      </c>
      <c r="G85" s="15">
        <f>IF(Population!$J$6=1,IF(E85&gt;H84,H84,E85),IF(E85&gt;X84,X84,E85))</f>
        <v>35.642754957229528</v>
      </c>
      <c r="H85" s="15">
        <f t="shared" si="33"/>
        <v>650</v>
      </c>
      <c r="I85" s="15">
        <f t="shared" si="34"/>
        <v>745</v>
      </c>
      <c r="J85" s="12">
        <f t="shared" si="28"/>
        <v>1.1461538461538461</v>
      </c>
      <c r="K85" s="12">
        <f>AA85*Population!$O$29+AB85*Population!$O$30+AC85*Population!$O$31+AD85*Population!$O$32+AE85*Population!$O$33+AF85*Population!$O$34+AG85*Population!$O$35+AH85*Population!$O$36+AI85*Population!$O$37+AJ85*Population!$O$38+AK85*Population!$O$37+AL85*Population!$O$38+AM85*Population!$O$39+AN85*Population!$O$40+AO85*Population!$O$41+AP85*Population!$O$42+AQ85*Population!$O$43+AR85*Population!$O$44</f>
        <v>7.7537879689012463</v>
      </c>
      <c r="L85" s="12">
        <f t="shared" si="35"/>
        <v>5.4835007626506962E-2</v>
      </c>
      <c r="M85" s="12">
        <f t="shared" si="36"/>
        <v>18.098631538352603</v>
      </c>
      <c r="N85" s="12">
        <f t="shared" si="29"/>
        <v>0.23763955342902712</v>
      </c>
      <c r="O85" s="12">
        <f t="shared" si="37"/>
        <v>1232.2940588173403</v>
      </c>
      <c r="P85" s="12">
        <f t="shared" si="38"/>
        <v>311</v>
      </c>
      <c r="Q85" s="12">
        <f t="shared" si="39"/>
        <v>267.85297059132984</v>
      </c>
      <c r="R85" s="12">
        <f t="shared" si="40"/>
        <v>370.87168127401208</v>
      </c>
      <c r="S85" s="12">
        <f t="shared" si="41"/>
        <v>0.12040441392652866</v>
      </c>
      <c r="T85" s="12">
        <f t="shared" si="30"/>
        <v>0.89054303167896898</v>
      </c>
      <c r="U85" s="12">
        <f>Population!$B$13*MIN(Y84:Z84)</f>
        <v>18.058901079659989</v>
      </c>
      <c r="V85" s="12">
        <f>X84*Population!$B$14</f>
        <v>3.4910423203404743</v>
      </c>
      <c r="W85" s="12">
        <f>AN84*T84*Population!$B$12</f>
        <v>17.555274891402078</v>
      </c>
      <c r="X85" s="12">
        <f t="shared" si="44"/>
        <v>578.85297059132984</v>
      </c>
      <c r="Y85" s="14">
        <f t="shared" si="42"/>
        <v>72.111092967629247</v>
      </c>
      <c r="Z85" s="13">
        <f t="shared" si="43"/>
        <v>72.111092967629247</v>
      </c>
      <c r="AA85" s="18">
        <f>(G85+Population!$B$11*AA84)*Population!M$29</f>
        <v>248.81644133577683</v>
      </c>
      <c r="AB85" s="18">
        <f>AA84*Population!$B$12*Population!$M$29+AB84*Population!$B$11*Population!$M$30</f>
        <v>248.60457544623654</v>
      </c>
      <c r="AC85" s="14">
        <f>(AB84*Population!$B$12*0.5*Population!$M$30)+(AC84*Population!$B$11*Population!M$31)</f>
        <v>124.06233037878557</v>
      </c>
      <c r="AD85" s="13">
        <f>(AB84*Population!$B$12*0.5*Population!$M$30)+(AD84*Population!$B$11*Population!M$31)</f>
        <v>124.06233037878557</v>
      </c>
      <c r="AE85" s="14">
        <f>(AC84*Population!$B$12*Population!M$31)+(AE84*Population!$B$11*Population!M$33)</f>
        <v>124.67461813572019</v>
      </c>
      <c r="AF85" s="13">
        <f>(AD84*Population!$B$12*Population!M$31)+(AF84*Population!$B$11*Population!M$33)</f>
        <v>124.67461813572019</v>
      </c>
      <c r="AG85" s="14">
        <f>(AE84*Population!$B$12*Population!M$33)+(AG84*Population!$B$11*Population!M$35)</f>
        <v>126.12905614264336</v>
      </c>
      <c r="AH85" s="13">
        <f>(AF84*Population!$B$12*Population!M$33)+(AH84*Population!$B$11*Population!M$35)</f>
        <v>126.12905614264336</v>
      </c>
      <c r="AI85" s="14">
        <f>(AG84*Population!$B$12*Population!M$35)+(AI84*Population!$B$11*Population!M$37)</f>
        <v>129.26758802704111</v>
      </c>
      <c r="AJ85" s="13">
        <f>(AH84*Population!$B$12*Population!M$35)+(AJ84*Population!$B$11*Population!M$37)</f>
        <v>129.26758802704111</v>
      </c>
      <c r="AK85" s="14">
        <f>(AI84*Population!$B$12*Population!M$37)+(AK84*Population!$B$11*Population!M$39)</f>
        <v>133.5554097859505</v>
      </c>
      <c r="AL85" s="13">
        <f>(AJ84*Population!$B$12*Population!M$37)+(AL84*Population!$B$11*Population!M$39)</f>
        <v>133.5554097859505</v>
      </c>
      <c r="AM85" s="14">
        <f>(AK84*Population!$B$12*Population!M$39)+(AM84*Population!$B$11*Population!M$41)</f>
        <v>137.33739146760391</v>
      </c>
      <c r="AN85" s="13">
        <f>(AL84*Population!$B$12*Population!M$39)+(AN84*Population!$B$11*Population!M$41)</f>
        <v>137.33739146760391</v>
      </c>
      <c r="AO85" s="15">
        <f>(AM84+AN84)*Population!$B$12*Population!$M$41+AO84*Population!$B$11*Population!$M$43</f>
        <v>268.56436583264679</v>
      </c>
      <c r="AP85" s="5">
        <f>AO84*Population!M$43*Population!$B$12+AP84*Population!$B$11*Population!M$44</f>
        <v>253.7096882958113</v>
      </c>
      <c r="AQ85" s="5">
        <f>AP84*Population!M$44*Population!$B$12+AQ84*Population!$B$11*Population!M$45</f>
        <v>187.91453282625682</v>
      </c>
      <c r="AR85" s="5">
        <f>(AQ84*Population!$B$12+AR84)*Population!M$46</f>
        <v>377.46783765966734</v>
      </c>
    </row>
    <row r="86" spans="1:44">
      <c r="A86">
        <f>A85+Population!$B$2</f>
        <v>83</v>
      </c>
      <c r="B86" s="4">
        <f t="shared" si="32"/>
        <v>3135</v>
      </c>
      <c r="C86" s="54">
        <f t="shared" si="31"/>
        <v>1259</v>
      </c>
      <c r="D86" s="12">
        <f>AD85*Population!$P$32*Population!$C$2+AF85*Population!$P$34*Population!$C$2+AH85*Population!$P$36*Population!$C$2+AJ85*Population!$P$38*Population!$C$2+AL85*Population!$P$40*Population!$C$2+AN84*Population!$P$42*Population!$C$2</f>
        <v>42.813817970326468</v>
      </c>
      <c r="E86" s="12">
        <f>IF(B85&gt;Population!$B$6*Population!$B$15,Population!$B$8,IF(Population!$J$6=1,D86,Population!$B$8*Population!$B$6*0.9/B85))</f>
        <v>35.642754957229528</v>
      </c>
      <c r="F86" s="12">
        <f>IF(B85&gt;Population!$B$6*0.75,Population!$B$8,E86)</f>
        <v>35.642754957229528</v>
      </c>
      <c r="G86" s="15">
        <f>IF(Population!$J$6=1,IF(E86&gt;H85,H85,E86),IF(E86&gt;X85,X85,E86))</f>
        <v>35.642754957229528</v>
      </c>
      <c r="H86" s="15">
        <f t="shared" si="33"/>
        <v>647</v>
      </c>
      <c r="I86" s="15">
        <f t="shared" si="34"/>
        <v>745</v>
      </c>
      <c r="J86" s="12">
        <f t="shared" si="28"/>
        <v>1.1514683153013909</v>
      </c>
      <c r="K86" s="12">
        <f>AA86*Population!$O$29+AB86*Population!$O$30+AC86*Population!$O$31+AD86*Population!$O$32+AE86*Population!$O$33+AF86*Population!$O$34+AG86*Population!$O$35+AH86*Population!$O$36+AI86*Population!$O$37+AJ86*Population!$O$38+AK86*Population!$O$37+AL86*Population!$O$38+AM86*Population!$O$39+AN86*Population!$O$40+AO86*Population!$O$41+AP86*Population!$O$42+AQ86*Population!$O$43+AR86*Population!$O$44</f>
        <v>7.7951269747205991</v>
      </c>
      <c r="L86" s="12">
        <f t="shared" si="35"/>
        <v>5.5089265776243471E-2</v>
      </c>
      <c r="M86" s="12">
        <f t="shared" si="36"/>
        <v>18.035097316887853</v>
      </c>
      <c r="N86" s="12">
        <f t="shared" si="29"/>
        <v>0.23763955342902712</v>
      </c>
      <c r="O86" s="12">
        <f t="shared" si="37"/>
        <v>1238.1289928264621</v>
      </c>
      <c r="P86" s="12">
        <f t="shared" si="38"/>
        <v>311</v>
      </c>
      <c r="Q86" s="12">
        <f t="shared" si="39"/>
        <v>264.93550358676896</v>
      </c>
      <c r="R86" s="12">
        <f t="shared" si="40"/>
        <v>377.46783765966734</v>
      </c>
      <c r="S86" s="12">
        <f t="shared" si="41"/>
        <v>0.12245195844773665</v>
      </c>
      <c r="T86" s="12">
        <f t="shared" si="30"/>
        <v>0.89016306582189952</v>
      </c>
      <c r="U86" s="12">
        <f>Population!$B$13*MIN(Y85:Z85)</f>
        <v>18.027773241907312</v>
      </c>
      <c r="V86" s="12">
        <f>X85*Population!$B$14</f>
        <v>3.4731178235479789</v>
      </c>
      <c r="W86" s="12">
        <f>AN85*T85*Population!$B$12</f>
        <v>17.472122422920194</v>
      </c>
      <c r="X86" s="12">
        <f t="shared" si="44"/>
        <v>575.93550358676896</v>
      </c>
      <c r="Y86" s="14">
        <f t="shared" si="42"/>
        <v>72.02361151188677</v>
      </c>
      <c r="Z86" s="13">
        <f t="shared" si="43"/>
        <v>72.02361151188677</v>
      </c>
      <c r="AA86" s="18">
        <f>(G86+Population!$B$11*AA85)*Population!M$29</f>
        <v>248.81293130779792</v>
      </c>
      <c r="AB86" s="18">
        <f>AA85*Population!$B$12*Population!$M$29+AB85*Population!$B$11*Population!$M$30</f>
        <v>248.57246548016593</v>
      </c>
      <c r="AC86" s="14">
        <f>(AB85*Population!$B$12*0.5*Population!$M$30)+(AC85*Population!$B$11*Population!M$31)</f>
        <v>123.9912733679983</v>
      </c>
      <c r="AD86" s="13">
        <f>(AB85*Population!$B$12*0.5*Population!$M$30)+(AD85*Population!$B$11*Population!M$31)</f>
        <v>123.9912733679983</v>
      </c>
      <c r="AE86" s="14">
        <f>(AC85*Population!$B$12*Population!M$31)+(AE85*Population!$B$11*Population!M$33)</f>
        <v>124.46841690367941</v>
      </c>
      <c r="AF86" s="13">
        <f>(AD85*Population!$B$12*Population!M$31)+(AF85*Population!$B$11*Population!M$33)</f>
        <v>124.46841690367941</v>
      </c>
      <c r="AG86" s="14">
        <f>(AE85*Population!$B$12*Population!M$33)+(AG85*Population!$B$11*Population!M$35)</f>
        <v>125.69673333624768</v>
      </c>
      <c r="AH86" s="13">
        <f>(AF85*Population!$B$12*Population!M$33)+(AH85*Population!$B$11*Population!M$35)</f>
        <v>125.69673333624768</v>
      </c>
      <c r="AI86" s="14">
        <f>(AG85*Population!$B$12*Population!M$35)+(AI85*Population!$B$11*Population!M$37)</f>
        <v>128.57189341471781</v>
      </c>
      <c r="AJ86" s="13">
        <f>(AH85*Population!$B$12*Population!M$35)+(AJ85*Population!$B$11*Population!M$37)</f>
        <v>128.57189341471781</v>
      </c>
      <c r="AK86" s="14">
        <f>(AI85*Population!$B$12*Population!M$37)+(AK85*Population!$B$11*Population!M$39)</f>
        <v>132.68761352185686</v>
      </c>
      <c r="AL86" s="13">
        <f>(AJ85*Population!$B$12*Population!M$37)+(AL85*Population!$B$11*Population!M$39)</f>
        <v>132.68761352185686</v>
      </c>
      <c r="AM86" s="14">
        <f>(AK85*Population!$B$12*Population!M$39)+(AM85*Population!$B$11*Population!M$41)</f>
        <v>136.53445792215402</v>
      </c>
      <c r="AN86" s="13">
        <f>(AL85*Population!$B$12*Population!M$39)+(AN85*Population!$B$11*Population!M$41)</f>
        <v>136.53445792215402</v>
      </c>
      <c r="AO86" s="15">
        <f>(AM85+AN85)*Population!$B$12*Population!$M$41+AO85*Population!$B$11*Population!$M$43</f>
        <v>267.69300749059045</v>
      </c>
      <c r="AP86" s="5">
        <f>AO85*Population!M$43*Population!$B$12+AP85*Population!$B$11*Population!M$44</f>
        <v>253.97700464490859</v>
      </c>
      <c r="AQ86" s="5">
        <f>AP85*Population!M$44*Population!$B$12+AQ85*Population!$B$11*Population!M$45</f>
        <v>188.91383383184467</v>
      </c>
      <c r="AR86" s="5">
        <f>(AQ85*Population!$B$12+AR85)*Population!M$46</f>
        <v>383.88688973365441</v>
      </c>
    </row>
    <row r="87" spans="1:44">
      <c r="A87">
        <f>A86+Population!$B$2</f>
        <v>84</v>
      </c>
      <c r="B87" s="4">
        <f t="shared" si="32"/>
        <v>3136</v>
      </c>
      <c r="C87" s="54">
        <f t="shared" si="31"/>
        <v>1254</v>
      </c>
      <c r="D87" s="12">
        <f>AD86*Population!$P$32*Population!$C$2+AF86*Population!$P$34*Population!$C$2+AH86*Population!$P$36*Population!$C$2+AJ86*Population!$P$38*Population!$C$2+AL86*Population!$P$40*Population!$C$2+AN85*Population!$P$42*Population!$C$2</f>
        <v>42.647480266719093</v>
      </c>
      <c r="E87" s="12">
        <f>IF(B86&gt;Population!$B$6*Population!$B$15,Population!$B$8,IF(Population!$J$6=1,D87,Population!$B$8*Population!$B$6*0.9/B86))</f>
        <v>35.642754957229528</v>
      </c>
      <c r="F87" s="12">
        <f>IF(B86&gt;Population!$B$6*0.75,Population!$B$8,E87)</f>
        <v>35.642754957229528</v>
      </c>
      <c r="G87" s="15">
        <f>IF(Population!$J$6=1,IF(E87&gt;H86,H86,E87),IF(E87&gt;X86,X86,E87))</f>
        <v>35.642754957229528</v>
      </c>
      <c r="H87" s="15">
        <f t="shared" si="33"/>
        <v>645</v>
      </c>
      <c r="I87" s="15">
        <f t="shared" si="34"/>
        <v>745</v>
      </c>
      <c r="J87" s="12">
        <f t="shared" si="28"/>
        <v>1.1550387596899225</v>
      </c>
      <c r="K87" s="12">
        <f>AA87*Population!$O$29+AB87*Population!$O$30+AC87*Population!$O$31+AD87*Population!$O$32+AE87*Population!$O$33+AF87*Population!$O$34+AG87*Population!$O$35+AH87*Population!$O$36+AI87*Population!$O$37+AJ87*Population!$O$38+AK87*Population!$O$37+AL87*Population!$O$38+AM87*Population!$O$39+AN87*Population!$O$40+AO87*Population!$O$41+AP87*Population!$O$42+AQ87*Population!$O$43+AR87*Population!$O$44</f>
        <v>7.8339203115462173</v>
      </c>
      <c r="L87" s="12">
        <f t="shared" si="35"/>
        <v>5.5260085205007019E-2</v>
      </c>
      <c r="M87" s="12">
        <f t="shared" si="36"/>
        <v>17.97591619547574</v>
      </c>
      <c r="N87" s="12">
        <f t="shared" si="29"/>
        <v>0.23756377551020408</v>
      </c>
      <c r="O87" s="12">
        <f t="shared" si="37"/>
        <v>1244.7535364433645</v>
      </c>
      <c r="P87" s="12">
        <f t="shared" si="38"/>
        <v>311</v>
      </c>
      <c r="Q87" s="12">
        <f t="shared" si="39"/>
        <v>262.12323177831775</v>
      </c>
      <c r="R87" s="12">
        <f t="shared" si="40"/>
        <v>383.88688973365441</v>
      </c>
      <c r="S87" s="12">
        <f t="shared" si="41"/>
        <v>0.1243996162261676</v>
      </c>
      <c r="T87" s="12">
        <f t="shared" si="30"/>
        <v>0.88856315004390352</v>
      </c>
      <c r="U87" s="12">
        <f>Population!$B$13*MIN(Y86:Z86)</f>
        <v>18.005902877971693</v>
      </c>
      <c r="V87" s="12">
        <f>X86*Population!$B$14</f>
        <v>3.4556130215206138</v>
      </c>
      <c r="W87" s="12">
        <f>AN86*T86*Population!$B$12</f>
        <v>17.362561664902248</v>
      </c>
      <c r="X87" s="12">
        <f t="shared" si="44"/>
        <v>573.12323177831775</v>
      </c>
      <c r="Y87" s="14">
        <f t="shared" si="42"/>
        <v>71.940848195856688</v>
      </c>
      <c r="Z87" s="13">
        <f t="shared" si="43"/>
        <v>71.940848195856688</v>
      </c>
      <c r="AA87" s="18">
        <f>(G87+Population!$B$11*AA86)*Population!M$29</f>
        <v>248.80992393387714</v>
      </c>
      <c r="AB87" s="18">
        <f>AA86*Population!$B$12*Population!$M$29+AB86*Population!$B$11*Population!$M$30</f>
        <v>248.5444476157549</v>
      </c>
      <c r="AC87" s="14">
        <f>(AB86*Population!$B$12*0.5*Population!$M$30)+(AC86*Population!$B$11*Population!M$31)</f>
        <v>123.92813234922687</v>
      </c>
      <c r="AD87" s="13">
        <f>(AB86*Population!$B$12*0.5*Population!$M$30)+(AD86*Population!$B$11*Population!M$31)</f>
        <v>123.92813234922687</v>
      </c>
      <c r="AE87" s="14">
        <f>(AC86*Population!$B$12*Population!M$31)+(AE86*Population!$B$11*Population!M$33)</f>
        <v>124.28170009981427</v>
      </c>
      <c r="AF87" s="13">
        <f>(AD86*Population!$B$12*Population!M$31)+(AF86*Population!$B$11*Population!M$33)</f>
        <v>124.28170009981427</v>
      </c>
      <c r="AG87" s="14">
        <f>(AE86*Population!$B$12*Population!M$33)+(AG86*Population!$B$11*Population!M$35)</f>
        <v>125.2974531645461</v>
      </c>
      <c r="AH87" s="13">
        <f>(AF86*Population!$B$12*Population!M$33)+(AH86*Population!$B$11*Population!M$35)</f>
        <v>125.2974531645461</v>
      </c>
      <c r="AI87" s="14">
        <f>(AG86*Population!$B$12*Population!M$35)+(AI86*Population!$B$11*Population!M$37)</f>
        <v>127.91508684063021</v>
      </c>
      <c r="AJ87" s="13">
        <f>(AH86*Population!$B$12*Population!M$35)+(AJ86*Population!$B$11*Population!M$37)</f>
        <v>127.91508684063021</v>
      </c>
      <c r="AK87" s="14">
        <f>(AI86*Population!$B$12*Population!M$37)+(AK86*Population!$B$11*Population!M$39)</f>
        <v>131.8460221718187</v>
      </c>
      <c r="AL87" s="13">
        <f>(AJ86*Population!$B$12*Population!M$37)+(AL86*Population!$B$11*Population!M$39)</f>
        <v>131.8460221718187</v>
      </c>
      <c r="AM87" s="14">
        <f>(AK86*Population!$B$12*Population!M$39)+(AM86*Population!$B$11*Population!M$41)</f>
        <v>135.72381769736512</v>
      </c>
      <c r="AN87" s="13">
        <f>(AL86*Population!$B$12*Population!M$39)+(AN86*Population!$B$11*Population!M$41)</f>
        <v>135.72381769736512</v>
      </c>
      <c r="AO87" s="15">
        <f>(AM86+AN86)*Population!$B$12*Population!$M$41+AO86*Population!$B$11*Population!$M$43</f>
        <v>266.72257466336987</v>
      </c>
      <c r="AP87" s="5">
        <f>AO86*Population!M$43*Population!$B$12+AP86*Population!$B$11*Population!M$44</f>
        <v>254.08089447909742</v>
      </c>
      <c r="AQ87" s="5">
        <f>AP86*Population!M$44*Population!$B$12+AQ86*Population!$B$11*Population!M$45</f>
        <v>189.76501614874178</v>
      </c>
      <c r="AR87" s="5">
        <f>(AQ86*Population!$B$12+AR86)*Population!M$46</f>
        <v>390.11719648526162</v>
      </c>
    </row>
    <row r="88" spans="1:44">
      <c r="A88">
        <f>A87+Population!$B$2</f>
        <v>85</v>
      </c>
      <c r="B88" s="4">
        <f t="shared" si="32"/>
        <v>3135</v>
      </c>
      <c r="C88" s="54">
        <f t="shared" si="31"/>
        <v>1248</v>
      </c>
      <c r="D88" s="12">
        <f>AD87*Population!$P$32*Population!$C$2+AF87*Population!$P$34*Population!$C$2+AH87*Population!$P$36*Population!$C$2+AJ87*Population!$P$38*Population!$C$2+AL87*Population!$P$40*Population!$C$2+AN86*Population!$P$42*Population!$C$2</f>
        <v>42.489664640155105</v>
      </c>
      <c r="E88" s="12">
        <f>IF(B87&gt;Population!$B$6*Population!$B$15,Population!$B$8,IF(Population!$J$6=1,D88,Population!$B$8*Population!$B$6*0.9/B87))</f>
        <v>35.642754957229528</v>
      </c>
      <c r="F88" s="12">
        <f>IF(B87&gt;Population!$B$6*0.75,Population!$B$8,E88)</f>
        <v>35.642754957229528</v>
      </c>
      <c r="G88" s="15">
        <f>IF(Population!$J$6=1,IF(E88&gt;H87,H87,E88),IF(E88&gt;X87,X87,E88))</f>
        <v>35.642754957229528</v>
      </c>
      <c r="H88" s="15">
        <f t="shared" si="33"/>
        <v>642</v>
      </c>
      <c r="I88" s="15">
        <f t="shared" si="34"/>
        <v>745</v>
      </c>
      <c r="J88" s="12">
        <f t="shared" si="28"/>
        <v>1.1604361370716512</v>
      </c>
      <c r="K88" s="12">
        <f>AA88*Population!$O$29+AB88*Population!$O$30+AC88*Population!$O$31+AD88*Population!$O$32+AE88*Population!$O$33+AF88*Population!$O$34+AG88*Population!$O$35+AH88*Population!$O$36+AI88*Population!$O$37+AJ88*Population!$O$38+AK88*Population!$O$37+AL88*Population!$O$38+AM88*Population!$O$39+AN88*Population!$O$40+AO88*Population!$O$41+AP88*Population!$O$42+AQ88*Population!$O$43+AR88*Population!$O$44</f>
        <v>7.8701765549832192</v>
      </c>
      <c r="L88" s="12">
        <f t="shared" si="35"/>
        <v>5.5518309902226677E-2</v>
      </c>
      <c r="M88" s="12">
        <f t="shared" si="36"/>
        <v>17.920870475789798</v>
      </c>
      <c r="N88" s="12">
        <f t="shared" si="29"/>
        <v>0.23763955342902712</v>
      </c>
      <c r="O88" s="12">
        <f t="shared" si="37"/>
        <v>1249.1175005522489</v>
      </c>
      <c r="P88" s="12">
        <f t="shared" si="38"/>
        <v>311</v>
      </c>
      <c r="Q88" s="12">
        <f t="shared" si="39"/>
        <v>259.44124972387556</v>
      </c>
      <c r="R88" s="12">
        <f t="shared" si="40"/>
        <v>390.11719648526162</v>
      </c>
      <c r="S88" s="12">
        <f t="shared" si="41"/>
        <v>0.12636306300135294</v>
      </c>
      <c r="T88" s="12">
        <f t="shared" si="30"/>
        <v>0.88853777215556939</v>
      </c>
      <c r="U88" s="12">
        <f>Population!$B$13*MIN(Y87:Z87)</f>
        <v>17.985212048964172</v>
      </c>
      <c r="V88" s="12">
        <f>X87*Population!$B$14</f>
        <v>3.4387393906699066</v>
      </c>
      <c r="W88" s="12">
        <f>AN87*T87*Population!$B$12</f>
        <v>17.228454712736465</v>
      </c>
      <c r="X88" s="12">
        <f t="shared" si="44"/>
        <v>570.44124972387556</v>
      </c>
      <c r="Y88" s="14">
        <f t="shared" si="42"/>
        <v>71.839744888132486</v>
      </c>
      <c r="Z88" s="13">
        <f t="shared" si="43"/>
        <v>71.839744888132486</v>
      </c>
      <c r="AA88" s="18">
        <f>(G88+Population!$B$11*AA87)*Population!M$29</f>
        <v>248.80734723136831</v>
      </c>
      <c r="AB88" s="18">
        <f>AA87*Population!$B$12*Population!$M$29+AB87*Population!$B$11*Population!$M$30</f>
        <v>248.52000825642972</v>
      </c>
      <c r="AC88" s="14">
        <f>(AB87*Population!$B$12*0.5*Population!$M$30)+(AC87*Population!$B$11*Population!M$31)</f>
        <v>123.87206222744416</v>
      </c>
      <c r="AD88" s="13">
        <f>(AB87*Population!$B$12*0.5*Population!$M$30)+(AD87*Population!$B$11*Population!M$31)</f>
        <v>123.87206222744416</v>
      </c>
      <c r="AE88" s="14">
        <f>(AC87*Population!$B$12*Population!M$31)+(AE87*Population!$B$11*Population!M$33)</f>
        <v>124.11279809668757</v>
      </c>
      <c r="AF88" s="13">
        <f>(AD87*Population!$B$12*Population!M$31)+(AF87*Population!$B$11*Population!M$33)</f>
        <v>124.11279809668757</v>
      </c>
      <c r="AG88" s="14">
        <f>(AE87*Population!$B$12*Population!M$33)+(AG87*Population!$B$11*Population!M$35)</f>
        <v>124.92922170949146</v>
      </c>
      <c r="AH88" s="13">
        <f>(AF87*Population!$B$12*Population!M$33)+(AH87*Population!$B$11*Population!M$35)</f>
        <v>124.92922170949146</v>
      </c>
      <c r="AI88" s="14">
        <f>(AG87*Population!$B$12*Population!M$35)+(AI87*Population!$B$11*Population!M$37)</f>
        <v>127.29626018540675</v>
      </c>
      <c r="AJ88" s="13">
        <f>(AH87*Population!$B$12*Population!M$35)+(AJ87*Population!$B$11*Population!M$37)</f>
        <v>127.29626018540675</v>
      </c>
      <c r="AK88" s="14">
        <f>(AI87*Population!$B$12*Population!M$37)+(AK87*Population!$B$11*Population!M$39)</f>
        <v>131.03239381848417</v>
      </c>
      <c r="AL88" s="13">
        <f>(AJ87*Population!$B$12*Population!M$37)+(AL87*Population!$B$11*Population!M$39)</f>
        <v>131.03239381848417</v>
      </c>
      <c r="AM88" s="14">
        <f>(AK87*Population!$B$12*Population!M$39)+(AM87*Population!$B$11*Population!M$41)</f>
        <v>134.91032080193798</v>
      </c>
      <c r="AN88" s="13">
        <f>(AL87*Population!$B$12*Population!M$39)+(AN87*Population!$B$11*Population!M$41)</f>
        <v>134.91032080193798</v>
      </c>
      <c r="AO88" s="15">
        <f>(AM87+AN87)*Population!$B$12*Population!$M$41+AO87*Population!$B$11*Population!$M$43</f>
        <v>265.66563884530501</v>
      </c>
      <c r="AP88" s="5">
        <f>AO87*Population!M$43*Population!$B$12+AP87*Population!$B$11*Population!M$44</f>
        <v>254.03166913740063</v>
      </c>
      <c r="AQ88" s="5">
        <f>AP87*Population!M$44*Population!$B$12+AQ87*Population!$B$11*Population!M$45</f>
        <v>190.47247617022401</v>
      </c>
      <c r="AR88" s="5">
        <f>(AQ87*Population!$B$12+AR87)*Population!M$46</f>
        <v>396.14820250924151</v>
      </c>
    </row>
    <row r="89" spans="1:44">
      <c r="A89">
        <f>A88+Population!$B$2</f>
        <v>86</v>
      </c>
      <c r="B89" s="4">
        <f t="shared" si="32"/>
        <v>3135</v>
      </c>
      <c r="C89" s="54">
        <f t="shared" si="31"/>
        <v>1243</v>
      </c>
      <c r="D89" s="12">
        <f>AD88*Population!$P$32*Population!$C$2+AF88*Population!$P$34*Population!$C$2+AH88*Population!$P$36*Population!$C$2+AJ88*Population!$P$38*Population!$C$2+AL88*Population!$P$40*Population!$C$2+AN87*Population!$P$42*Population!$C$2</f>
        <v>42.340163519948504</v>
      </c>
      <c r="E89" s="12">
        <f>IF(B88&gt;Population!$B$6*Population!$B$15,Population!$B$8,IF(Population!$J$6=1,D89,Population!$B$8*Population!$B$6*0.9/B88))</f>
        <v>35.642754957229528</v>
      </c>
      <c r="F89" s="12">
        <f>IF(B88&gt;Population!$B$6*0.75,Population!$B$8,E89)</f>
        <v>35.642754957229528</v>
      </c>
      <c r="G89" s="15">
        <f>IF(Population!$J$6=1,IF(E89&gt;H88,H88,E89),IF(E89&gt;X88,X88,E89))</f>
        <v>35.642754957229528</v>
      </c>
      <c r="H89" s="15">
        <f t="shared" si="33"/>
        <v>639</v>
      </c>
      <c r="I89" s="15">
        <f t="shared" si="34"/>
        <v>744</v>
      </c>
      <c r="J89" s="12">
        <f t="shared" si="28"/>
        <v>1.164319248826291</v>
      </c>
      <c r="K89" s="12">
        <f>AA89*Population!$O$29+AB89*Population!$O$30+AC89*Population!$O$31+AD89*Population!$O$32+AE89*Population!$O$33+AF89*Population!$O$34+AG89*Population!$O$35+AH89*Population!$O$36+AI89*Population!$O$37+AJ89*Population!$O$38+AK89*Population!$O$37+AL89*Population!$O$38+AM89*Population!$O$39+AN89*Population!$O$40+AO89*Population!$O$41+AP89*Population!$O$42+AQ89*Population!$O$43+AR89*Population!$O$44</f>
        <v>7.9039134772804083</v>
      </c>
      <c r="L89" s="12">
        <f t="shared" si="35"/>
        <v>5.5778959244490653E-2</v>
      </c>
      <c r="M89" s="12">
        <f t="shared" si="36"/>
        <v>17.869743222956604</v>
      </c>
      <c r="N89" s="12">
        <f t="shared" si="29"/>
        <v>0.23732057416267943</v>
      </c>
      <c r="O89" s="12">
        <f t="shared" si="37"/>
        <v>1255.2923276437684</v>
      </c>
      <c r="P89" s="12">
        <f t="shared" si="38"/>
        <v>310</v>
      </c>
      <c r="Q89" s="12">
        <f t="shared" si="39"/>
        <v>257.85383617811578</v>
      </c>
      <c r="R89" s="12">
        <f t="shared" si="40"/>
        <v>396.14820250924151</v>
      </c>
      <c r="S89" s="12">
        <f t="shared" si="41"/>
        <v>0.12822024943738558</v>
      </c>
      <c r="T89" s="12">
        <f t="shared" si="30"/>
        <v>0.88866015051348324</v>
      </c>
      <c r="U89" s="12">
        <f>Population!$B$13*MIN(Y88:Z88)</f>
        <v>17.959936222033122</v>
      </c>
      <c r="V89" s="12">
        <f>X88*Population!$B$14</f>
        <v>3.4226474983432533</v>
      </c>
      <c r="W89" s="12">
        <f>AN88*T88*Population!$B$12</f>
        <v>17.124702269449589</v>
      </c>
      <c r="X89" s="12">
        <f t="shared" si="44"/>
        <v>567.85383617811578</v>
      </c>
      <c r="Y89" s="14">
        <f t="shared" si="42"/>
        <v>71.75724159515994</v>
      </c>
      <c r="Z89" s="13">
        <f t="shared" si="43"/>
        <v>71.75724159515994</v>
      </c>
      <c r="AA89" s="18">
        <f>(G89+Population!$B$11*AA88)*Population!M$29</f>
        <v>248.80513952591036</v>
      </c>
      <c r="AB89" s="18">
        <f>AA88*Population!$B$12*Population!$M$29+AB88*Population!$B$11*Population!$M$30</f>
        <v>248.49869699654636</v>
      </c>
      <c r="AC89" s="14">
        <f>(AB88*Population!$B$12*0.5*Population!$M$30)+(AC88*Population!$B$11*Population!M$31)</f>
        <v>123.82230264859065</v>
      </c>
      <c r="AD89" s="13">
        <f>(AB88*Population!$B$12*0.5*Population!$M$30)+(AD88*Population!$B$11*Population!M$31)</f>
        <v>123.82230264859065</v>
      </c>
      <c r="AE89" s="14">
        <f>(AC88*Population!$B$12*Population!M$31)+(AE88*Population!$B$11*Population!M$33)</f>
        <v>123.96016053610714</v>
      </c>
      <c r="AF89" s="13">
        <f>(AD88*Population!$B$12*Population!M$31)+(AF88*Population!$B$11*Population!M$33)</f>
        <v>123.96016053610714</v>
      </c>
      <c r="AG89" s="14">
        <f>(AE88*Population!$B$12*Population!M$33)+(AG88*Population!$B$11*Population!M$35)</f>
        <v>124.59009488899385</v>
      </c>
      <c r="AH89" s="13">
        <f>(AF88*Population!$B$12*Population!M$33)+(AH88*Population!$B$11*Population!M$35)</f>
        <v>124.59009488899385</v>
      </c>
      <c r="AI89" s="14">
        <f>(AG88*Population!$B$12*Population!M$35)+(AI88*Population!$B$11*Population!M$37)</f>
        <v>126.7143522569877</v>
      </c>
      <c r="AJ89" s="13">
        <f>(AH88*Population!$B$12*Population!M$35)+(AJ88*Population!$B$11*Population!M$37)</f>
        <v>126.7143522569877</v>
      </c>
      <c r="AK89" s="14">
        <f>(AI88*Population!$B$12*Population!M$37)+(AK88*Population!$B$11*Population!M$39)</f>
        <v>130.24810301428099</v>
      </c>
      <c r="AL89" s="13">
        <f>(AJ88*Population!$B$12*Population!M$37)+(AL88*Population!$B$11*Population!M$39)</f>
        <v>130.24810301428099</v>
      </c>
      <c r="AM89" s="14">
        <f>(AK88*Population!$B$12*Population!M$39)+(AM88*Population!$B$11*Population!M$41)</f>
        <v>134.09836707690604</v>
      </c>
      <c r="AN89" s="13">
        <f>(AL88*Population!$B$12*Population!M$39)+(AN88*Population!$B$11*Population!M$41)</f>
        <v>134.09836707690604</v>
      </c>
      <c r="AO89" s="15">
        <f>(AM88+AN88)*Population!$B$12*Population!$M$41+AO88*Population!$B$11*Population!$M$43</f>
        <v>264.53428053629369</v>
      </c>
      <c r="AP89" s="5">
        <f>AO88*Population!M$43*Population!$B$12+AP88*Population!$B$11*Population!M$44</f>
        <v>253.8398857400862</v>
      </c>
      <c r="AQ89" s="5">
        <f>AP88*Population!M$44*Population!$B$12+AQ88*Population!$B$11*Population!M$45</f>
        <v>191.04125422582575</v>
      </c>
      <c r="AR89" s="5">
        <f>(AQ88*Population!$B$12+AR88)*Population!M$46</f>
        <v>401.97048198620382</v>
      </c>
    </row>
    <row r="90" spans="1:44">
      <c r="A90">
        <f>A89+Population!$B$2</f>
        <v>87</v>
      </c>
      <c r="B90" s="4">
        <f t="shared" si="32"/>
        <v>3134</v>
      </c>
      <c r="C90" s="54">
        <f t="shared" si="31"/>
        <v>1238</v>
      </c>
      <c r="D90" s="12">
        <f>AD89*Population!$P$32*Population!$C$2+AF89*Population!$P$34*Population!$C$2+AH89*Population!$P$36*Population!$C$2+AJ89*Population!$P$38*Population!$C$2+AL89*Population!$P$40*Population!$C$2+AN88*Population!$P$42*Population!$C$2</f>
        <v>42.198747398477245</v>
      </c>
      <c r="E90" s="12">
        <f>IF(B89&gt;Population!$B$6*Population!$B$15,Population!$B$8,IF(Population!$J$6=1,D90,Population!$B$8*Population!$B$6*0.9/B89))</f>
        <v>35.642754957229528</v>
      </c>
      <c r="F90" s="12">
        <f>IF(B89&gt;Population!$B$6*0.75,Population!$B$8,E90)</f>
        <v>35.642754957229528</v>
      </c>
      <c r="G90" s="15">
        <f>IF(Population!$J$6=1,IF(E90&gt;H89,H89,E90),IF(E90&gt;X89,X89,E90))</f>
        <v>35.642754957229528</v>
      </c>
      <c r="H90" s="15">
        <f t="shared" si="33"/>
        <v>637</v>
      </c>
      <c r="I90" s="15">
        <f t="shared" si="34"/>
        <v>744</v>
      </c>
      <c r="J90" s="12">
        <f t="shared" si="28"/>
        <v>1.1679748822605966</v>
      </c>
      <c r="K90" s="12">
        <f>AA90*Population!$O$29+AB90*Population!$O$30+AC90*Population!$O$31+AD90*Population!$O$32+AE90*Population!$O$33+AF90*Population!$O$34+AG90*Population!$O$35+AH90*Population!$O$36+AI90*Population!$O$37+AJ90*Population!$O$38+AK90*Population!$O$37+AL90*Population!$O$38+AM90*Population!$O$39+AN90*Population!$O$40+AO90*Population!$O$41+AP90*Population!$O$42+AQ90*Population!$O$43+AR90*Population!$O$44</f>
        <v>7.9351576327010624</v>
      </c>
      <c r="L90" s="12">
        <f t="shared" si="35"/>
        <v>5.5954089414803024E-2</v>
      </c>
      <c r="M90" s="12">
        <f t="shared" si="36"/>
        <v>17.8223198848133</v>
      </c>
      <c r="N90" s="12">
        <f t="shared" si="29"/>
        <v>0.23739629865985962</v>
      </c>
      <c r="O90" s="12">
        <f t="shared" si="37"/>
        <v>1259.2759171860903</v>
      </c>
      <c r="P90" s="12">
        <f t="shared" si="38"/>
        <v>310</v>
      </c>
      <c r="Q90" s="12">
        <f t="shared" si="39"/>
        <v>255.36204140695486</v>
      </c>
      <c r="R90" s="12">
        <f t="shared" si="40"/>
        <v>401.97048198620382</v>
      </c>
      <c r="S90" s="12">
        <f t="shared" si="41"/>
        <v>0.13004970292260748</v>
      </c>
      <c r="T90" s="12">
        <f t="shared" si="30"/>
        <v>0.88753852654153043</v>
      </c>
      <c r="U90" s="12">
        <f>Population!$B$13*MIN(Y89:Z89)</f>
        <v>17.939310398789985</v>
      </c>
      <c r="V90" s="12">
        <f>X89*Population!$B$14</f>
        <v>3.4071230170686948</v>
      </c>
      <c r="W90" s="12">
        <f>AN89*T89*Population!$B$12</f>
        <v>17.023982152882237</v>
      </c>
      <c r="X90" s="12">
        <f t="shared" si="44"/>
        <v>565.36204140695486</v>
      </c>
      <c r="Y90" s="14">
        <f t="shared" si="42"/>
        <v>71.692767112527235</v>
      </c>
      <c r="Z90" s="13">
        <f t="shared" si="43"/>
        <v>71.692767112527235</v>
      </c>
      <c r="AA90" s="18">
        <f>(G90+Population!$B$11*AA89)*Population!M$29</f>
        <v>248.80324797522792</v>
      </c>
      <c r="AB90" s="18">
        <f>AA89*Population!$B$12*Population!$M$29+AB89*Population!$B$11*Population!$M$30</f>
        <v>248.48011905394225</v>
      </c>
      <c r="AC90" s="14">
        <f>(AB89*Population!$B$12*0.5*Population!$M$30)+(AC89*Population!$B$11*Population!M$31)</f>
        <v>123.77817033712293</v>
      </c>
      <c r="AD90" s="13">
        <f>(AB89*Population!$B$12*0.5*Population!$M$30)+(AD89*Population!$B$11*Population!M$31)</f>
        <v>123.77817033712293</v>
      </c>
      <c r="AE90" s="14">
        <f>(AC89*Population!$B$12*Population!M$31)+(AE89*Population!$B$11*Population!M$33)</f>
        <v>123.822351287552</v>
      </c>
      <c r="AF90" s="13">
        <f>(AD89*Population!$B$12*Population!M$31)+(AF89*Population!$B$11*Population!M$33)</f>
        <v>123.822351287552</v>
      </c>
      <c r="AG90" s="14">
        <f>(AE89*Population!$B$12*Population!M$33)+(AG89*Population!$B$11*Population!M$35)</f>
        <v>124.2781882777083</v>
      </c>
      <c r="AH90" s="13">
        <f>(AF89*Population!$B$12*Population!M$33)+(AH89*Population!$B$11*Population!M$35)</f>
        <v>124.2781882777083</v>
      </c>
      <c r="AI90" s="14">
        <f>(AG89*Population!$B$12*Population!M$35)+(AI89*Population!$B$11*Population!M$37)</f>
        <v>126.16817801581897</v>
      </c>
      <c r="AJ90" s="13">
        <f>(AH89*Population!$B$12*Population!M$35)+(AJ89*Population!$B$11*Population!M$37)</f>
        <v>126.16817801581897</v>
      </c>
      <c r="AK90" s="14">
        <f>(AI89*Population!$B$12*Population!M$37)+(AK89*Population!$B$11*Population!M$39)</f>
        <v>129.49417437708794</v>
      </c>
      <c r="AL90" s="13">
        <f>(AJ89*Population!$B$12*Population!M$37)+(AL89*Population!$B$11*Population!M$39)</f>
        <v>129.49417437708794</v>
      </c>
      <c r="AM90" s="14">
        <f>(AK89*Population!$B$12*Population!M$39)+(AM89*Population!$B$11*Population!M$41)</f>
        <v>133.29191656131485</v>
      </c>
      <c r="AN90" s="13">
        <f>(AL89*Population!$B$12*Population!M$39)+(AN89*Population!$B$11*Population!M$41)</f>
        <v>133.29191656131485</v>
      </c>
      <c r="AO90" s="15">
        <f>(AM89+AN89)*Population!$B$12*Population!$M$41+AO89*Population!$B$11*Population!$M$43</f>
        <v>263.3400340626672</v>
      </c>
      <c r="AP90" s="5">
        <f>AO89*Population!M$43*Population!$B$12+AP89*Population!$B$11*Population!M$44</f>
        <v>253.5162409161756</v>
      </c>
      <c r="AQ90" s="5">
        <f>AP89*Population!M$44*Population!$B$12+AQ89*Population!$B$11*Population!M$45</f>
        <v>191.47694956321325</v>
      </c>
      <c r="AR90" s="5">
        <f>(AQ89*Population!$B$12+AR89)*Population!M$46</f>
        <v>407.57576895945181</v>
      </c>
    </row>
    <row r="91" spans="1:44">
      <c r="A91">
        <f>A90+Population!$B$2</f>
        <v>88</v>
      </c>
      <c r="B91" s="4">
        <f t="shared" si="32"/>
        <v>3133</v>
      </c>
      <c r="C91" s="54">
        <f t="shared" si="31"/>
        <v>1233</v>
      </c>
      <c r="D91" s="12">
        <f>AD90*Population!$P$32*Population!$C$2+AF90*Population!$P$34*Population!$C$2+AH90*Population!$P$36*Population!$C$2+AJ90*Population!$P$38*Population!$C$2+AL90*Population!$P$40*Population!$C$2+AN89*Population!$P$42*Population!$C$2</f>
        <v>42.065168893346275</v>
      </c>
      <c r="E91" s="12">
        <f>IF(B90&gt;Population!$B$6*Population!$B$15,Population!$B$8,IF(Population!$J$6=1,D91,Population!$B$8*Population!$B$6*0.9/B90))</f>
        <v>35.642754957229528</v>
      </c>
      <c r="F91" s="12">
        <f>IF(B90&gt;Population!$B$6*0.75,Population!$B$8,E91)</f>
        <v>35.642754957229528</v>
      </c>
      <c r="G91" s="15">
        <f>IF(Population!$J$6=1,IF(E91&gt;H90,H90,E91),IF(E91&gt;X90,X90,E91))</f>
        <v>35.642754957229528</v>
      </c>
      <c r="H91" s="15">
        <f t="shared" si="33"/>
        <v>634</v>
      </c>
      <c r="I91" s="15">
        <f t="shared" si="34"/>
        <v>744</v>
      </c>
      <c r="J91" s="12">
        <f t="shared" si="28"/>
        <v>1.1735015772870663</v>
      </c>
      <c r="K91" s="12">
        <f>AA91*Population!$O$29+AB91*Population!$O$30+AC91*Population!$O$31+AD91*Population!$O$32+AE91*Population!$O$33+AF91*Population!$O$34+AG91*Population!$O$35+AH91*Population!$O$36+AI91*Population!$O$37+AJ91*Population!$O$38+AK91*Population!$O$37+AL91*Population!$O$38+AM91*Population!$O$39+AN91*Population!$O$40+AO91*Population!$O$41+AP91*Population!$O$42+AQ91*Population!$O$43+AR91*Population!$O$44</f>
        <v>7.9639438821303852</v>
      </c>
      <c r="L91" s="12">
        <f t="shared" si="35"/>
        <v>5.6218856399415658E-2</v>
      </c>
      <c r="M91" s="12">
        <f t="shared" si="36"/>
        <v>17.778389657319003</v>
      </c>
      <c r="N91" s="12">
        <f t="shared" si="29"/>
        <v>0.23747207149696775</v>
      </c>
      <c r="O91" s="12">
        <f t="shared" si="37"/>
        <v>1263.0143670480604</v>
      </c>
      <c r="P91" s="12">
        <f t="shared" si="38"/>
        <v>310</v>
      </c>
      <c r="Q91" s="12">
        <f t="shared" si="39"/>
        <v>252.99281647596979</v>
      </c>
      <c r="R91" s="12">
        <f t="shared" si="40"/>
        <v>407.57576895945181</v>
      </c>
      <c r="S91" s="12">
        <f t="shared" si="41"/>
        <v>0.13180880132472855</v>
      </c>
      <c r="T91" s="12">
        <f t="shared" si="30"/>
        <v>0.88800128781698706</v>
      </c>
      <c r="U91" s="12">
        <f>Population!$B$13*MIN(Y90:Z90)</f>
        <v>17.923191778131809</v>
      </c>
      <c r="V91" s="12">
        <f>X90*Population!$B$14</f>
        <v>3.3921722484417294</v>
      </c>
      <c r="W91" s="12">
        <f>AN90*T90*Population!$B$12</f>
        <v>16.90024446067514</v>
      </c>
      <c r="X91" s="12">
        <f t="shared" si="44"/>
        <v>562.99281647596979</v>
      </c>
      <c r="Y91" s="14">
        <f t="shared" si="42"/>
        <v>71.619184976174893</v>
      </c>
      <c r="Z91" s="13">
        <f t="shared" si="43"/>
        <v>71.619184976174893</v>
      </c>
      <c r="AA91" s="18">
        <f>(G91+Population!$B$11*AA90)*Population!M$29</f>
        <v>248.80162730433116</v>
      </c>
      <c r="AB91" s="18">
        <f>AA90*Population!$B$12*Population!$M$29+AB90*Population!$B$11*Population!$M$30</f>
        <v>248.46392857421154</v>
      </c>
      <c r="AC91" s="14">
        <f>(AB90*Population!$B$12*0.5*Population!$M$30)+(AC90*Population!$B$11*Population!M$31)</f>
        <v>123.73905199404679</v>
      </c>
      <c r="AD91" s="13">
        <f>(AB90*Population!$B$12*0.5*Population!$M$30)+(AD90*Population!$B$11*Population!M$31)</f>
        <v>123.73905199404679</v>
      </c>
      <c r="AE91" s="14">
        <f>(AC90*Population!$B$12*Population!M$31)+(AE90*Population!$B$11*Population!M$33)</f>
        <v>123.69804303734878</v>
      </c>
      <c r="AF91" s="13">
        <f>(AD90*Population!$B$12*Population!M$31)+(AF90*Population!$B$11*Population!M$33)</f>
        <v>123.69804303734878</v>
      </c>
      <c r="AG91" s="14">
        <f>(AE90*Population!$B$12*Population!M$33)+(AG90*Population!$B$11*Population!M$35)</f>
        <v>123.99168478915222</v>
      </c>
      <c r="AH91" s="13">
        <f>(AF90*Population!$B$12*Population!M$33)+(AH90*Population!$B$11*Population!M$35)</f>
        <v>123.99168478915222</v>
      </c>
      <c r="AI91" s="14">
        <f>(AG90*Population!$B$12*Population!M$35)+(AI90*Population!$B$11*Population!M$37)</f>
        <v>125.65645497719809</v>
      </c>
      <c r="AJ91" s="13">
        <f>(AH90*Population!$B$12*Population!M$35)+(AJ90*Population!$B$11*Population!M$37)</f>
        <v>125.65645497719809</v>
      </c>
      <c r="AK91" s="14">
        <f>(AI90*Population!$B$12*Population!M$37)+(AK90*Population!$B$11*Population!M$39)</f>
        <v>128.77131549824747</v>
      </c>
      <c r="AL91" s="13">
        <f>(AJ90*Population!$B$12*Population!M$37)+(AL90*Population!$B$11*Population!M$39)</f>
        <v>128.77131549824747</v>
      </c>
      <c r="AM91" s="14">
        <f>(AK90*Population!$B$12*Population!M$39)+(AM90*Population!$B$11*Population!M$41)</f>
        <v>132.49450315019811</v>
      </c>
      <c r="AN91" s="13">
        <f>(AL90*Population!$B$12*Population!M$39)+(AN90*Population!$B$11*Population!M$41)</f>
        <v>132.49450315019811</v>
      </c>
      <c r="AO91" s="15">
        <f>(AM90+AN90)*Population!$B$12*Population!$M$41+AO90*Population!$B$11*Population!$M$43</f>
        <v>262.09384357961596</v>
      </c>
      <c r="AP91" s="5">
        <f>AO90*Population!M$43*Population!$B$12+AP90*Population!$B$11*Population!M$44</f>
        <v>253.07147254755901</v>
      </c>
      <c r="AQ91" s="5">
        <f>AP90*Population!M$44*Population!$B$12+AQ90*Population!$B$11*Population!M$45</f>
        <v>191.78563608531593</v>
      </c>
      <c r="AR91" s="5">
        <f>(AQ90*Population!$B$12+AR90)*Population!M$46</f>
        <v>412.95697455037458</v>
      </c>
    </row>
    <row r="92" spans="1:44">
      <c r="A92">
        <f>A91+Population!$B$2</f>
        <v>89</v>
      </c>
      <c r="B92" s="4">
        <f t="shared" si="32"/>
        <v>3132</v>
      </c>
      <c r="C92" s="54">
        <f t="shared" si="31"/>
        <v>1228</v>
      </c>
      <c r="D92" s="12">
        <f>AD91*Population!$P$32*Population!$C$2+AF91*Population!$P$34*Population!$C$2+AH91*Population!$P$36*Population!$C$2+AJ91*Population!$P$38*Population!$C$2+AL91*Population!$P$40*Population!$C$2+AN90*Population!$P$42*Population!$C$2</f>
        <v>41.939166440381392</v>
      </c>
      <c r="E92" s="12">
        <f>IF(B91&gt;Population!$B$6*Population!$B$15,Population!$B$8,IF(Population!$J$6=1,D92,Population!$B$8*Population!$B$6*0.9/B91))</f>
        <v>35.642754957229528</v>
      </c>
      <c r="F92" s="12">
        <f>IF(B91&gt;Population!$B$6*0.75,Population!$B$8,E92)</f>
        <v>35.642754957229528</v>
      </c>
      <c r="G92" s="15">
        <f>IF(Population!$J$6=1,IF(E92&gt;H91,H91,E92),IF(E92&gt;X91,X91,E92))</f>
        <v>35.642754957229528</v>
      </c>
      <c r="H92" s="15">
        <f t="shared" si="33"/>
        <v>632</v>
      </c>
      <c r="I92" s="15">
        <f t="shared" si="34"/>
        <v>744</v>
      </c>
      <c r="J92" s="12">
        <f t="shared" si="28"/>
        <v>1.1772151898734178</v>
      </c>
      <c r="K92" s="12">
        <f>AA92*Population!$O$29+AB92*Population!$O$30+AC92*Population!$O$31+AD92*Population!$O$32+AE92*Population!$O$33+AF92*Population!$O$34+AG92*Population!$O$35+AH92*Population!$O$36+AI92*Population!$O$37+AJ92*Population!$O$38+AK92*Population!$O$37+AL92*Population!$O$38+AM92*Population!$O$39+AN92*Population!$O$40+AO92*Population!$O$41+AP92*Population!$O$42+AQ92*Population!$O$43+AR92*Population!$O$44</f>
        <v>7.9903148672198343</v>
      </c>
      <c r="L92" s="12">
        <f t="shared" si="35"/>
        <v>5.6396764172831529E-2</v>
      </c>
      <c r="M92" s="12">
        <f t="shared" si="36"/>
        <v>17.737746619565893</v>
      </c>
      <c r="N92" s="12">
        <f t="shared" si="29"/>
        <v>0.23754789272030652</v>
      </c>
      <c r="O92" s="12">
        <f t="shared" si="37"/>
        <v>1266.5764853365554</v>
      </c>
      <c r="P92" s="12">
        <f t="shared" si="38"/>
        <v>310</v>
      </c>
      <c r="Q92" s="12">
        <f t="shared" si="39"/>
        <v>250.71175733172231</v>
      </c>
      <c r="R92" s="12">
        <f t="shared" si="40"/>
        <v>412.95697455037458</v>
      </c>
      <c r="S92" s="12">
        <f t="shared" si="41"/>
        <v>0.13349559127544761</v>
      </c>
      <c r="T92" s="12">
        <f t="shared" si="30"/>
        <v>0.88720214767677585</v>
      </c>
      <c r="U92" s="12">
        <f>Population!$B$13*MIN(Y91:Z91)</f>
        <v>17.904796244043723</v>
      </c>
      <c r="V92" s="12">
        <f>X91*Population!$B$14</f>
        <v>3.3779568988558188</v>
      </c>
      <c r="W92" s="12">
        <f>AN91*T91*Population!$B$12</f>
        <v>16.807898489435395</v>
      </c>
      <c r="X92" s="12">
        <f t="shared" si="44"/>
        <v>560.71175733172231</v>
      </c>
      <c r="Y92" s="14">
        <f t="shared" si="42"/>
        <v>71.570121510015269</v>
      </c>
      <c r="Z92" s="13">
        <f t="shared" si="43"/>
        <v>71.570121510015269</v>
      </c>
      <c r="AA92" s="18">
        <f>(G92+Population!$B$11*AA91)*Population!M$29</f>
        <v>248.80023872184171</v>
      </c>
      <c r="AB92" s="18">
        <f>AA91*Population!$B$12*Population!$M$29+AB91*Population!$B$11*Population!$M$30</f>
        <v>248.44982271219135</v>
      </c>
      <c r="AC92" s="14">
        <f>(AB91*Population!$B$12*0.5*Population!$M$30)+(AC91*Population!$B$11*Population!M$31)</f>
        <v>123.70439773716001</v>
      </c>
      <c r="AD92" s="13">
        <f>(AB91*Population!$B$12*0.5*Population!$M$30)+(AD91*Population!$B$11*Population!M$31)</f>
        <v>123.70439773716001</v>
      </c>
      <c r="AE92" s="14">
        <f>(AC91*Population!$B$12*Population!M$31)+(AE91*Population!$B$11*Population!M$33)</f>
        <v>123.58601164164308</v>
      </c>
      <c r="AF92" s="13">
        <f>(AD91*Population!$B$12*Population!M$31)+(AF91*Population!$B$11*Population!M$33)</f>
        <v>123.58601164164308</v>
      </c>
      <c r="AG92" s="14">
        <f>(AE91*Population!$B$12*Population!M$33)+(AG91*Population!$B$11*Population!M$35)</f>
        <v>123.72884047549664</v>
      </c>
      <c r="AH92" s="13">
        <f>(AF91*Population!$B$12*Population!M$33)+(AH91*Population!$B$11*Population!M$35)</f>
        <v>123.72884047549664</v>
      </c>
      <c r="AI92" s="14">
        <f>(AG91*Population!$B$12*Population!M$35)+(AI91*Population!$B$11*Population!M$37)</f>
        <v>125.17782689374404</v>
      </c>
      <c r="AJ92" s="13">
        <f>(AH91*Population!$B$12*Population!M$35)+(AJ91*Population!$B$11*Population!M$37)</f>
        <v>125.17782689374404</v>
      </c>
      <c r="AK92" s="14">
        <f>(AI91*Population!$B$12*Population!M$37)+(AK91*Population!$B$11*Population!M$39)</f>
        <v>128.07994885979812</v>
      </c>
      <c r="AL92" s="13">
        <f>(AJ91*Population!$B$12*Population!M$37)+(AL91*Population!$B$11*Population!M$39)</f>
        <v>128.07994885979812</v>
      </c>
      <c r="AM92" s="14">
        <f>(AK91*Population!$B$12*Population!M$39)+(AM91*Population!$B$11*Population!M$41)</f>
        <v>131.70925097105561</v>
      </c>
      <c r="AN92" s="13">
        <f>(AL91*Population!$B$12*Population!M$39)+(AN91*Population!$B$11*Population!M$41)</f>
        <v>131.70925097105561</v>
      </c>
      <c r="AO92" s="15">
        <f>(AM91+AN91)*Population!$B$12*Population!$M$41+AO91*Population!$B$11*Population!$M$43</f>
        <v>260.80602952718317</v>
      </c>
      <c r="AP92" s="5">
        <f>AO91*Population!M$43*Population!$B$12+AP91*Population!$B$11*Population!M$44</f>
        <v>252.51626992045703</v>
      </c>
      <c r="AQ92" s="5">
        <f>AP91*Population!M$44*Population!$B$12+AQ91*Population!$B$11*Population!M$45</f>
        <v>191.9737798390434</v>
      </c>
      <c r="AR92" s="5">
        <f>(AQ91*Population!$B$12+AR91)*Population!M$46</f>
        <v>418.1081918747019</v>
      </c>
    </row>
    <row r="93" spans="1:44">
      <c r="A93">
        <f>A92+Population!$B$2</f>
        <v>90</v>
      </c>
      <c r="B93" s="4">
        <f t="shared" si="32"/>
        <v>3131</v>
      </c>
      <c r="C93" s="54">
        <f t="shared" si="31"/>
        <v>1224</v>
      </c>
      <c r="D93" s="12">
        <f>AD92*Population!$P$32*Population!$C$2+AF92*Population!$P$34*Population!$C$2+AH92*Population!$P$36*Population!$C$2+AJ92*Population!$P$38*Population!$C$2+AL92*Population!$P$40*Population!$C$2+AN91*Population!$P$42*Population!$C$2</f>
        <v>41.820467634093582</v>
      </c>
      <c r="E93" s="12">
        <f>IF(B92&gt;Population!$B$6*Population!$B$15,Population!$B$8,IF(Population!$J$6=1,D93,Population!$B$8*Population!$B$6*0.9/B92))</f>
        <v>35.642754957229528</v>
      </c>
      <c r="F93" s="12">
        <f>IF(B92&gt;Population!$B$6*0.75,Population!$B$8,E93)</f>
        <v>35.642754957229528</v>
      </c>
      <c r="G93" s="15">
        <f>IF(Population!$J$6=1,IF(E93&gt;H92,H92,E93),IF(E93&gt;X92,X92,E93))</f>
        <v>35.642754957229528</v>
      </c>
      <c r="H93" s="15">
        <f t="shared" si="33"/>
        <v>630</v>
      </c>
      <c r="I93" s="15">
        <f t="shared" si="34"/>
        <v>744</v>
      </c>
      <c r="J93" s="12">
        <f t="shared" si="28"/>
        <v>1.180952380952381</v>
      </c>
      <c r="K93" s="12">
        <f>AA93*Population!$O$29+AB93*Population!$O$30+AC93*Population!$O$31+AD93*Population!$O$32+AE93*Population!$O$33+AF93*Population!$O$34+AG93*Population!$O$35+AH93*Population!$O$36+AI93*Population!$O$37+AJ93*Population!$O$38+AK93*Population!$O$37+AL93*Population!$O$38+AM93*Population!$O$39+AN93*Population!$O$40+AO93*Population!$O$41+AP93*Population!$O$42+AQ93*Population!$O$43+AR93*Population!$O$44</f>
        <v>8.0143204440556879</v>
      </c>
      <c r="L93" s="12">
        <f t="shared" si="35"/>
        <v>5.6575801519411946E-2</v>
      </c>
      <c r="M93" s="12">
        <f t="shared" si="36"/>
        <v>17.700190660973409</v>
      </c>
      <c r="N93" s="12">
        <f t="shared" si="29"/>
        <v>0.23762376237623761</v>
      </c>
      <c r="O93" s="12">
        <f t="shared" si="37"/>
        <v>1269.9064600496483</v>
      </c>
      <c r="P93" s="12">
        <f t="shared" si="38"/>
        <v>310</v>
      </c>
      <c r="Q93" s="12">
        <f t="shared" si="39"/>
        <v>248.54676997517583</v>
      </c>
      <c r="R93" s="12">
        <f t="shared" si="40"/>
        <v>418.1081918747019</v>
      </c>
      <c r="S93" s="12">
        <f t="shared" si="41"/>
        <v>0.13510849234064509</v>
      </c>
      <c r="T93" s="12">
        <f t="shared" si="30"/>
        <v>0.8865821745637712</v>
      </c>
      <c r="U93" s="12">
        <f>Population!$B$13*MIN(Y92:Z92)</f>
        <v>17.892530377503817</v>
      </c>
      <c r="V93" s="12">
        <f>X92*Population!$B$14</f>
        <v>3.364270543990334</v>
      </c>
      <c r="W93" s="12">
        <f>AN92*T92*Population!$B$12</f>
        <v>16.693247190060003</v>
      </c>
      <c r="X93" s="12">
        <f t="shared" si="44"/>
        <v>558.54676997517583</v>
      </c>
      <c r="Y93" s="14">
        <f t="shared" si="42"/>
        <v>71.516369366289496</v>
      </c>
      <c r="Z93" s="13">
        <f t="shared" si="43"/>
        <v>71.516369366289496</v>
      </c>
      <c r="AA93" s="18">
        <f>(G93+Population!$B$11*AA92)*Population!M$29</f>
        <v>248.79904899150603</v>
      </c>
      <c r="AB93" s="18">
        <f>AA92*Population!$B$12*Population!$M$29+AB92*Population!$B$11*Population!$M$30</f>
        <v>248.43753640534391</v>
      </c>
      <c r="AC93" s="14">
        <f>(AB92*Population!$B$12*0.5*Population!$M$30)+(AC92*Population!$B$11*Population!M$31)</f>
        <v>123.67371506110567</v>
      </c>
      <c r="AD93" s="13">
        <f>(AB92*Population!$B$12*0.5*Population!$M$30)+(AD92*Population!$B$11*Population!M$31)</f>
        <v>123.67371506110567</v>
      </c>
      <c r="AE93" s="14">
        <f>(AC92*Population!$B$12*Population!M$31)+(AE92*Population!$B$11*Population!M$33)</f>
        <v>123.48513035448688</v>
      </c>
      <c r="AF93" s="13">
        <f>(AD92*Population!$B$12*Population!M$31)+(AF92*Population!$B$11*Population!M$33)</f>
        <v>123.48513035448688</v>
      </c>
      <c r="AG93" s="14">
        <f>(AE92*Population!$B$12*Population!M$33)+(AG92*Population!$B$11*Population!M$35)</f>
        <v>123.48798868332153</v>
      </c>
      <c r="AH93" s="13">
        <f>(AF92*Population!$B$12*Population!M$33)+(AH92*Population!$B$11*Population!M$35)</f>
        <v>123.48798868332153</v>
      </c>
      <c r="AI93" s="14">
        <f>(AG92*Population!$B$12*Population!M$35)+(AI92*Population!$B$11*Population!M$37)</f>
        <v>124.73088484263315</v>
      </c>
      <c r="AJ93" s="13">
        <f>(AH92*Population!$B$12*Population!M$35)+(AJ92*Population!$B$11*Population!M$37)</f>
        <v>124.73088484263315</v>
      </c>
      <c r="AK93" s="14">
        <f>(AI92*Population!$B$12*Population!M$37)+(AK92*Population!$B$11*Population!M$39)</f>
        <v>127.42024251629027</v>
      </c>
      <c r="AL93" s="13">
        <f>(AJ92*Population!$B$12*Population!M$37)+(AL92*Population!$B$11*Population!M$39)</f>
        <v>127.42024251629027</v>
      </c>
      <c r="AM93" s="14">
        <f>(AK92*Population!$B$12*Population!M$39)+(AM92*Population!$B$11*Population!M$41)</f>
        <v>130.93889294473348</v>
      </c>
      <c r="AN93" s="13">
        <f>(AL92*Population!$B$12*Population!M$39)+(AN92*Population!$B$11*Population!M$41)</f>
        <v>130.93889294473348</v>
      </c>
      <c r="AO93" s="15">
        <f>(AM92+AN92)*Population!$B$12*Population!$M$41+AO92*Population!$B$11*Population!$M$43</f>
        <v>259.48626475672125</v>
      </c>
      <c r="AP93" s="5">
        <f>AO92*Population!M$43*Population!$B$12+AP92*Population!$B$11*Population!M$44</f>
        <v>251.86119251347338</v>
      </c>
      <c r="AQ93" s="5">
        <f>AP92*Population!M$44*Population!$B$12+AQ92*Population!$B$11*Population!M$45</f>
        <v>192.04815912185475</v>
      </c>
      <c r="AR93" s="5">
        <f>(AQ92*Population!$B$12+AR92)*Population!M$46</f>
        <v>423.0246895185598</v>
      </c>
    </row>
    <row r="94" spans="1:44">
      <c r="A94">
        <f>A93+Population!$B$2</f>
        <v>91</v>
      </c>
      <c r="B94" s="4">
        <f t="shared" si="32"/>
        <v>3129</v>
      </c>
      <c r="C94" s="54">
        <f t="shared" si="31"/>
        <v>1220</v>
      </c>
      <c r="D94" s="12">
        <f>AD93*Population!$P$32*Population!$C$2+AF93*Population!$P$34*Population!$C$2+AH93*Population!$P$36*Population!$C$2+AJ93*Population!$P$38*Population!$C$2+AL93*Population!$P$40*Population!$C$2+AN92*Population!$P$42*Population!$C$2</f>
        <v>41.708792233345164</v>
      </c>
      <c r="E94" s="12">
        <f>IF(B93&gt;Population!$B$6*Population!$B$15,Population!$B$8,IF(Population!$J$6=1,D94,Population!$B$8*Population!$B$6*0.9/B93))</f>
        <v>35.642754957229528</v>
      </c>
      <c r="F94" s="12">
        <f>IF(B93&gt;Population!$B$6*0.75,Population!$B$8,E94)</f>
        <v>35.642754957229528</v>
      </c>
      <c r="G94" s="15">
        <f>IF(Population!$J$6=1,IF(E94&gt;H93,H93,E94),IF(E94&gt;X93,X93,E94))</f>
        <v>35.642754957229528</v>
      </c>
      <c r="H94" s="15">
        <f t="shared" si="33"/>
        <v>627</v>
      </c>
      <c r="I94" s="15">
        <f t="shared" si="34"/>
        <v>744</v>
      </c>
      <c r="J94" s="12">
        <f t="shared" si="28"/>
        <v>1.1866028708133971</v>
      </c>
      <c r="K94" s="12">
        <f>AA94*Population!$O$29+AB94*Population!$O$30+AC94*Population!$O$31+AD94*Population!$O$32+AE94*Population!$O$33+AF94*Population!$O$34+AG94*Population!$O$35+AH94*Population!$O$36+AI94*Population!$O$37+AJ94*Population!$O$38+AK94*Population!$O$37+AL94*Population!$O$38+AM94*Population!$O$39+AN94*Population!$O$40+AO94*Population!$O$41+AP94*Population!$O$42+AQ94*Population!$O$43+AR94*Population!$O$44</f>
        <v>8.036017085913798</v>
      </c>
      <c r="L94" s="12">
        <f t="shared" si="35"/>
        <v>5.6846499134337362E-2</v>
      </c>
      <c r="M94" s="12">
        <f t="shared" si="36"/>
        <v>17.665528222212412</v>
      </c>
      <c r="N94" s="12">
        <f t="shared" si="29"/>
        <v>0.23777564717162034</v>
      </c>
      <c r="O94" s="12">
        <f t="shared" si="37"/>
        <v>1272.0188618753243</v>
      </c>
      <c r="P94" s="12">
        <f t="shared" si="38"/>
        <v>310</v>
      </c>
      <c r="Q94" s="12">
        <f t="shared" si="39"/>
        <v>246.49056906233784</v>
      </c>
      <c r="R94" s="12">
        <f t="shared" si="40"/>
        <v>423.0246895185598</v>
      </c>
      <c r="S94" s="12">
        <f t="shared" si="41"/>
        <v>0.13668996308960388</v>
      </c>
      <c r="T94" s="12">
        <f t="shared" si="30"/>
        <v>0.887544767244558</v>
      </c>
      <c r="U94" s="12">
        <f>Population!$B$13*MIN(Y93:Z93)</f>
        <v>17.879092341572374</v>
      </c>
      <c r="V94" s="12">
        <f>X93*Population!$B$14</f>
        <v>3.351280619851055</v>
      </c>
      <c r="W94" s="12">
        <f>AN93*T93*Population!$B$12</f>
        <v>16.584012634559233</v>
      </c>
      <c r="X94" s="12">
        <f t="shared" si="44"/>
        <v>556.49056906233784</v>
      </c>
      <c r="Y94" s="14">
        <f t="shared" si="42"/>
        <v>71.463453992697964</v>
      </c>
      <c r="Z94" s="13">
        <f t="shared" si="43"/>
        <v>71.463453992697964</v>
      </c>
      <c r="AA94" s="18">
        <f>(G94+Population!$B$11*AA93)*Population!M$29</f>
        <v>248.79802963667302</v>
      </c>
      <c r="AB94" s="18">
        <f>AA93*Population!$B$12*Population!$M$29+AB93*Population!$B$11*Population!$M$30</f>
        <v>248.42683776221881</v>
      </c>
      <c r="AC94" s="14">
        <f>(AB93*Population!$B$12*0.5*Population!$M$30)+(AC93*Population!$B$11*Population!M$31)</f>
        <v>123.64656329196302</v>
      </c>
      <c r="AD94" s="13">
        <f>(AB93*Population!$B$12*0.5*Population!$M$30)+(AD93*Population!$B$11*Population!M$31)</f>
        <v>123.64656329196302</v>
      </c>
      <c r="AE94" s="14">
        <f>(AC93*Population!$B$12*Population!M$31)+(AE93*Population!$B$11*Population!M$33)</f>
        <v>123.39436402317241</v>
      </c>
      <c r="AF94" s="13">
        <f>(AD93*Population!$B$12*Population!M$31)+(AF93*Population!$B$11*Population!M$33)</f>
        <v>123.39436402317241</v>
      </c>
      <c r="AG94" s="14">
        <f>(AE93*Population!$B$12*Population!M$33)+(AG93*Population!$B$11*Population!M$35)</f>
        <v>123.26754278507948</v>
      </c>
      <c r="AH94" s="13">
        <f>(AF93*Population!$B$12*Population!M$33)+(AH93*Population!$B$11*Population!M$35)</f>
        <v>123.26754278507948</v>
      </c>
      <c r="AI94" s="14">
        <f>(AG93*Population!$B$12*Population!M$35)+(AI93*Population!$B$11*Population!M$37)</f>
        <v>124.31418585820876</v>
      </c>
      <c r="AJ94" s="13">
        <f>(AH93*Population!$B$12*Population!M$35)+(AJ93*Population!$B$11*Population!M$37)</f>
        <v>124.31418585820876</v>
      </c>
      <c r="AK94" s="14">
        <f>(AI93*Population!$B$12*Population!M$37)+(AK93*Population!$B$11*Population!M$39)</f>
        <v>126.79213934966991</v>
      </c>
      <c r="AL94" s="13">
        <f>(AJ93*Population!$B$12*Population!M$37)+(AL93*Population!$B$11*Population!M$39)</f>
        <v>126.79213934966991</v>
      </c>
      <c r="AM94" s="14">
        <f>(AK93*Population!$B$12*Population!M$39)+(AM93*Population!$B$11*Population!M$41)</f>
        <v>130.18579103890522</v>
      </c>
      <c r="AN94" s="13">
        <f>(AL93*Population!$B$12*Population!M$39)+(AN93*Population!$B$11*Population!M$41)</f>
        <v>130.18579103890522</v>
      </c>
      <c r="AO94" s="15">
        <f>(AM93+AN93)*Population!$B$12*Population!$M$41+AO93*Population!$B$11*Population!$M$43</f>
        <v>258.14355950913847</v>
      </c>
      <c r="AP94" s="5">
        <f>AO93*Population!M$43*Population!$B$12+AP93*Population!$B$11*Population!M$44</f>
        <v>251.1165975062485</v>
      </c>
      <c r="AQ94" s="5">
        <f>AP93*Population!M$44*Population!$B$12+AQ93*Population!$B$11*Population!M$45</f>
        <v>192.01578794369465</v>
      </c>
      <c r="AR94" s="5">
        <f>(AQ93*Population!$B$12+AR93)*Population!M$46</f>
        <v>427.7028945073705</v>
      </c>
    </row>
    <row r="95" spans="1:44">
      <c r="A95">
        <f>A94+Population!$B$2</f>
        <v>92</v>
      </c>
      <c r="B95" s="4">
        <f t="shared" si="32"/>
        <v>3127</v>
      </c>
      <c r="C95" s="54">
        <f t="shared" si="31"/>
        <v>1216</v>
      </c>
      <c r="D95" s="12">
        <f>AD94*Population!$P$32*Population!$C$2+AF94*Population!$P$34*Population!$C$2+AH94*Population!$P$36*Population!$C$2+AJ94*Population!$P$38*Population!$C$2+AL94*Population!$P$40*Population!$C$2+AN93*Population!$P$42*Population!$C$2</f>
        <v>41.6038548506898</v>
      </c>
      <c r="E95" s="12">
        <f>IF(B94&gt;Population!$B$6*Population!$B$15,Population!$B$8,IF(Population!$J$6=1,D95,Population!$B$8*Population!$B$6*0.9/B94))</f>
        <v>35.642754957229528</v>
      </c>
      <c r="F95" s="12">
        <f>IF(B94&gt;Population!$B$6*0.75,Population!$B$8,E95)</f>
        <v>35.642754957229528</v>
      </c>
      <c r="G95" s="15">
        <f>IF(Population!$J$6=1,IF(E95&gt;H94,H94,E95),IF(E95&gt;X94,X94,E95))</f>
        <v>35.642754957229528</v>
      </c>
      <c r="H95" s="15">
        <f t="shared" si="33"/>
        <v>625</v>
      </c>
      <c r="I95" s="15">
        <f t="shared" si="34"/>
        <v>744</v>
      </c>
      <c r="J95" s="12">
        <f t="shared" si="28"/>
        <v>1.1903999999999999</v>
      </c>
      <c r="K95" s="12">
        <f>AA95*Population!$O$29+AB95*Population!$O$30+AC95*Population!$O$31+AD95*Population!$O$32+AE95*Population!$O$33+AF95*Population!$O$34+AG95*Population!$O$35+AH95*Population!$O$36+AI95*Population!$O$37+AJ95*Population!$O$38+AK95*Population!$O$37+AL95*Population!$O$38+AM95*Population!$O$39+AN95*Population!$O$40+AO95*Population!$O$41+AP95*Population!$O$42+AQ95*Population!$O$43+AR95*Population!$O$44</f>
        <v>8.055467264144589</v>
      </c>
      <c r="L95" s="12">
        <f t="shared" si="35"/>
        <v>5.7028407931567243E-2</v>
      </c>
      <c r="M95" s="12">
        <f t="shared" si="36"/>
        <v>17.633572870242482</v>
      </c>
      <c r="N95" s="12">
        <f t="shared" si="29"/>
        <v>0.23792772625519668</v>
      </c>
      <c r="O95" s="12">
        <f t="shared" si="37"/>
        <v>1273.9780838809161</v>
      </c>
      <c r="P95" s="12">
        <f t="shared" si="38"/>
        <v>310</v>
      </c>
      <c r="Q95" s="12">
        <f t="shared" si="39"/>
        <v>244.51095805954196</v>
      </c>
      <c r="R95" s="12">
        <f t="shared" si="40"/>
        <v>427.7028945073705</v>
      </c>
      <c r="S95" s="12">
        <f t="shared" si="41"/>
        <v>0.13819647129950141</v>
      </c>
      <c r="T95" s="12">
        <f t="shared" si="30"/>
        <v>0.88721753289526717</v>
      </c>
      <c r="U95" s="12">
        <f>Population!$B$13*MIN(Y94:Z94)</f>
        <v>17.865863498174491</v>
      </c>
      <c r="V95" s="12">
        <f>X94*Population!$B$14</f>
        <v>3.3389434143740271</v>
      </c>
      <c r="W95" s="12">
        <f>AN94*T94*Population!$B$12</f>
        <v>16.506531086596254</v>
      </c>
      <c r="X95" s="12">
        <f t="shared" si="44"/>
        <v>554.51095805954196</v>
      </c>
      <c r="Y95" s="14">
        <f t="shared" si="42"/>
        <v>71.441414735100807</v>
      </c>
      <c r="Z95" s="13">
        <f t="shared" si="43"/>
        <v>71.441414735100807</v>
      </c>
      <c r="AA95" s="18">
        <f>(G95+Population!$B$11*AA94)*Population!M$29</f>
        <v>248.79715625869451</v>
      </c>
      <c r="AB95" s="18">
        <f>AA94*Population!$B$12*Population!$M$29+AB94*Population!$B$11*Population!$M$30</f>
        <v>248.41752399699635</v>
      </c>
      <c r="AC95" s="14">
        <f>(AB94*Population!$B$12*0.5*Population!$M$30)+(AC94*Population!$B$11*Population!M$31)</f>
        <v>123.62254850924796</v>
      </c>
      <c r="AD95" s="13">
        <f>(AB94*Population!$B$12*0.5*Population!$M$30)+(AD94*Population!$B$11*Population!M$31)</f>
        <v>123.62254850924796</v>
      </c>
      <c r="AE95" s="14">
        <f>(AC94*Population!$B$12*Population!M$31)+(AE94*Population!$B$11*Population!M$33)</f>
        <v>123.3127633260994</v>
      </c>
      <c r="AF95" s="13">
        <f>(AD94*Population!$B$12*Population!M$31)+(AF94*Population!$B$11*Population!M$33)</f>
        <v>123.3127633260994</v>
      </c>
      <c r="AG95" s="14">
        <f>(AE94*Population!$B$12*Population!M$33)+(AG94*Population!$B$11*Population!M$35)</f>
        <v>123.0659976874073</v>
      </c>
      <c r="AH95" s="13">
        <f>(AF94*Population!$B$12*Population!M$33)+(AH94*Population!$B$11*Population!M$35)</f>
        <v>123.0659976874073</v>
      </c>
      <c r="AI95" s="14">
        <f>(AG94*Population!$B$12*Population!M$35)+(AI94*Population!$B$11*Population!M$37)</f>
        <v>123.92626926158545</v>
      </c>
      <c r="AJ95" s="13">
        <f>(AH94*Population!$B$12*Population!M$35)+(AJ94*Population!$B$11*Population!M$37)</f>
        <v>123.92626926158545</v>
      </c>
      <c r="AK95" s="14">
        <f>(AI94*Population!$B$12*Population!M$37)+(AK94*Population!$B$11*Population!M$39)</f>
        <v>126.1953847534389</v>
      </c>
      <c r="AL95" s="13">
        <f>(AJ94*Population!$B$12*Population!M$37)+(AL94*Population!$B$11*Population!M$39)</f>
        <v>126.1953847534389</v>
      </c>
      <c r="AM95" s="14">
        <f>(AK94*Population!$B$12*Population!M$39)+(AM94*Population!$B$11*Population!M$41)</f>
        <v>129.45195776611166</v>
      </c>
      <c r="AN95" s="13">
        <f>(AL94*Population!$B$12*Population!M$39)+(AN94*Population!$B$11*Population!M$41)</f>
        <v>129.45195776611166</v>
      </c>
      <c r="AO95" s="15">
        <f>(AM94+AN94)*Population!$B$12*Population!$M$41+AO94*Population!$B$11*Population!$M$43</f>
        <v>256.7862544080578</v>
      </c>
      <c r="AP95" s="5">
        <f>AO94*Population!M$43*Population!$B$12+AP94*Population!$B$11*Population!M$44</f>
        <v>250.29257596409519</v>
      </c>
      <c r="AQ95" s="5">
        <f>AP94*Population!M$44*Population!$B$12+AQ94*Population!$B$11*Population!M$45</f>
        <v>191.88384345642908</v>
      </c>
      <c r="AR95" s="5">
        <f>(AQ94*Population!$B$12+AR94)*Population!M$46</f>
        <v>432.14036575354089</v>
      </c>
    </row>
    <row r="96" spans="1:44">
      <c r="A96">
        <f>A95+Population!$B$2</f>
        <v>93</v>
      </c>
      <c r="B96" s="4">
        <f t="shared" si="32"/>
        <v>3125</v>
      </c>
      <c r="C96" s="54">
        <f t="shared" si="31"/>
        <v>1212</v>
      </c>
      <c r="D96" s="12">
        <f>AD95*Population!$P$32*Population!$C$2+AF95*Population!$P$34*Population!$C$2+AH95*Population!$P$36*Population!$C$2+AJ95*Population!$P$38*Population!$C$2+AL95*Population!$P$40*Population!$C$2+AN94*Population!$P$42*Population!$C$2</f>
        <v>41.505367344297071</v>
      </c>
      <c r="E96" s="12">
        <f>IF(B95&gt;Population!$B$6*Population!$B$15,Population!$B$8,IF(Population!$J$6=1,D96,Population!$B$8*Population!$B$6*0.9/B95))</f>
        <v>35.642754957229528</v>
      </c>
      <c r="F96" s="12">
        <f>IF(B95&gt;Population!$B$6*0.75,Population!$B$8,E96)</f>
        <v>35.642754957229528</v>
      </c>
      <c r="G96" s="15">
        <f>IF(Population!$J$6=1,IF(E96&gt;H95,H95,E96),IF(E96&gt;X95,X95,E96))</f>
        <v>35.642754957229528</v>
      </c>
      <c r="H96" s="15">
        <f t="shared" si="33"/>
        <v>624</v>
      </c>
      <c r="I96" s="15">
        <f t="shared" si="34"/>
        <v>744</v>
      </c>
      <c r="J96" s="12">
        <f t="shared" si="28"/>
        <v>1.1923076923076923</v>
      </c>
      <c r="K96" s="12">
        <f>AA96*Population!$O$29+AB96*Population!$O$30+AC96*Population!$O$31+AD96*Population!$O$32+AE96*Population!$O$33+AF96*Population!$O$34+AG96*Population!$O$35+AH96*Population!$O$36+AI96*Population!$O$37+AJ96*Population!$O$38+AK96*Population!$O$37+AL96*Population!$O$38+AM96*Population!$O$39+AN96*Population!$O$40+AO96*Population!$O$41+AP96*Population!$O$42+AQ96*Population!$O$43+AR96*Population!$O$44</f>
        <v>8.0727388156414186</v>
      </c>
      <c r="L96" s="12">
        <f t="shared" si="35"/>
        <v>5.7119799610944759E-2</v>
      </c>
      <c r="M96" s="12">
        <f t="shared" si="36"/>
        <v>17.604145726596041</v>
      </c>
      <c r="N96" s="12">
        <f t="shared" si="29"/>
        <v>0.23808000000000001</v>
      </c>
      <c r="O96" s="12">
        <f t="shared" si="37"/>
        <v>1275.7263784665693</v>
      </c>
      <c r="P96" s="12">
        <f t="shared" si="38"/>
        <v>310</v>
      </c>
      <c r="Q96" s="12">
        <f t="shared" si="39"/>
        <v>242.63681076671537</v>
      </c>
      <c r="R96" s="12">
        <f t="shared" si="40"/>
        <v>432.14036575354089</v>
      </c>
      <c r="S96" s="12">
        <f t="shared" si="41"/>
        <v>0.13962744288067266</v>
      </c>
      <c r="T96" s="12">
        <f t="shared" si="30"/>
        <v>0.88563591469024894</v>
      </c>
      <c r="U96" s="12">
        <f>Population!$B$13*MIN(Y95:Z95)</f>
        <v>17.860353683775202</v>
      </c>
      <c r="V96" s="12">
        <f>X95*Population!$B$14</f>
        <v>3.3270657483572519</v>
      </c>
      <c r="W96" s="12">
        <f>AN95*T95*Population!$B$12</f>
        <v>16.407435228244555</v>
      </c>
      <c r="X96" s="12">
        <f t="shared" si="44"/>
        <v>552.63681076671537</v>
      </c>
      <c r="Y96" s="14">
        <f t="shared" si="42"/>
        <v>71.418880659057663</v>
      </c>
      <c r="Z96" s="13">
        <f t="shared" si="43"/>
        <v>71.418880659057663</v>
      </c>
      <c r="AA96" s="18">
        <f>(G96+Population!$B$11*AA95)*Population!M$29</f>
        <v>248.79640795293417</v>
      </c>
      <c r="AB96" s="18">
        <f>AA95*Population!$B$12*Population!$M$29+AB95*Population!$B$11*Population!$M$30</f>
        <v>248.40941784826222</v>
      </c>
      <c r="AC96" s="14">
        <f>(AB95*Population!$B$12*0.5*Population!$M$30)+(AC95*Population!$B$11*Population!M$31)</f>
        <v>123.60131890716578</v>
      </c>
      <c r="AD96" s="13">
        <f>(AB95*Population!$B$12*0.5*Population!$M$30)+(AD95*Population!$B$11*Population!M$31)</f>
        <v>123.60131890716578</v>
      </c>
      <c r="AE96" s="14">
        <f>(AC95*Population!$B$12*Population!M$31)+(AE95*Population!$B$11*Population!M$33)</f>
        <v>123.23945911377378</v>
      </c>
      <c r="AF96" s="13">
        <f>(AD95*Population!$B$12*Population!M$31)+(AF95*Population!$B$11*Population!M$33)</f>
        <v>123.23945911377378</v>
      </c>
      <c r="AG96" s="14">
        <f>(AE95*Population!$B$12*Population!M$33)+(AG95*Population!$B$11*Population!M$35)</f>
        <v>122.88193029910494</v>
      </c>
      <c r="AH96" s="13">
        <f>(AF95*Population!$B$12*Population!M$33)+(AH95*Population!$B$11*Population!M$35)</f>
        <v>122.88193029910494</v>
      </c>
      <c r="AI96" s="14">
        <f>(AG95*Population!$B$12*Population!M$35)+(AI95*Population!$B$11*Population!M$37)</f>
        <v>123.5656708456381</v>
      </c>
      <c r="AJ96" s="13">
        <f>(AH95*Population!$B$12*Population!M$35)+(AJ95*Population!$B$11*Population!M$37)</f>
        <v>123.5656708456381</v>
      </c>
      <c r="AK96" s="14">
        <f>(AI95*Population!$B$12*Population!M$37)+(AK95*Population!$B$11*Population!M$39)</f>
        <v>125.62955264469672</v>
      </c>
      <c r="AL96" s="13">
        <f>(AJ95*Population!$B$12*Population!M$37)+(AL95*Population!$B$11*Population!M$39)</f>
        <v>125.62955264469672</v>
      </c>
      <c r="AM96" s="14">
        <f>(AK95*Population!$B$12*Population!M$39)+(AM95*Population!$B$11*Population!M$41)</f>
        <v>128.73907852255951</v>
      </c>
      <c r="AN96" s="13">
        <f>(AL95*Population!$B$12*Population!M$39)+(AN95*Population!$B$11*Population!M$41)</f>
        <v>128.73907852255951</v>
      </c>
      <c r="AO96" s="15">
        <f>(AM95+AN95)*Population!$B$12*Population!$M$41+AO95*Population!$B$11*Population!$M$43</f>
        <v>255.4220206279997</v>
      </c>
      <c r="AP96" s="5">
        <f>AO95*Population!M$43*Population!$B$12+AP95*Population!$B$11*Population!M$44</f>
        <v>249.39889754196179</v>
      </c>
      <c r="AQ96" s="5">
        <f>AP95*Population!M$44*Population!$B$12+AQ95*Population!$B$11*Population!M$45</f>
        <v>191.65959784263106</v>
      </c>
      <c r="AR96" s="5">
        <f>(AQ95*Population!$B$12+AR95)*Population!M$46</f>
        <v>436.33575900210207</v>
      </c>
    </row>
    <row r="97" spans="1:44">
      <c r="A97">
        <f>A96+Population!$B$2</f>
        <v>94</v>
      </c>
      <c r="B97" s="4">
        <f t="shared" si="32"/>
        <v>3123</v>
      </c>
      <c r="C97" s="54">
        <f t="shared" si="31"/>
        <v>1209</v>
      </c>
      <c r="D97" s="12">
        <f>AD96*Population!$P$32*Population!$C$2+AF96*Population!$P$34*Population!$C$2+AH96*Population!$P$36*Population!$C$2+AJ96*Population!$P$38*Population!$C$2+AL96*Population!$P$40*Population!$C$2+AN95*Population!$P$42*Population!$C$2</f>
        <v>41.413040931548913</v>
      </c>
      <c r="E97" s="12">
        <f>IF(B96&gt;Population!$B$6*Population!$B$15,Population!$B$8,IF(Population!$J$6=1,D97,Population!$B$8*Population!$B$6*0.9/B96))</f>
        <v>35.642754957229528</v>
      </c>
      <c r="F97" s="12">
        <f>IF(B96&gt;Population!$B$6*0.75,Population!$B$8,E97)</f>
        <v>35.642754957229528</v>
      </c>
      <c r="G97" s="15">
        <f>IF(Population!$J$6=1,IF(E97&gt;H96,H96,E97),IF(E97&gt;X96,X96,E97))</f>
        <v>35.642754957229528</v>
      </c>
      <c r="H97" s="15">
        <f t="shared" si="33"/>
        <v>622</v>
      </c>
      <c r="I97" s="15">
        <f t="shared" si="34"/>
        <v>744</v>
      </c>
      <c r="J97" s="12">
        <f t="shared" si="28"/>
        <v>1.1961414790996785</v>
      </c>
      <c r="K97" s="12">
        <f>AA97*Population!$O$29+AB97*Population!$O$30+AC97*Population!$O$31+AD97*Population!$O$32+AE97*Population!$O$33+AF97*Population!$O$34+AG97*Population!$O$35+AH97*Population!$O$36+AI97*Population!$O$37+AJ97*Population!$O$38+AK97*Population!$O$37+AL97*Population!$O$38+AM97*Population!$O$39+AN97*Population!$O$40+AO97*Population!$O$41+AP97*Population!$O$42+AQ97*Population!$O$43+AR97*Population!$O$44</f>
        <v>8.0879043046992081</v>
      </c>
      <c r="L97" s="12">
        <f t="shared" si="35"/>
        <v>5.7303464561462264E-2</v>
      </c>
      <c r="M97" s="12">
        <f t="shared" si="36"/>
        <v>17.577075766742293</v>
      </c>
      <c r="N97" s="12">
        <f t="shared" si="29"/>
        <v>0.23823246878001922</v>
      </c>
      <c r="O97" s="12">
        <f t="shared" si="37"/>
        <v>1277.2245660272999</v>
      </c>
      <c r="P97" s="12">
        <f t="shared" si="38"/>
        <v>310</v>
      </c>
      <c r="Q97" s="12">
        <f t="shared" si="39"/>
        <v>240.88771698635003</v>
      </c>
      <c r="R97" s="12">
        <f t="shared" si="40"/>
        <v>436.33575900210207</v>
      </c>
      <c r="S97" s="12">
        <f t="shared" si="41"/>
        <v>0.14098263986829662</v>
      </c>
      <c r="T97" s="12">
        <f t="shared" si="30"/>
        <v>0.88567157071760449</v>
      </c>
      <c r="U97" s="12">
        <f>Population!$B$13*MIN(Y96:Z96)</f>
        <v>17.854720164764416</v>
      </c>
      <c r="V97" s="12">
        <f>X96*Population!$B$14</f>
        <v>3.3158208646002922</v>
      </c>
      <c r="W97" s="12">
        <f>AN96*T96*Population!$B$12</f>
        <v>16.287993080529539</v>
      </c>
      <c r="X97" s="12">
        <f t="shared" si="44"/>
        <v>550.88771698635003</v>
      </c>
      <c r="Y97" s="14">
        <f t="shared" si="42"/>
        <v>71.373478262912954</v>
      </c>
      <c r="Z97" s="13">
        <f t="shared" si="43"/>
        <v>71.373478262912954</v>
      </c>
      <c r="AA97" s="18">
        <f>(G97+Population!$B$11*AA96)*Population!M$29</f>
        <v>248.79576680840714</v>
      </c>
      <c r="AB97" s="18">
        <f>AA96*Population!$B$12*Population!$M$29+AB96*Population!$B$11*Population!$M$30</f>
        <v>248.40236442668333</v>
      </c>
      <c r="AC97" s="14">
        <f>(AB96*Population!$B$12*0.5*Population!$M$30)+(AC96*Population!$B$11*Population!M$31)</f>
        <v>123.58256056658669</v>
      </c>
      <c r="AD97" s="13">
        <f>(AB96*Population!$B$12*0.5*Population!$M$30)+(AD96*Population!$B$11*Population!M$31)</f>
        <v>123.58256056658669</v>
      </c>
      <c r="AE97" s="14">
        <f>(AC96*Population!$B$12*Population!M$31)+(AE96*Population!$B$11*Population!M$33)</f>
        <v>123.17365690081107</v>
      </c>
      <c r="AF97" s="13">
        <f>(AD96*Population!$B$12*Population!M$31)+(AF96*Population!$B$11*Population!M$33)</f>
        <v>123.17365690081107</v>
      </c>
      <c r="AG97" s="14">
        <f>(AE96*Population!$B$12*Population!M$33)+(AG96*Population!$B$11*Population!M$35)</f>
        <v>122.71399912383175</v>
      </c>
      <c r="AH97" s="13">
        <f>(AF96*Population!$B$12*Population!M$33)+(AH96*Population!$B$11*Population!M$35)</f>
        <v>122.71399912383175</v>
      </c>
      <c r="AI97" s="14">
        <f>(AG96*Population!$B$12*Population!M$35)+(AI96*Population!$B$11*Population!M$37)</f>
        <v>123.23093507694536</v>
      </c>
      <c r="AJ97" s="13">
        <f>(AH96*Population!$B$12*Population!M$35)+(AJ96*Population!$B$11*Population!M$37)</f>
        <v>123.23093507694536</v>
      </c>
      <c r="AK97" s="14">
        <f>(AI96*Population!$B$12*Population!M$37)+(AK96*Population!$B$11*Population!M$39)</f>
        <v>125.09406973990397</v>
      </c>
      <c r="AL97" s="13">
        <f>(AJ96*Population!$B$12*Population!M$37)+(AL96*Population!$B$11*Population!M$39)</f>
        <v>125.09406973990397</v>
      </c>
      <c r="AM97" s="14">
        <f>(AK96*Population!$B$12*Population!M$39)+(AM96*Population!$B$11*Population!M$41)</f>
        <v>128.04853440777089</v>
      </c>
      <c r="AN97" s="13">
        <f>(AL96*Population!$B$12*Population!M$39)+(AN96*Population!$B$11*Population!M$41)</f>
        <v>128.04853440777089</v>
      </c>
      <c r="AO97" s="15">
        <f>(AM96+AN96)*Population!$B$12*Population!$M$41+AO96*Population!$B$11*Population!$M$43</f>
        <v>254.05786640775324</v>
      </c>
      <c r="AP97" s="5">
        <f>AO96*Population!M$43*Population!$B$12+AP96*Population!$B$11*Population!M$44</f>
        <v>248.44496345530604</v>
      </c>
      <c r="AQ97" s="5">
        <f>AP96*Population!M$44*Population!$B$12+AQ96*Population!$B$11*Population!M$45</f>
        <v>191.35035504178725</v>
      </c>
      <c r="AR97" s="5">
        <f>(AQ96*Population!$B$12+AR96)*Population!M$46</f>
        <v>440.28878430869031</v>
      </c>
    </row>
    <row r="98" spans="1:44">
      <c r="A98">
        <f>A97+Population!$B$2</f>
        <v>95</v>
      </c>
      <c r="B98" s="4">
        <f t="shared" si="32"/>
        <v>3120</v>
      </c>
      <c r="C98" s="54">
        <f t="shared" si="31"/>
        <v>1205</v>
      </c>
      <c r="D98" s="12">
        <f>AD97*Population!$P$32*Population!$C$2+AF97*Population!$P$34*Population!$C$2+AH97*Population!$P$36*Population!$C$2+AJ97*Population!$P$38*Population!$C$2+AL97*Population!$P$40*Population!$C$2+AN96*Population!$P$42*Population!$C$2</f>
        <v>41.326588043350242</v>
      </c>
      <c r="E98" s="12">
        <f>IF(B97&gt;Population!$B$6*Population!$B$15,Population!$B$8,IF(Population!$J$6=1,D98,Population!$B$8*Population!$B$6*0.9/B97))</f>
        <v>35.642754957229528</v>
      </c>
      <c r="F98" s="12">
        <f>IF(B97&gt;Population!$B$6*0.75,Population!$B$8,E98)</f>
        <v>35.642754957229528</v>
      </c>
      <c r="G98" s="15">
        <f>IF(Population!$J$6=1,IF(E98&gt;H97,H97,E98),IF(E98&gt;X97,X97,E98))</f>
        <v>35.642754957229528</v>
      </c>
      <c r="H98" s="15">
        <f t="shared" si="33"/>
        <v>620</v>
      </c>
      <c r="I98" s="15">
        <f t="shared" si="34"/>
        <v>744</v>
      </c>
      <c r="J98" s="12">
        <f t="shared" ref="J98:J103" si="45">I98/H98</f>
        <v>1.2</v>
      </c>
      <c r="K98" s="12">
        <f>AA98*Population!$O$29+AB98*Population!$O$30+AC98*Population!$O$31+AD98*Population!$O$32+AE98*Population!$O$33+AF98*Population!$O$34+AG98*Population!$O$35+AH98*Population!$O$36+AI98*Population!$O$37+AJ98*Population!$O$38+AK98*Population!$O$37+AL98*Population!$O$38+AM98*Population!$O$39+AN98*Population!$O$40+AO98*Population!$O$41+AP98*Population!$O$42+AQ98*Population!$O$43+AR98*Population!$O$44</f>
        <v>8.1010403863857601</v>
      </c>
      <c r="L98" s="12">
        <f t="shared" si="35"/>
        <v>5.7488314447144397E-2</v>
      </c>
      <c r="M98" s="12">
        <f t="shared" si="36"/>
        <v>17.552200007041108</v>
      </c>
      <c r="N98" s="12">
        <f t="shared" ref="N98:N115" si="46">I98/B98</f>
        <v>0.23846153846153847</v>
      </c>
      <c r="O98" s="12">
        <f t="shared" si="37"/>
        <v>1277.5510356702559</v>
      </c>
      <c r="P98" s="12">
        <f t="shared" si="38"/>
        <v>310</v>
      </c>
      <c r="Q98" s="12">
        <f t="shared" si="39"/>
        <v>239.22448216487203</v>
      </c>
      <c r="R98" s="12">
        <f t="shared" si="40"/>
        <v>440.28878430869031</v>
      </c>
      <c r="S98" s="12">
        <f t="shared" si="41"/>
        <v>0.14230774265489848</v>
      </c>
      <c r="T98" s="12">
        <f t="shared" ref="T98:T103" si="47">X98/H98</f>
        <v>0.88584593897560004</v>
      </c>
      <c r="U98" s="12">
        <f>Population!$B$13*MIN(Y97:Z97)</f>
        <v>17.843369565728239</v>
      </c>
      <c r="V98" s="12">
        <f>X97*Population!$B$14</f>
        <v>3.3053263019181003</v>
      </c>
      <c r="W98" s="12">
        <f>AN97*T97*Population!$B$12</f>
        <v>16.201278085288237</v>
      </c>
      <c r="X98" s="12">
        <f t="shared" si="44"/>
        <v>549.22448216487203</v>
      </c>
      <c r="Y98" s="14">
        <f t="shared" si="42"/>
        <v>71.341381253544</v>
      </c>
      <c r="Z98" s="13">
        <f t="shared" si="43"/>
        <v>71.341381253544</v>
      </c>
      <c r="AA98" s="18">
        <f>(G98+Population!$B$11*AA97)*Population!M$29</f>
        <v>248.7952174790737</v>
      </c>
      <c r="AB98" s="18">
        <f>AA97*Population!$B$12*Population!$M$29+AB97*Population!$B$11*Population!$M$30</f>
        <v>248.39622844217246</v>
      </c>
      <c r="AC98" s="14">
        <f>(AB97*Population!$B$12*0.5*Population!$M$30)+(AC97*Population!$B$11*Population!M$31)</f>
        <v>123.56599360936345</v>
      </c>
      <c r="AD98" s="13">
        <f>(AB97*Population!$B$12*0.5*Population!$M$30)+(AD97*Population!$B$11*Population!M$31)</f>
        <v>123.56599360936345</v>
      </c>
      <c r="AE98" s="14">
        <f>(AC97*Population!$B$12*Population!M$31)+(AE97*Population!$B$11*Population!M$33)</f>
        <v>123.11463154586778</v>
      </c>
      <c r="AF98" s="13">
        <f>(AD97*Population!$B$12*Population!M$31)+(AF97*Population!$B$11*Population!M$33)</f>
        <v>123.11463154586778</v>
      </c>
      <c r="AG98" s="14">
        <f>(AE97*Population!$B$12*Population!M$33)+(AG97*Population!$B$11*Population!M$35)</f>
        <v>122.56094312555265</v>
      </c>
      <c r="AH98" s="13">
        <f>(AF97*Population!$B$12*Population!M$33)+(AH97*Population!$B$11*Population!M$35)</f>
        <v>122.56094312555265</v>
      </c>
      <c r="AI98" s="14">
        <f>(AG97*Population!$B$12*Population!M$35)+(AI97*Population!$B$11*Population!M$37)</f>
        <v>122.92062547644282</v>
      </c>
      <c r="AJ98" s="13">
        <f>(AH97*Population!$B$12*Population!M$35)+(AJ97*Population!$B$11*Population!M$37)</f>
        <v>122.92062547644282</v>
      </c>
      <c r="AK98" s="14">
        <f>(AI97*Population!$B$12*Population!M$37)+(AK97*Population!$B$11*Population!M$39)</f>
        <v>124.58823806251682</v>
      </c>
      <c r="AL98" s="13">
        <f>(AJ97*Population!$B$12*Population!M$37)+(AL97*Population!$B$11*Population!M$39)</f>
        <v>124.58823806251682</v>
      </c>
      <c r="AM98" s="14">
        <f>(AK97*Population!$B$12*Population!M$39)+(AM97*Population!$B$11*Population!M$41)</f>
        <v>127.38142520803588</v>
      </c>
      <c r="AN98" s="13">
        <f>(AL97*Population!$B$12*Population!M$39)+(AN97*Population!$B$11*Population!M$41)</f>
        <v>127.38142520803588</v>
      </c>
      <c r="AO98" s="15">
        <f>(AM97+AN97)*Population!$B$12*Population!$M$41+AO97*Population!$B$11*Population!$M$43</f>
        <v>252.70014910017119</v>
      </c>
      <c r="AP98" s="5">
        <f>AO97*Population!M$43*Population!$B$12+AP97*Population!$B$11*Population!M$44</f>
        <v>247.43976738540394</v>
      </c>
      <c r="AQ98" s="5">
        <f>AP97*Population!M$44*Population!$B$12+AQ97*Population!$B$11*Population!M$45</f>
        <v>190.96339258581602</v>
      </c>
      <c r="AR98" s="5">
        <f>(AQ97*Population!$B$12+AR97)*Population!M$46</f>
        <v>444.00015708328328</v>
      </c>
    </row>
    <row r="99" spans="1:44">
      <c r="A99">
        <f>A98+Population!$B$2</f>
        <v>96</v>
      </c>
      <c r="B99" s="4">
        <f t="shared" si="32"/>
        <v>3117</v>
      </c>
      <c r="C99" s="54">
        <f t="shared" ref="C99:C115" si="48">FLOOR(B99-I99-G99-SUM(AO99:AR99),1)</f>
        <v>1201</v>
      </c>
      <c r="D99" s="12">
        <f>AD98*Population!$P$32*Population!$C$2+AF98*Population!$P$34*Population!$C$2+AH98*Population!$P$36*Population!$C$2+AJ98*Population!$P$38*Population!$C$2+AL98*Population!$P$40*Population!$C$2+AN97*Population!$P$42*Population!$C$2</f>
        <v>41.245723937962673</v>
      </c>
      <c r="E99" s="12">
        <f>IF(B98&gt;Population!$B$6*Population!$B$15,Population!$B$8,IF(Population!$J$6=1,D99,Population!$B$8*Population!$B$6*0.9/B98))</f>
        <v>35.642754957229528</v>
      </c>
      <c r="F99" s="12">
        <f>IF(B98&gt;Population!$B$6*0.75,Population!$B$8,E99)</f>
        <v>35.642754957229528</v>
      </c>
      <c r="G99" s="15">
        <f>IF(Population!$J$6=1,IF(E99&gt;H98,H98,E99),IF(E99&gt;X98,X98,E99))</f>
        <v>35.642754957229528</v>
      </c>
      <c r="H99" s="15">
        <f t="shared" si="33"/>
        <v>618</v>
      </c>
      <c r="I99" s="15">
        <f t="shared" si="34"/>
        <v>744</v>
      </c>
      <c r="J99" s="12">
        <f t="shared" si="45"/>
        <v>1.203883495145631</v>
      </c>
      <c r="K99" s="12">
        <f>AA99*Population!$O$29+AB99*Population!$O$30+AC99*Population!$O$31+AD99*Population!$O$32+AE99*Population!$O$33+AF99*Population!$O$34+AG99*Population!$O$35+AH99*Population!$O$36+AI99*Population!$O$37+AJ99*Population!$O$38+AK99*Population!$O$37+AL99*Population!$O$38+AM99*Population!$O$39+AN99*Population!$O$40+AO99*Population!$O$41+AP99*Population!$O$42+AQ99*Population!$O$43+AR99*Population!$O$44</f>
        <v>8.1122271778402801</v>
      </c>
      <c r="L99" s="12">
        <f t="shared" si="35"/>
        <v>5.7674360772216063E-2</v>
      </c>
      <c r="M99" s="12">
        <f t="shared" si="36"/>
        <v>17.529363594475615</v>
      </c>
      <c r="N99" s="12">
        <f t="shared" si="46"/>
        <v>0.2386910490856593</v>
      </c>
      <c r="O99" s="12">
        <f t="shared" si="37"/>
        <v>1277.7111297498802</v>
      </c>
      <c r="P99" s="12">
        <f t="shared" si="38"/>
        <v>310</v>
      </c>
      <c r="Q99" s="12">
        <f t="shared" si="39"/>
        <v>237.64443512505989</v>
      </c>
      <c r="R99" s="12">
        <f t="shared" si="40"/>
        <v>444.00015708328328</v>
      </c>
      <c r="S99" s="12">
        <f t="shared" si="41"/>
        <v>0.14355840350265509</v>
      </c>
      <c r="T99" s="12">
        <f t="shared" si="47"/>
        <v>0.88615604389168268</v>
      </c>
      <c r="U99" s="12">
        <f>Population!$B$13*MIN(Y98:Z98)</f>
        <v>17.835345313386</v>
      </c>
      <c r="V99" s="12">
        <f>X98*Population!$B$14</f>
        <v>3.2953468929892322</v>
      </c>
      <c r="W99" s="12">
        <f>AN98*T98*Population!$B$12</f>
        <v>16.120045460208956</v>
      </c>
      <c r="X99" s="12">
        <f t="shared" si="44"/>
        <v>547.64443512505989</v>
      </c>
      <c r="Y99" s="14">
        <f t="shared" si="42"/>
        <v>71.322048305128646</v>
      </c>
      <c r="Z99" s="13">
        <f t="shared" si="43"/>
        <v>71.322048305128646</v>
      </c>
      <c r="AA99" s="18">
        <f>(G99+Population!$B$11*AA98)*Population!M$29</f>
        <v>248.79474681652593</v>
      </c>
      <c r="AB99" s="18">
        <f>AA98*Population!$B$12*Population!$M$29+AB98*Population!$B$11*Population!$M$30</f>
        <v>248.39089176648784</v>
      </c>
      <c r="AC99" s="14">
        <f>(AB98*Population!$B$12*0.5*Population!$M$30)+(AC98*Population!$B$11*Population!M$31)</f>
        <v>123.5513687071584</v>
      </c>
      <c r="AD99" s="13">
        <f>(AB98*Population!$B$12*0.5*Population!$M$30)+(AD98*Population!$B$11*Population!M$31)</f>
        <v>123.5513687071584</v>
      </c>
      <c r="AE99" s="14">
        <f>(AC98*Population!$B$12*Population!M$31)+(AE98*Population!$B$11*Population!M$33)</f>
        <v>123.06172214706874</v>
      </c>
      <c r="AF99" s="13">
        <f>(AD98*Population!$B$12*Population!M$31)+(AF98*Population!$B$11*Population!M$33)</f>
        <v>123.06172214706874</v>
      </c>
      <c r="AG99" s="14">
        <f>(AE98*Population!$B$12*Population!M$33)+(AG98*Population!$B$11*Population!M$35)</f>
        <v>122.42157999864489</v>
      </c>
      <c r="AH99" s="13">
        <f>(AF98*Population!$B$12*Population!M$33)+(AH98*Population!$B$11*Population!M$35)</f>
        <v>122.42157999864489</v>
      </c>
      <c r="AI99" s="14">
        <f>(AG98*Population!$B$12*Population!M$35)+(AI98*Population!$B$11*Population!M$37)</f>
        <v>122.63333333827427</v>
      </c>
      <c r="AJ99" s="13">
        <f>(AH98*Population!$B$12*Population!M$35)+(AJ98*Population!$B$11*Population!M$37)</f>
        <v>122.63333333827427</v>
      </c>
      <c r="AK99" s="14">
        <f>(AI98*Population!$B$12*Population!M$37)+(AK98*Population!$B$11*Population!M$39)</f>
        <v>124.11125567830697</v>
      </c>
      <c r="AL99" s="13">
        <f>(AJ98*Population!$B$12*Population!M$37)+(AL98*Population!$B$11*Population!M$39)</f>
        <v>124.11125567830697</v>
      </c>
      <c r="AM99" s="14">
        <f>(AK98*Population!$B$12*Population!M$39)+(AM98*Population!$B$11*Population!M$41)</f>
        <v>126.73859226789364</v>
      </c>
      <c r="AN99" s="13">
        <f>(AL98*Population!$B$12*Population!M$39)+(AN98*Population!$B$11*Population!M$41)</f>
        <v>126.73859226789364</v>
      </c>
      <c r="AO99" s="15">
        <f>(AM98+AN98)*Population!$B$12*Population!$M$41+AO98*Population!$B$11*Population!$M$43</f>
        <v>251.3545919797775</v>
      </c>
      <c r="AP99" s="5">
        <f>AO98*Population!M$43*Population!$B$12+AP98*Population!$B$11*Population!M$44</f>
        <v>246.39186392147911</v>
      </c>
      <c r="AQ99" s="5">
        <f>AP98*Population!M$44*Population!$B$12+AQ98*Population!$B$11*Population!M$45</f>
        <v>190.50590871802049</v>
      </c>
      <c r="AR99" s="5">
        <f>(AQ98*Population!$B$12+AR98)*Population!M$46</f>
        <v>447.47154371777589</v>
      </c>
    </row>
    <row r="100" spans="1:44">
      <c r="A100">
        <f>A99+Population!$B$2</f>
        <v>97</v>
      </c>
      <c r="B100" s="4">
        <f t="shared" si="32"/>
        <v>3115</v>
      </c>
      <c r="C100" s="54">
        <f t="shared" si="48"/>
        <v>1199</v>
      </c>
      <c r="D100" s="12">
        <f>AD99*Population!$P$32*Population!$C$2+AF99*Population!$P$34*Population!$C$2+AH99*Population!$P$36*Population!$C$2+AJ99*Population!$P$38*Population!$C$2+AL99*Population!$P$40*Population!$C$2+AN98*Population!$P$42*Population!$C$2</f>
        <v>41.170168092780777</v>
      </c>
      <c r="E100" s="12">
        <f>IF(B99&gt;Population!$B$6*Population!$B$15,Population!$B$8,IF(Population!$J$6=1,D100,Population!$B$8*Population!$B$6*0.9/B99))</f>
        <v>35.642754957229528</v>
      </c>
      <c r="F100" s="12">
        <f>IF(B99&gt;Population!$B$6*0.75,Population!$B$8,E100)</f>
        <v>35.642754957229528</v>
      </c>
      <c r="G100" s="15">
        <f>IF(Population!$J$6=1,IF(E100&gt;H99,H99,E100),IF(E100&gt;X99,X99,E100))</f>
        <v>35.642754957229528</v>
      </c>
      <c r="H100" s="15">
        <f t="shared" si="33"/>
        <v>617</v>
      </c>
      <c r="I100" s="15">
        <f t="shared" si="34"/>
        <v>744</v>
      </c>
      <c r="J100" s="12">
        <f t="shared" si="45"/>
        <v>1.2058346839546192</v>
      </c>
      <c r="K100" s="12">
        <f>AA100*Population!$O$29+AB100*Population!$O$30+AC100*Population!$O$31+AD100*Population!$O$32+AE100*Population!$O$33+AF100*Population!$O$34+AG100*Population!$O$35+AH100*Population!$O$36+AI100*Population!$O$37+AJ100*Population!$O$38+AK100*Population!$O$37+AL100*Population!$O$38+AM100*Population!$O$39+AN100*Population!$O$40+AO100*Population!$O$41+AP100*Population!$O$42+AQ100*Population!$O$43+AR100*Population!$O$44</f>
        <v>8.1215476431959246</v>
      </c>
      <c r="L100" s="12">
        <f t="shared" si="35"/>
        <v>5.7767836235380107E-2</v>
      </c>
      <c r="M100" s="12">
        <f t="shared" si="36"/>
        <v>17.508419813052651</v>
      </c>
      <c r="N100" s="12">
        <f t="shared" si="46"/>
        <v>0.23884430176565008</v>
      </c>
      <c r="O100" s="12">
        <f t="shared" si="37"/>
        <v>1278.7104586852502</v>
      </c>
      <c r="P100" s="12">
        <f t="shared" si="38"/>
        <v>310</v>
      </c>
      <c r="Q100" s="12">
        <f t="shared" si="39"/>
        <v>236.14477065737492</v>
      </c>
      <c r="R100" s="12">
        <f t="shared" si="40"/>
        <v>447.47154371777589</v>
      </c>
      <c r="S100" s="12">
        <f t="shared" ref="S100:S115" si="49">SUM(AR100:AR100)/B100</f>
        <v>0.14468876493986071</v>
      </c>
      <c r="T100" s="12">
        <f t="shared" si="47"/>
        <v>0.88516170284825757</v>
      </c>
      <c r="U100" s="12">
        <f>Population!$B$13*MIN(Y99:Z99)</f>
        <v>17.830512076282162</v>
      </c>
      <c r="V100" s="12">
        <f>X99*Population!$B$14</f>
        <v>3.2858666107503596</v>
      </c>
      <c r="W100" s="12">
        <f>AN99*T99*Population!$B$12</f>
        <v>16.044309933216805</v>
      </c>
      <c r="X100" s="12">
        <f t="shared" si="44"/>
        <v>546.14477065737492</v>
      </c>
      <c r="Y100" s="14">
        <f t="shared" ref="Y100:Y103" si="50">(AE100+AG100+AI100+AK100+AM100)-X100</f>
        <v>71.314922107378379</v>
      </c>
      <c r="Z100" s="13">
        <f t="shared" si="43"/>
        <v>71.314922107378379</v>
      </c>
      <c r="AA100" s="18">
        <f>(G100+Population!$B$11*AA99)*Population!M$29</f>
        <v>248.79434355527556</v>
      </c>
      <c r="AB100" s="18">
        <f>AA99*Population!$B$12*Population!$M$29+AB99*Population!$B$11*Population!$M$30</f>
        <v>248.38625129205155</v>
      </c>
      <c r="AC100" s="14">
        <f>(AB99*Population!$B$12*0.5*Population!$M$30)+(AC99*Population!$B$11*Population!M$31)</f>
        <v>123.53846391780046</v>
      </c>
      <c r="AD100" s="13">
        <f>(AB99*Population!$B$12*0.5*Population!$M$30)+(AD99*Population!$B$11*Population!M$31)</f>
        <v>123.53846391780046</v>
      </c>
      <c r="AE100" s="14">
        <f>(AC99*Population!$B$12*Population!M$31)+(AE99*Population!$B$11*Population!M$33)</f>
        <v>123.01432717256515</v>
      </c>
      <c r="AF100" s="13">
        <f>(AD99*Population!$B$12*Population!M$31)+(AF99*Population!$B$11*Population!M$33)</f>
        <v>123.01432717256515</v>
      </c>
      <c r="AG100" s="14">
        <f>(AE99*Population!$B$12*Population!M$33)+(AG99*Population!$B$11*Population!M$35)</f>
        <v>122.29480395944964</v>
      </c>
      <c r="AH100" s="13">
        <f>(AF99*Population!$B$12*Population!M$33)+(AH99*Population!$B$11*Population!M$35)</f>
        <v>122.29480395944964</v>
      </c>
      <c r="AI100" s="14">
        <f>(AG99*Population!$B$12*Population!M$35)+(AI99*Population!$B$11*Population!M$37)</f>
        <v>122.36768494209088</v>
      </c>
      <c r="AJ100" s="13">
        <f>(AH99*Population!$B$12*Population!M$35)+(AJ99*Population!$B$11*Population!M$37)</f>
        <v>122.36768494209088</v>
      </c>
      <c r="AK100" s="14">
        <f>(AI99*Population!$B$12*Population!M$37)+(AK99*Population!$B$11*Population!M$39)</f>
        <v>123.66223567752751</v>
      </c>
      <c r="AL100" s="13">
        <f>(AJ99*Population!$B$12*Population!M$37)+(AL99*Population!$B$11*Population!M$39)</f>
        <v>123.66223567752751</v>
      </c>
      <c r="AM100" s="14">
        <f>(AK99*Population!$B$12*Population!M$39)+(AM99*Population!$B$11*Population!M$41)</f>
        <v>126.12064101312006</v>
      </c>
      <c r="AN100" s="13">
        <f>(AL99*Population!$B$12*Population!M$39)+(AN99*Population!$B$11*Population!M$41)</f>
        <v>126.12064101312006</v>
      </c>
      <c r="AO100" s="15">
        <f>(AM99+AN99)*Population!$B$12*Population!$M$41+AO99*Population!$B$11*Population!$M$43</f>
        <v>250.02630506700331</v>
      </c>
      <c r="AP100" s="5">
        <f>AO99*Population!M$43*Population!$B$12+AP99*Population!$B$11*Population!M$44</f>
        <v>245.30934409088781</v>
      </c>
      <c r="AQ100" s="5">
        <f>AP99*Population!M$44*Population!$B$12+AQ99*Population!$B$11*Population!M$45</f>
        <v>189.98497488079499</v>
      </c>
      <c r="AR100" s="5">
        <f>(AQ99*Population!$B$12+AR99)*Population!M$46</f>
        <v>450.70550278766609</v>
      </c>
    </row>
    <row r="101" spans="1:44">
      <c r="A101">
        <f>A100+Population!$B$2</f>
        <v>98</v>
      </c>
      <c r="B101" s="4">
        <f t="shared" si="32"/>
        <v>3112</v>
      </c>
      <c r="C101" s="54">
        <f t="shared" si="48"/>
        <v>1196</v>
      </c>
      <c r="D101" s="12">
        <f>AD100*Population!$P$32*Population!$C$2+AF100*Population!$P$34*Population!$C$2+AH100*Population!$P$36*Population!$C$2+AJ100*Population!$P$38*Population!$C$2+AL100*Population!$P$40*Population!$C$2+AN99*Population!$P$42*Population!$C$2</f>
        <v>41.099645391952116</v>
      </c>
      <c r="E101" s="12">
        <f>IF(B100&gt;Population!$B$6*Population!$B$15,Population!$B$8,IF(Population!$J$6=1,D101,Population!$B$8*Population!$B$6*0.9/B100))</f>
        <v>35.642754957229528</v>
      </c>
      <c r="F101" s="12">
        <f>IF(B100&gt;Population!$B$6*0.75,Population!$B$8,E101)</f>
        <v>35.642754957229528</v>
      </c>
      <c r="G101" s="15">
        <f>IF(Population!$J$6=1,IF(E101&gt;H100,H100,E101),IF(E101&gt;X100,X100,E101))</f>
        <v>35.642754957229528</v>
      </c>
      <c r="H101" s="15">
        <f t="shared" si="33"/>
        <v>616</v>
      </c>
      <c r="I101" s="15">
        <f t="shared" si="34"/>
        <v>744</v>
      </c>
      <c r="J101" s="12">
        <f t="shared" si="45"/>
        <v>1.2077922077922079</v>
      </c>
      <c r="K101" s="12">
        <f>AA101*Population!$O$29+AB101*Population!$O$30+AC101*Population!$O$31+AD101*Population!$O$32+AE101*Population!$O$33+AF101*Population!$O$34+AG101*Population!$O$35+AH101*Population!$O$36+AI101*Population!$O$37+AJ101*Population!$O$38+AK101*Population!$O$37+AL101*Population!$O$38+AM101*Population!$O$39+AN101*Population!$O$40+AO101*Population!$O$41+AP101*Population!$O$42+AQ101*Population!$O$43+AR101*Population!$O$44</f>
        <v>8.1290869971078408</v>
      </c>
      <c r="L101" s="12">
        <f t="shared" si="35"/>
        <v>5.7861615190307678E-2</v>
      </c>
      <c r="M101" s="12">
        <f t="shared" si="36"/>
        <v>17.489230019496731</v>
      </c>
      <c r="N101" s="12">
        <f t="shared" si="46"/>
        <v>0.23907455012853471</v>
      </c>
      <c r="O101" s="12">
        <f t="shared" si="37"/>
        <v>1278.5030666975888</v>
      </c>
      <c r="P101" s="12">
        <f t="shared" si="38"/>
        <v>310</v>
      </c>
      <c r="Q101" s="12">
        <f t="shared" si="39"/>
        <v>234.7484666512056</v>
      </c>
      <c r="R101" s="12">
        <f t="shared" si="40"/>
        <v>450.70550278766609</v>
      </c>
      <c r="S101" s="12">
        <f t="shared" si="49"/>
        <v>0.14579223097032915</v>
      </c>
      <c r="T101" s="12">
        <f t="shared" si="47"/>
        <v>0.88433192638182723</v>
      </c>
      <c r="U101" s="12">
        <f>Population!$B$13*MIN(Y100:Z100)</f>
        <v>17.828730526844595</v>
      </c>
      <c r="V101" s="12">
        <f>X100*Population!$B$14</f>
        <v>3.2768686239442495</v>
      </c>
      <c r="W101" s="12">
        <f>AN100*T100*Population!$B$12</f>
        <v>15.948165909069592</v>
      </c>
      <c r="X101" s="12">
        <f t="shared" si="44"/>
        <v>544.7484666512056</v>
      </c>
      <c r="Y101" s="14">
        <f t="shared" si="50"/>
        <v>71.293550126288324</v>
      </c>
      <c r="Z101" s="13">
        <f t="shared" si="43"/>
        <v>71.293550126288324</v>
      </c>
      <c r="AA101" s="18">
        <f>(G101+Population!$B$11*AA100)*Population!M$29</f>
        <v>248.79399804311015</v>
      </c>
      <c r="AB101" s="18">
        <f>AA100*Population!$B$12*Population!$M$29+AB100*Population!$B$11*Population!$M$30</f>
        <v>248.38221705212246</v>
      </c>
      <c r="AC101" s="14">
        <f>(AB100*Population!$B$12*0.5*Population!$M$30)+(AC100*Population!$B$11*Population!M$31)</f>
        <v>123.52708182326803</v>
      </c>
      <c r="AD101" s="13">
        <f>(AB100*Population!$B$12*0.5*Population!$M$30)+(AD100*Population!$B$11*Population!M$31)</f>
        <v>123.52708182326803</v>
      </c>
      <c r="AE101" s="14">
        <f>(AC100*Population!$B$12*Population!M$31)+(AE100*Population!$B$11*Population!M$33)</f>
        <v>122.97189983918642</v>
      </c>
      <c r="AF101" s="13">
        <f>(AD100*Population!$B$12*Population!M$31)+(AF100*Population!$B$11*Population!M$33)</f>
        <v>122.97189983918642</v>
      </c>
      <c r="AG101" s="14">
        <f>(AE100*Population!$B$12*Population!M$33)+(AG100*Population!$B$11*Population!M$35)</f>
        <v>122.17958316197925</v>
      </c>
      <c r="AH101" s="13">
        <f>(AF100*Population!$B$12*Population!M$33)+(AH100*Population!$B$11*Population!M$35)</f>
        <v>122.17958316197925</v>
      </c>
      <c r="AI101" s="14">
        <f>(AG100*Population!$B$12*Population!M$35)+(AI100*Population!$B$11*Population!M$37)</f>
        <v>122.1223474082657</v>
      </c>
      <c r="AJ101" s="13">
        <f>(AH100*Population!$B$12*Population!M$35)+(AJ100*Population!$B$11*Population!M$37)</f>
        <v>122.1223474082657</v>
      </c>
      <c r="AK101" s="14">
        <f>(AI100*Population!$B$12*Population!M$37)+(AK100*Population!$B$11*Population!M$39)</f>
        <v>123.24022344245171</v>
      </c>
      <c r="AL101" s="13">
        <f>(AJ100*Population!$B$12*Population!M$37)+(AL100*Population!$B$11*Population!M$39)</f>
        <v>123.24022344245171</v>
      </c>
      <c r="AM101" s="14">
        <f>(AK100*Population!$B$12*Population!M$39)+(AM100*Population!$B$11*Population!M$41)</f>
        <v>125.52796292561085</v>
      </c>
      <c r="AN101" s="13">
        <f>(AL100*Population!$B$12*Population!M$39)+(AN100*Population!$B$11*Population!M$41)</f>
        <v>125.52796292561085</v>
      </c>
      <c r="AO101" s="15">
        <f>(AM100+AN100)*Population!$B$12*Population!$M$41+AO100*Population!$B$11*Population!$M$43</f>
        <v>248.71980927090789</v>
      </c>
      <c r="AP101" s="5">
        <f>AO100*Population!M$43*Population!$B$12+AP100*Population!$B$11*Population!M$44</f>
        <v>244.19981749037726</v>
      </c>
      <c r="AQ101" s="5">
        <f>AP100*Population!M$44*Population!$B$12+AQ100*Population!$B$11*Population!M$45</f>
        <v>189.40749357787604</v>
      </c>
      <c r="AR101" s="5">
        <f>(AQ100*Population!$B$12+AR100)*Population!M$46</f>
        <v>453.70542277966427</v>
      </c>
    </row>
    <row r="102" spans="1:44">
      <c r="A102">
        <f>A101+Population!$B$2</f>
        <v>99</v>
      </c>
      <c r="B102" s="4">
        <f t="shared" si="32"/>
        <v>3109</v>
      </c>
      <c r="C102" s="54">
        <f t="shared" si="48"/>
        <v>1193</v>
      </c>
      <c r="D102" s="12">
        <f>AD101*Population!$P$32*Population!$C$2+AF101*Population!$P$34*Population!$C$2+AH101*Population!$P$36*Population!$C$2+AJ101*Population!$P$38*Population!$C$2+AL101*Population!$P$40*Population!$C$2+AN100*Population!$P$42*Population!$C$2</f>
        <v>41.033887127120757</v>
      </c>
      <c r="E102" s="12">
        <f>IF(B101&gt;Population!$B$6*Population!$B$15,Population!$B$8,IF(Population!$J$6=1,D102,Population!$B$8*Population!$B$6*0.9/B101))</f>
        <v>35.642754957229528</v>
      </c>
      <c r="F102" s="12">
        <f>IF(B101&gt;Population!$B$6*0.75,Population!$B$8,E102)</f>
        <v>35.642754957229528</v>
      </c>
      <c r="G102" s="15">
        <f>IF(Population!$J$6=1,IF(E102&gt;H101,H101,E102),IF(E102&gt;X101,X101,E102))</f>
        <v>35.642754957229528</v>
      </c>
      <c r="H102" s="15">
        <f t="shared" si="33"/>
        <v>614</v>
      </c>
      <c r="I102" s="15">
        <f t="shared" si="34"/>
        <v>744</v>
      </c>
      <c r="J102" s="12">
        <f t="shared" si="45"/>
        <v>1.2117263843648209</v>
      </c>
      <c r="K102" s="12">
        <f>AA102*Population!$O$29+AB102*Population!$O$30+AC102*Population!$O$31+AD102*Population!$O$32+AE102*Population!$O$33+AF102*Population!$O$34+AG102*Population!$O$35+AH102*Population!$O$36+AI102*Population!$O$37+AJ102*Population!$O$38+AK102*Population!$O$37+AL102*Population!$O$38+AM102*Population!$O$39+AN102*Population!$O$40+AO102*Population!$O$41+AP102*Population!$O$42+AQ102*Population!$O$43+AR102*Population!$O$44</f>
        <v>8.134932131165252</v>
      </c>
      <c r="L102" s="12">
        <f t="shared" si="35"/>
        <v>5.8050089506888482E-2</v>
      </c>
      <c r="M102" s="12">
        <f t="shared" si="36"/>
        <v>17.471663519648821</v>
      </c>
      <c r="N102" s="12">
        <f t="shared" si="46"/>
        <v>0.239305242843358</v>
      </c>
      <c r="O102" s="12">
        <f t="shared" si="37"/>
        <v>1278.1099547396284</v>
      </c>
      <c r="P102" s="12">
        <f t="shared" si="38"/>
        <v>310</v>
      </c>
      <c r="Q102" s="12">
        <f t="shared" si="39"/>
        <v>233.4450226301858</v>
      </c>
      <c r="R102" s="12">
        <f t="shared" si="40"/>
        <v>453.70542277966427</v>
      </c>
      <c r="S102" s="12">
        <f t="shared" si="49"/>
        <v>0.14682388460911505</v>
      </c>
      <c r="T102" s="12">
        <f t="shared" si="47"/>
        <v>0.88508961340421144</v>
      </c>
      <c r="U102" s="12">
        <f>Population!$B$13*MIN(Y101:Z101)</f>
        <v>17.823387531572081</v>
      </c>
      <c r="V102" s="12">
        <f>X101*Population!$B$14</f>
        <v>3.2684907999072337</v>
      </c>
      <c r="W102" s="12">
        <f>AN101*T101*Population!$B$12</f>
        <v>15.858340752684574</v>
      </c>
      <c r="X102" s="12">
        <f t="shared" si="44"/>
        <v>543.4450226301858</v>
      </c>
      <c r="Y102" s="14">
        <f t="shared" si="50"/>
        <v>71.26488034188219</v>
      </c>
      <c r="Z102" s="13">
        <f t="shared" si="43"/>
        <v>71.26488034188219</v>
      </c>
      <c r="AA102" s="18">
        <f>(G102+Population!$B$11*AA101)*Population!M$29</f>
        <v>248.79370201006375</v>
      </c>
      <c r="AB102" s="18">
        <f>AA101*Population!$B$12*Population!$M$29+AB101*Population!$B$11*Population!$M$30</f>
        <v>248.37871057137414</v>
      </c>
      <c r="AC102" s="14">
        <f>(AB101*Population!$B$12*0.5*Population!$M$30)+(AC101*Population!$B$11*Population!M$31)</f>
        <v>123.51704694462653</v>
      </c>
      <c r="AD102" s="13">
        <f>(AB101*Population!$B$12*0.5*Population!$M$30)+(AD101*Population!$B$11*Population!M$31)</f>
        <v>123.51704694462653</v>
      </c>
      <c r="AE102" s="14">
        <f>(AC101*Population!$B$12*Population!M$31)+(AE101*Population!$B$11*Population!M$33)</f>
        <v>122.93394374658979</v>
      </c>
      <c r="AF102" s="13">
        <f>(AD101*Population!$B$12*Population!M$31)+(AF101*Population!$B$11*Population!M$33)</f>
        <v>122.93394374658979</v>
      </c>
      <c r="AG102" s="14">
        <f>(AE101*Population!$B$12*Population!M$33)+(AG101*Population!$B$11*Population!M$35)</f>
        <v>122.07495682749845</v>
      </c>
      <c r="AH102" s="13">
        <f>(AF101*Population!$B$12*Population!M$33)+(AH101*Population!$B$11*Population!M$35)</f>
        <v>122.07495682749845</v>
      </c>
      <c r="AI102" s="14">
        <f>(AG101*Population!$B$12*Population!M$35)+(AI101*Population!$B$11*Population!M$37)</f>
        <v>121.89603333853704</v>
      </c>
      <c r="AJ102" s="13">
        <f>(AH101*Population!$B$12*Population!M$35)+(AJ101*Population!$B$11*Population!M$37)</f>
        <v>121.89603333853704</v>
      </c>
      <c r="AK102" s="14">
        <f>(AI101*Population!$B$12*Population!M$37)+(AK101*Population!$B$11*Population!M$39)</f>
        <v>122.84421225455644</v>
      </c>
      <c r="AL102" s="13">
        <f>(AJ101*Population!$B$12*Population!M$37)+(AL101*Population!$B$11*Population!M$39)</f>
        <v>122.84421225455644</v>
      </c>
      <c r="AM102" s="14">
        <f>(AK101*Population!$B$12*Population!M$39)+(AM101*Population!$B$11*Population!M$41)</f>
        <v>124.96075680488633</v>
      </c>
      <c r="AN102" s="13">
        <f>(AL101*Population!$B$12*Population!M$39)+(AN101*Population!$B$11*Population!M$41)</f>
        <v>124.96075680488633</v>
      </c>
      <c r="AO102" s="15">
        <f>(AM101+AN101)*Population!$B$12*Population!$M$41+AO101*Population!$B$11*Population!$M$43</f>
        <v>247.43906319939293</v>
      </c>
      <c r="AP102" s="5">
        <f>AO101*Population!M$43*Population!$B$12+AP101*Population!$B$11*Population!M$44</f>
        <v>243.070400505018</v>
      </c>
      <c r="AQ102" s="5">
        <f>AP101*Population!M$44*Population!$B$12+AQ101*Population!$B$11*Population!M$45</f>
        <v>188.7801615467861</v>
      </c>
      <c r="AR102" s="5">
        <f>(AQ101*Population!$B$12+AR101)*Population!M$46</f>
        <v>456.47545724973872</v>
      </c>
    </row>
    <row r="103" spans="1:44">
      <c r="A103">
        <f>A102+Population!$B$2</f>
        <v>100</v>
      </c>
      <c r="B103" s="4">
        <f t="shared" si="32"/>
        <v>3106</v>
      </c>
      <c r="C103" s="54">
        <f t="shared" si="48"/>
        <v>1191</v>
      </c>
      <c r="D103" s="12">
        <f>AD102*Population!$P$32*Population!$C$2+AF102*Population!$P$34*Population!$C$2+AH102*Population!$P$36*Population!$C$2+AJ102*Population!$P$38*Population!$C$2+AL102*Population!$P$40*Population!$C$2+AN101*Population!$P$42*Population!$C$2</f>
        <v>40.972631827871396</v>
      </c>
      <c r="E103" s="12">
        <f>IF(B102&gt;Population!$B$6*Population!$B$15,Population!$B$8,IF(Population!$J$6=1,D103,Population!$B$8*Population!$B$6*0.9/B102))</f>
        <v>35.642754957229528</v>
      </c>
      <c r="F103" s="12">
        <f>IF(B102&gt;Population!$B$6*0.75,Population!$B$8,E103)</f>
        <v>35.642754957229528</v>
      </c>
      <c r="G103" s="15">
        <f>IF(Population!$J$6=1,IF(E103&gt;H102,H102,E103),IF(E103&gt;X102,X102,E103))</f>
        <v>35.642754957229528</v>
      </c>
      <c r="H103" s="15">
        <f t="shared" si="33"/>
        <v>613</v>
      </c>
      <c r="I103" s="15">
        <f t="shared" si="34"/>
        <v>744</v>
      </c>
      <c r="J103" s="12">
        <f t="shared" si="45"/>
        <v>1.2137030995106035</v>
      </c>
      <c r="K103" s="12">
        <f>AA103*Population!$O$29+AB103*Population!$O$30+AC103*Population!$O$31+AD103*Population!$O$32+AE103*Population!$O$33+AF103*Population!$O$34+AG103*Population!$O$35+AH103*Population!$O$36+AI103*Population!$O$37+AJ103*Population!$O$38+AK103*Population!$O$37+AL103*Population!$O$38+AM103*Population!$O$39+AN103*Population!$O$40+AO103*Population!$O$41+AP103*Population!$O$42+AQ103*Population!$O$43+AR103*Population!$O$44</f>
        <v>8.1391710667846713</v>
      </c>
      <c r="L103" s="12">
        <f t="shared" si="35"/>
        <v>5.8144787858449475E-2</v>
      </c>
      <c r="M103" s="12">
        <f t="shared" si="36"/>
        <v>17.455597395824309</v>
      </c>
      <c r="N103" s="12">
        <f t="shared" si="46"/>
        <v>0.23953638119768192</v>
      </c>
      <c r="O103" s="12">
        <f t="shared" si="37"/>
        <v>1277.5992742491449</v>
      </c>
      <c r="P103" s="12">
        <f t="shared" si="38"/>
        <v>310</v>
      </c>
      <c r="Q103" s="12">
        <f t="shared" si="39"/>
        <v>232.20036287542757</v>
      </c>
      <c r="R103" s="12">
        <f t="shared" si="40"/>
        <v>456.47545724973872</v>
      </c>
      <c r="S103" s="12">
        <f t="shared" si="49"/>
        <v>0.14778507992971282</v>
      </c>
      <c r="T103" s="12">
        <f t="shared" si="47"/>
        <v>0.88450303894849525</v>
      </c>
      <c r="U103" s="12">
        <f>Population!$B$13*MIN(Y102:Z102)</f>
        <v>17.816220085470547</v>
      </c>
      <c r="V103" s="12">
        <f>X102*Population!$B$14</f>
        <v>3.260670135781115</v>
      </c>
      <c r="W103" s="12">
        <f>AN102*T102*Population!$B$12</f>
        <v>15.800209704447788</v>
      </c>
      <c r="X103" s="12">
        <f t="shared" si="44"/>
        <v>542.20036287542757</v>
      </c>
      <c r="Y103" s="14">
        <f t="shared" si="50"/>
        <v>71.259388927546752</v>
      </c>
      <c r="Z103" s="13">
        <f t="shared" si="43"/>
        <v>71.259388927546752</v>
      </c>
      <c r="AA103" s="18">
        <f>(G103+Population!$B$11*AA102)*Population!M$29</f>
        <v>248.79344837047205</v>
      </c>
      <c r="AB103" s="18">
        <f>AA102*Population!$B$12*Population!$M$29+AB102*Population!$B$11*Population!$M$30</f>
        <v>248.37566341943159</v>
      </c>
      <c r="AC103" s="14">
        <f>(AB102*Population!$B$12*0.5*Population!$M$30)+(AC102*Population!$B$11*Population!M$31)</f>
        <v>123.50820341058252</v>
      </c>
      <c r="AD103" s="13">
        <f>(AB102*Population!$B$12*0.5*Population!$M$30)+(AD102*Population!$B$11*Population!M$31)</f>
        <v>123.50820341058252</v>
      </c>
      <c r="AE103" s="14">
        <f>(AC102*Population!$B$12*Population!M$31)+(AE102*Population!$B$11*Population!M$33)</f>
        <v>122.9000087697263</v>
      </c>
      <c r="AF103" s="13">
        <f>(AD102*Population!$B$12*Population!M$31)+(AF102*Population!$B$11*Population!M$33)</f>
        <v>122.9000087697263</v>
      </c>
      <c r="AG103" s="14">
        <f>(AE102*Population!$B$12*Population!M$33)+(AG102*Population!$B$11*Population!M$35)</f>
        <v>121.98003216579103</v>
      </c>
      <c r="AH103" s="13">
        <f>(AF102*Population!$B$12*Population!M$33)+(AH102*Population!$B$11*Population!M$35)</f>
        <v>121.98003216579103</v>
      </c>
      <c r="AI103" s="14">
        <f>(AG102*Population!$B$12*Population!M$35)+(AI102*Population!$B$11*Population!M$37)</f>
        <v>121.68750437679314</v>
      </c>
      <c r="AJ103" s="13">
        <f>(AH102*Population!$B$12*Population!M$35)+(AJ102*Population!$B$11*Population!M$37)</f>
        <v>121.68750437679314</v>
      </c>
      <c r="AK103" s="14">
        <f>(AI102*Population!$B$12*Population!M$37)+(AK102*Population!$B$11*Population!M$39)</f>
        <v>122.47315730809905</v>
      </c>
      <c r="AL103" s="13">
        <f>(AJ102*Population!$B$12*Population!M$37)+(AL102*Population!$B$11*Population!M$39)</f>
        <v>122.47315730809905</v>
      </c>
      <c r="AM103" s="14">
        <f>(AK102*Population!$B$12*Population!M$39)+(AM102*Population!$B$11*Population!M$41)</f>
        <v>124.41904918256478</v>
      </c>
      <c r="AN103" s="13">
        <f>(AL102*Population!$B$12*Population!M$39)+(AN102*Population!$B$11*Population!M$41)</f>
        <v>124.41904918256478</v>
      </c>
      <c r="AO103" s="15">
        <f>(AM102+AN102)*Population!$B$12*Population!$M$41+AO102*Population!$B$11*Population!$M$43</f>
        <v>246.18749203583229</v>
      </c>
      <c r="AP103" s="5">
        <f>AO102*Population!M$43*Population!$B$12+AP102*Population!$B$11*Population!M$44</f>
        <v>241.92771008561959</v>
      </c>
      <c r="AQ103" s="5">
        <f>AP102*Population!M$44*Population!$B$12+AQ102*Population!$B$11*Population!M$45</f>
        <v>188.10943811628732</v>
      </c>
      <c r="AR103" s="5">
        <f>(AQ102*Population!$B$12+AR102)*Population!M$46</f>
        <v>459.02045826168802</v>
      </c>
    </row>
    <row r="104" spans="1:44">
      <c r="A104">
        <f>A103+Population!$B$2</f>
        <v>101</v>
      </c>
      <c r="B104" s="4">
        <f t="shared" si="32"/>
        <v>3103</v>
      </c>
      <c r="C104" s="54">
        <f t="shared" si="48"/>
        <v>1188</v>
      </c>
      <c r="D104" s="12">
        <f>AD103*Population!$P$32*Population!$C$2+AF103*Population!$P$34*Population!$C$2+AH103*Population!$P$36*Population!$C$2+AJ103*Population!$P$38*Population!$C$2+AL103*Population!$P$40*Population!$C$2+AN102*Population!$P$42*Population!$C$2</f>
        <v>40.915625937686883</v>
      </c>
      <c r="E104" s="12">
        <f>IF(B103&gt;Population!$B$6*Population!$B$15,Population!$B$8,IF(Population!$J$6=1,D104,Population!$B$8*Population!$B$6*0.9/B103))</f>
        <v>35.642754957229528</v>
      </c>
      <c r="F104" s="12">
        <f>IF(B103&gt;Population!$B$6*0.75,Population!$B$8,E104)</f>
        <v>35.642754957229528</v>
      </c>
      <c r="G104" s="15">
        <f>IF(Population!$J$6=1,IF(E104&gt;H103,H103,E104),IF(E104&gt;X103,X103,E104))</f>
        <v>35.642754957229528</v>
      </c>
      <c r="H104" s="15">
        <f t="shared" ref="H104:H110" si="51">FLOOR(AF104+AH104+AJ104+AL104+AN104,1)</f>
        <v>612</v>
      </c>
      <c r="I104" s="15">
        <f t="shared" ref="I104:I110" si="52">FLOOR(SUM(AA104:AD104),1)</f>
        <v>744</v>
      </c>
      <c r="J104" s="12">
        <f t="shared" ref="J104:J110" si="53">I104/H104</f>
        <v>1.2156862745098038</v>
      </c>
      <c r="K104" s="12">
        <f>AA104*Population!$O$29+AB104*Population!$O$30+AC104*Population!$O$31+AD104*Population!$O$32+AE104*Population!$O$33+AF104*Population!$O$34+AG104*Population!$O$35+AH104*Population!$O$36+AI104*Population!$O$37+AJ104*Population!$O$38+AK104*Population!$O$37+AL104*Population!$O$38+AM104*Population!$O$39+AN104*Population!$O$40+AO104*Population!$O$41+AP104*Population!$O$42+AQ104*Population!$O$43+AR104*Population!$O$44</f>
        <v>8.1418924375286288</v>
      </c>
      <c r="L104" s="12">
        <f t="shared" si="35"/>
        <v>5.8239795681747593E-2</v>
      </c>
      <c r="M104" s="12">
        <f t="shared" ref="M104:M110" si="54">(AE104+AF104+AG104+AH104+AI104+AJ104)/21*0.5</f>
        <v>17.440916294291707</v>
      </c>
      <c r="N104" s="12">
        <f t="shared" si="46"/>
        <v>0.23976796648404769</v>
      </c>
      <c r="O104" s="12">
        <f t="shared" si="37"/>
        <v>1276.9185633127511</v>
      </c>
      <c r="P104" s="12">
        <f t="shared" si="38"/>
        <v>310</v>
      </c>
      <c r="Q104" s="12">
        <f t="shared" si="39"/>
        <v>231.04071834362446</v>
      </c>
      <c r="R104" s="12">
        <f t="shared" ref="R104:R110" si="55">SUM(AR103:AR103)</f>
        <v>459.02045826168802</v>
      </c>
      <c r="S104" s="12">
        <f t="shared" si="49"/>
        <v>0.14867737959922681</v>
      </c>
      <c r="T104" s="12">
        <f t="shared" ref="T104:T110" si="56">X104/H104</f>
        <v>0.88405346134579166</v>
      </c>
      <c r="U104" s="12">
        <f>Population!$B$13*MIN(Y103:Z103)</f>
        <v>17.814847231886688</v>
      </c>
      <c r="V104" s="12">
        <f>X103*Population!$B$14</f>
        <v>3.2532021772525654</v>
      </c>
      <c r="W104" s="12">
        <f>AN103*T103*Population!$B$12</f>
        <v>15.721289586437262</v>
      </c>
      <c r="X104" s="12">
        <f t="shared" ref="X104:X110" si="57">X103+U104-W104-V104</f>
        <v>541.04071834362446</v>
      </c>
      <c r="Y104" s="14">
        <f t="shared" ref="Y104:Y110" si="58">(AE104+AG104+AI104+AK104+AM104)-X104</f>
        <v>71.247225827882517</v>
      </c>
      <c r="Z104" s="13">
        <f t="shared" ref="Z104:Z110" si="59">(AF104+AH104+AJ104+AL104+AN104)-X104</f>
        <v>71.247225827882517</v>
      </c>
      <c r="AA104" s="18">
        <f>(G104+Population!$B$11*AA103)*Population!M$29</f>
        <v>248.79323105337431</v>
      </c>
      <c r="AB104" s="18">
        <f>AA103*Population!$B$12*Population!$M$29+AB103*Population!$B$11*Population!$M$30</f>
        <v>248.37301594305814</v>
      </c>
      <c r="AC104" s="14">
        <f>(AB103*Population!$B$12*0.5*Population!$M$30)+(AC103*Population!$B$11*Population!M$31)</f>
        <v>123.50041285771067</v>
      </c>
      <c r="AD104" s="13">
        <f>(AB103*Population!$B$12*0.5*Population!$M$30)+(AD103*Population!$B$11*Population!M$31)</f>
        <v>123.50041285771067</v>
      </c>
      <c r="AE104" s="14">
        <f>(AC103*Population!$B$12*Population!M$31)+(AE103*Population!$B$11*Population!M$33)</f>
        <v>122.86968720870641</v>
      </c>
      <c r="AF104" s="13">
        <f>(AD103*Population!$B$12*Population!M$31)+(AF103*Population!$B$11*Population!M$33)</f>
        <v>122.86968720870641</v>
      </c>
      <c r="AG104" s="14">
        <f>(AE103*Population!$B$12*Population!M$33)+(AG103*Population!$B$11*Population!M$35)</f>
        <v>121.89398115508074</v>
      </c>
      <c r="AH104" s="13">
        <f>(AF103*Population!$B$12*Population!M$33)+(AH103*Population!$B$11*Population!M$35)</f>
        <v>121.89398115508074</v>
      </c>
      <c r="AI104" s="14">
        <f>(AG103*Population!$B$12*Population!M$35)+(AI103*Population!$B$11*Population!M$37)</f>
        <v>121.49557381633869</v>
      </c>
      <c r="AJ104" s="13">
        <f>(AH103*Population!$B$12*Population!M$35)+(AJ103*Population!$B$11*Population!M$37)</f>
        <v>121.49557381633869</v>
      </c>
      <c r="AK104" s="14">
        <f>(AI103*Population!$B$12*Population!M$37)+(AK103*Population!$B$11*Population!M$39)</f>
        <v>122.12598820639924</v>
      </c>
      <c r="AL104" s="13">
        <f>(AJ103*Population!$B$12*Population!M$37)+(AL103*Population!$B$11*Population!M$39)</f>
        <v>122.12598820639924</v>
      </c>
      <c r="AM104" s="14">
        <f>(AK103*Population!$B$12*Population!M$39)+(AM103*Population!$B$11*Population!M$41)</f>
        <v>123.90271378498186</v>
      </c>
      <c r="AN104" s="13">
        <f>(AL103*Population!$B$12*Population!M$39)+(AN103*Population!$B$11*Population!M$41)</f>
        <v>123.90271378498186</v>
      </c>
      <c r="AO104" s="15">
        <f>(AM103+AN103)*Population!$B$12*Population!$M$41+AO103*Population!$B$11*Population!$M$43</f>
        <v>244.96801793252908</v>
      </c>
      <c r="AP104" s="5">
        <f>AO103*Population!M$43*Population!$B$12+AP103*Population!$B$11*Population!M$44</f>
        <v>240.77786254908079</v>
      </c>
      <c r="AQ104" s="5">
        <f>AP103*Population!M$44*Population!$B$12+AQ103*Population!$B$11*Population!M$45</f>
        <v>187.40151857191626</v>
      </c>
      <c r="AR104" s="5">
        <f>(AQ103*Population!$B$12+AR103)*Population!M$46</f>
        <v>461.34590889640077</v>
      </c>
    </row>
    <row r="105" spans="1:44">
      <c r="A105">
        <f>A104+Population!$B$2</f>
        <v>102</v>
      </c>
      <c r="B105" s="4">
        <f t="shared" si="32"/>
        <v>3100</v>
      </c>
      <c r="C105" s="54">
        <f t="shared" si="48"/>
        <v>1186</v>
      </c>
      <c r="D105" s="12">
        <f>AD104*Population!$P$32*Population!$C$2+AF104*Population!$P$34*Population!$C$2+AH104*Population!$P$36*Population!$C$2+AJ104*Population!$P$38*Population!$C$2+AL104*Population!$P$40*Population!$C$2+AN103*Population!$P$42*Population!$C$2</f>
        <v>40.862624350423566</v>
      </c>
      <c r="E105" s="12">
        <f>IF(B104&gt;Population!$B$6*Population!$B$15,Population!$B$8,IF(Population!$J$6=1,D105,Population!$B$8*Population!$B$6*0.9/B104))</f>
        <v>35.642754957229528</v>
      </c>
      <c r="F105" s="12">
        <f>IF(B104&gt;Population!$B$6*0.75,Population!$B$8,E105)</f>
        <v>35.642754957229528</v>
      </c>
      <c r="G105" s="15">
        <f>IF(Population!$J$6=1,IF(E105&gt;H104,H104,E105),IF(E105&gt;X104,X104,E105))</f>
        <v>35.642754957229528</v>
      </c>
      <c r="H105" s="15">
        <f t="shared" si="51"/>
        <v>611</v>
      </c>
      <c r="I105" s="15">
        <f t="shared" si="52"/>
        <v>744</v>
      </c>
      <c r="J105" s="12">
        <f t="shared" si="53"/>
        <v>1.2176759410801965</v>
      </c>
      <c r="K105" s="12">
        <f>AA105*Population!$O$29+AB105*Population!$O$30+AC105*Population!$O$31+AD105*Population!$O$32+AE105*Population!$O$33+AF105*Population!$O$34+AG105*Population!$O$35+AH105*Population!$O$36+AI105*Population!$O$37+AJ105*Population!$O$38+AK105*Population!$O$37+AL105*Population!$O$38+AM105*Population!$O$39+AN105*Population!$O$40+AO105*Population!$O$41+AP105*Population!$O$42+AQ105*Population!$O$43+AR105*Population!$O$44</f>
        <v>8.1431850031760469</v>
      </c>
      <c r="L105" s="12">
        <f t="shared" si="35"/>
        <v>5.8335114496284007E-2</v>
      </c>
      <c r="M105" s="12">
        <f t="shared" si="54"/>
        <v>17.427512181009131</v>
      </c>
      <c r="N105" s="12">
        <f t="shared" si="46"/>
        <v>0.24</v>
      </c>
      <c r="O105" s="12">
        <f t="shared" si="37"/>
        <v>1276.0836170165762</v>
      </c>
      <c r="P105" s="12">
        <f t="shared" si="38"/>
        <v>310</v>
      </c>
      <c r="Q105" s="12">
        <f t="shared" si="39"/>
        <v>229.95819149171189</v>
      </c>
      <c r="R105" s="12">
        <f t="shared" si="55"/>
        <v>461.34590889640077</v>
      </c>
      <c r="S105" s="12">
        <f t="shared" si="49"/>
        <v>0.14950253405098365</v>
      </c>
      <c r="T105" s="12">
        <f t="shared" si="56"/>
        <v>0.88372862764600968</v>
      </c>
      <c r="U105" s="12">
        <f>Population!$B$13*MIN(Y104:Z104)</f>
        <v>17.811806456970629</v>
      </c>
      <c r="V105" s="12">
        <f>X104*Population!$B$14</f>
        <v>3.2462443100617469</v>
      </c>
      <c r="W105" s="12">
        <f>AN104*T104*Population!$B$12</f>
        <v>15.64808899882145</v>
      </c>
      <c r="X105" s="12">
        <f t="shared" si="57"/>
        <v>539.95819149171189</v>
      </c>
      <c r="Y105" s="14">
        <f t="shared" si="58"/>
        <v>71.23267429876546</v>
      </c>
      <c r="Z105" s="13">
        <f t="shared" si="59"/>
        <v>71.23267429876546</v>
      </c>
      <c r="AA105" s="18">
        <f>(G105+Population!$B$11*AA104)*Population!M$29</f>
        <v>248.7930448572026</v>
      </c>
      <c r="AB105" s="18">
        <f>AA104*Population!$B$12*Population!$M$29+AB104*Population!$B$11*Population!$M$30</f>
        <v>248.37071615548462</v>
      </c>
      <c r="AC105" s="14">
        <f>(AB104*Population!$B$12*0.5*Population!$M$30)+(AC104*Population!$B$11*Population!M$31)</f>
        <v>123.49355254182559</v>
      </c>
      <c r="AD105" s="13">
        <f>(AB104*Population!$B$12*0.5*Population!$M$30)+(AD104*Population!$B$11*Population!M$31)</f>
        <v>123.49355254182559</v>
      </c>
      <c r="AE105" s="14">
        <f>(AC104*Population!$B$12*Population!M$31)+(AE104*Population!$B$11*Population!M$33)</f>
        <v>122.84261019214806</v>
      </c>
      <c r="AF105" s="13">
        <f>(AD104*Population!$B$12*Population!M$31)+(AF104*Population!$B$11*Population!M$33)</f>
        <v>122.84261019214806</v>
      </c>
      <c r="AG105" s="14">
        <f>(AE104*Population!$B$12*Population!M$33)+(AG104*Population!$B$11*Population!M$35)</f>
        <v>121.81603723776777</v>
      </c>
      <c r="AH105" s="13">
        <f>(AF104*Population!$B$12*Population!M$33)+(AH104*Population!$B$11*Population!M$35)</f>
        <v>121.81603723776777</v>
      </c>
      <c r="AI105" s="14">
        <f>(AG104*Population!$B$12*Population!M$35)+(AI104*Population!$B$11*Population!M$37)</f>
        <v>121.31910837127585</v>
      </c>
      <c r="AJ105" s="13">
        <f>(AH104*Population!$B$12*Population!M$35)+(AJ104*Population!$B$11*Population!M$37)</f>
        <v>121.31910837127585</v>
      </c>
      <c r="AK105" s="14">
        <f>(AI104*Population!$B$12*Population!M$37)+(AK104*Population!$B$11*Population!M$39)</f>
        <v>121.80162002412416</v>
      </c>
      <c r="AL105" s="13">
        <f>(AJ104*Population!$B$12*Population!M$37)+(AL104*Population!$B$11*Population!M$39)</f>
        <v>121.80162002412416</v>
      </c>
      <c r="AM105" s="14">
        <f>(AK104*Population!$B$12*Population!M$39)+(AM104*Population!$B$11*Population!M$41)</f>
        <v>123.41148996516159</v>
      </c>
      <c r="AN105" s="13">
        <f>(AL104*Population!$B$12*Population!M$39)+(AN104*Population!$B$11*Population!M$41)</f>
        <v>123.41148996516159</v>
      </c>
      <c r="AO105" s="15">
        <f>(AM104+AN104)*Population!$B$12*Population!$M$41+AO104*Population!$B$11*Population!$M$43</f>
        <v>243.78309142344841</v>
      </c>
      <c r="AP105" s="5">
        <f>AO104*Population!M$43*Population!$B$12+AP104*Population!$B$11*Population!M$44</f>
        <v>239.62647686801685</v>
      </c>
      <c r="AQ105" s="5">
        <f>AP104*Population!M$44*Population!$B$12+AQ104*Population!$B$11*Population!M$45</f>
        <v>186.66231230965406</v>
      </c>
      <c r="AR105" s="5">
        <f>(AQ104*Population!$B$12+AR104)*Population!M$46</f>
        <v>463.45785555804929</v>
      </c>
    </row>
    <row r="106" spans="1:44">
      <c r="A106">
        <f>A105+Population!$B$2</f>
        <v>103</v>
      </c>
      <c r="B106" s="4">
        <f t="shared" si="32"/>
        <v>3096</v>
      </c>
      <c r="C106" s="54">
        <f t="shared" si="48"/>
        <v>1183</v>
      </c>
      <c r="D106" s="12">
        <f>AD105*Population!$P$32*Population!$C$2+AF105*Population!$P$34*Population!$C$2+AH105*Population!$P$36*Population!$C$2+AJ105*Population!$P$38*Population!$C$2+AL105*Population!$P$40*Population!$C$2+AN104*Population!$P$42*Population!$C$2</f>
        <v>40.81339082147084</v>
      </c>
      <c r="E106" s="12">
        <f>IF(B105&gt;Population!$B$6*Population!$B$15,Population!$B$8,IF(Population!$J$6=1,D106,Population!$B$8*Population!$B$6*0.9/B105))</f>
        <v>35.642754957229528</v>
      </c>
      <c r="F106" s="12">
        <f>IF(B105&gt;Population!$B$6*0.75,Population!$B$8,E106)</f>
        <v>35.642754957229528</v>
      </c>
      <c r="G106" s="15">
        <f>IF(Population!$J$6=1,IF(E106&gt;H105,H105,E106),IF(E106&gt;X105,X105,E106))</f>
        <v>35.642754957229528</v>
      </c>
      <c r="H106" s="15">
        <f t="shared" si="51"/>
        <v>610</v>
      </c>
      <c r="I106" s="15">
        <f t="shared" si="52"/>
        <v>744</v>
      </c>
      <c r="J106" s="12">
        <f t="shared" si="53"/>
        <v>1.2196721311475409</v>
      </c>
      <c r="K106" s="12">
        <f>AA106*Population!$O$29+AB106*Population!$O$30+AC106*Population!$O$31+AD106*Population!$O$32+AE106*Population!$O$33+AF106*Population!$O$34+AG106*Population!$O$35+AH106*Population!$O$36+AI106*Population!$O$37+AJ106*Population!$O$38+AK106*Population!$O$37+AL106*Population!$O$38+AM106*Population!$O$39+AN106*Population!$O$40+AO106*Population!$O$41+AP106*Population!$O$42+AQ106*Population!$O$43+AR106*Population!$O$44</f>
        <v>8.1431371972914786</v>
      </c>
      <c r="L106" s="12">
        <f t="shared" si="35"/>
        <v>5.8430745831523814E-2</v>
      </c>
      <c r="M106" s="12">
        <f t="shared" si="54"/>
        <v>17.415284072801459</v>
      </c>
      <c r="N106" s="12">
        <f t="shared" si="46"/>
        <v>0.24031007751937986</v>
      </c>
      <c r="O106" s="12">
        <f t="shared" si="37"/>
        <v>1274.1074257829976</v>
      </c>
      <c r="P106" s="12">
        <f t="shared" si="38"/>
        <v>310</v>
      </c>
      <c r="Q106" s="12">
        <f t="shared" si="39"/>
        <v>228.94628710850122</v>
      </c>
      <c r="R106" s="12">
        <f t="shared" si="55"/>
        <v>463.45785555804929</v>
      </c>
      <c r="S106" s="12">
        <f t="shared" si="49"/>
        <v>0.15031099507007045</v>
      </c>
      <c r="T106" s="12">
        <f t="shared" si="56"/>
        <v>0.88351850345655936</v>
      </c>
      <c r="U106" s="12">
        <f>Population!$B$13*MIN(Y105:Z105)</f>
        <v>17.808168574691365</v>
      </c>
      <c r="V106" s="12">
        <f>X105*Population!$B$14</f>
        <v>3.2397491489502714</v>
      </c>
      <c r="W106" s="12">
        <f>AN105*T105*Population!$B$12</f>
        <v>15.580323808951649</v>
      </c>
      <c r="X106" s="12">
        <f t="shared" si="57"/>
        <v>538.94628710850122</v>
      </c>
      <c r="Y106" s="14">
        <f t="shared" si="58"/>
        <v>71.218641492546453</v>
      </c>
      <c r="Z106" s="13">
        <f t="shared" si="59"/>
        <v>71.218641492546453</v>
      </c>
      <c r="AA106" s="18">
        <f>(G106+Population!$B$11*AA105)*Population!M$29</f>
        <v>248.79288532528025</v>
      </c>
      <c r="AB106" s="18">
        <f>AA105*Population!$B$12*Population!$M$29+AB105*Population!$B$11*Population!$M$30</f>
        <v>248.36871876386977</v>
      </c>
      <c r="AC106" s="14">
        <f>(AB105*Population!$B$12*0.5*Population!$M$30)+(AC105*Population!$B$11*Population!M$31)</f>
        <v>123.48751364138491</v>
      </c>
      <c r="AD106" s="13">
        <f>(AB105*Population!$B$12*0.5*Population!$M$30)+(AD105*Population!$B$11*Population!M$31)</f>
        <v>123.48751364138491</v>
      </c>
      <c r="AE106" s="14">
        <f>(AC105*Population!$B$12*Population!M$31)+(AE105*Population!$B$11*Population!M$33)</f>
        <v>122.81844432772328</v>
      </c>
      <c r="AF106" s="13">
        <f>(AD105*Population!$B$12*Population!M$31)+(AF105*Population!$B$11*Population!M$33)</f>
        <v>122.81844432772328</v>
      </c>
      <c r="AG106" s="14">
        <f>(AE105*Population!$B$12*Population!M$33)+(AG105*Population!$B$11*Population!M$35)</f>
        <v>121.74549198032321</v>
      </c>
      <c r="AH106" s="13">
        <f>(AF105*Population!$B$12*Population!M$33)+(AH105*Population!$B$11*Population!M$35)</f>
        <v>121.74549198032321</v>
      </c>
      <c r="AI106" s="14">
        <f>(AG105*Population!$B$12*Population!M$35)+(AI105*Population!$B$11*Population!M$37)</f>
        <v>121.15702922078417</v>
      </c>
      <c r="AJ106" s="13">
        <f>(AH105*Population!$B$12*Population!M$35)+(AJ105*Population!$B$11*Population!M$37)</f>
        <v>121.15702922078417</v>
      </c>
      <c r="AK106" s="14">
        <f>(AI105*Population!$B$12*Population!M$37)+(AK105*Population!$B$11*Population!M$39)</f>
        <v>121.49896302361002</v>
      </c>
      <c r="AL106" s="13">
        <f>(AJ105*Population!$B$12*Population!M$37)+(AL105*Population!$B$11*Population!M$39)</f>
        <v>121.49896302361002</v>
      </c>
      <c r="AM106" s="14">
        <f>(AK105*Population!$B$12*Population!M$39)+(AM105*Population!$B$11*Population!M$41)</f>
        <v>122.94500004860696</v>
      </c>
      <c r="AN106" s="13">
        <f>(AL105*Population!$B$12*Population!M$39)+(AN105*Population!$B$11*Population!M$41)</f>
        <v>122.94500004860696</v>
      </c>
      <c r="AO106" s="15">
        <f>(AM105+AN105)*Population!$B$12*Population!$M$41+AO105*Population!$B$11*Population!$M$43</f>
        <v>242.63472341037536</v>
      </c>
      <c r="AP106" s="5">
        <f>AO105*Population!M$43*Population!$B$12+AP105*Population!$B$11*Population!M$44</f>
        <v>238.47868192499587</v>
      </c>
      <c r="AQ106" s="5">
        <f>AP105*Population!M$44*Population!$B$12+AQ105*Population!$B$11*Population!M$45</f>
        <v>185.89742552304941</v>
      </c>
      <c r="AR106" s="5">
        <f>(AQ105*Population!$B$12+AR105)*Population!M$46</f>
        <v>465.3628407369381</v>
      </c>
    </row>
    <row r="107" spans="1:44">
      <c r="A107">
        <f>A106+Population!$B$2</f>
        <v>104</v>
      </c>
      <c r="B107" s="4">
        <f t="shared" si="32"/>
        <v>3093</v>
      </c>
      <c r="C107" s="54">
        <f t="shared" si="48"/>
        <v>1182</v>
      </c>
      <c r="D107" s="12">
        <f>AD106*Population!$P$32*Population!$C$2+AF106*Population!$P$34*Population!$C$2+AH106*Population!$P$36*Population!$C$2+AJ106*Population!$P$38*Population!$C$2+AL106*Population!$P$40*Population!$C$2+AN105*Population!$P$42*Population!$C$2</f>
        <v>40.767698266908106</v>
      </c>
      <c r="E107" s="12">
        <f>IF(B106&gt;Population!$B$6*Population!$B$15,Population!$B$8,IF(Population!$J$6=1,D107,Population!$B$8*Population!$B$6*0.9/B106))</f>
        <v>35.642754957229528</v>
      </c>
      <c r="F107" s="12">
        <f>IF(B106&gt;Population!$B$6*0.75,Population!$B$8,E107)</f>
        <v>35.642754957229528</v>
      </c>
      <c r="G107" s="15">
        <f>IF(Population!$J$6=1,IF(E107&gt;H106,H106,E107),IF(E107&gt;X106,X106,E107))</f>
        <v>35.642754957229528</v>
      </c>
      <c r="H107" s="15">
        <f t="shared" si="51"/>
        <v>609</v>
      </c>
      <c r="I107" s="15">
        <f t="shared" si="52"/>
        <v>744</v>
      </c>
      <c r="J107" s="12">
        <f t="shared" si="53"/>
        <v>1.2216748768472907</v>
      </c>
      <c r="K107" s="12">
        <f>AA107*Population!$O$29+AB107*Population!$O$30+AC107*Population!$O$31+AD107*Population!$O$32+AE107*Population!$O$33+AF107*Population!$O$34+AG107*Population!$O$35+AH107*Population!$O$36+AI107*Population!$O$37+AJ107*Population!$O$38+AK107*Population!$O$37+AL107*Population!$O$38+AM107*Population!$O$39+AN107*Population!$O$40+AO107*Population!$O$41+AP107*Population!$O$42+AQ107*Population!$O$43+AR107*Population!$O$44</f>
        <v>8.141836709504032</v>
      </c>
      <c r="L107" s="12">
        <f t="shared" si="35"/>
        <v>5.852669122697788E-2</v>
      </c>
      <c r="M107" s="12">
        <f t="shared" si="54"/>
        <v>17.404137750278679</v>
      </c>
      <c r="N107" s="12">
        <f t="shared" si="46"/>
        <v>0.24054316197866149</v>
      </c>
      <c r="O107" s="12">
        <f t="shared" si="37"/>
        <v>1273.0009411821441</v>
      </c>
      <c r="P107" s="12">
        <f t="shared" si="38"/>
        <v>310</v>
      </c>
      <c r="Q107" s="12">
        <f t="shared" si="39"/>
        <v>227.99952940892797</v>
      </c>
      <c r="R107" s="12">
        <f t="shared" si="55"/>
        <v>465.3628407369381</v>
      </c>
      <c r="S107" s="12">
        <f t="shared" si="49"/>
        <v>0.15100803000997556</v>
      </c>
      <c r="T107" s="12">
        <f t="shared" si="56"/>
        <v>0.88341466241203281</v>
      </c>
      <c r="U107" s="12">
        <f>Population!$B$13*MIN(Y106:Z106)</f>
        <v>17.804660373136613</v>
      </c>
      <c r="V107" s="12">
        <f>X106*Population!$B$14</f>
        <v>3.2336777226510076</v>
      </c>
      <c r="W107" s="12">
        <f>AN106*T106*Population!$B$12</f>
        <v>15.517740350058833</v>
      </c>
      <c r="X107" s="12">
        <f t="shared" si="57"/>
        <v>537.99952940892797</v>
      </c>
      <c r="Y107" s="14">
        <f t="shared" si="58"/>
        <v>71.207060020923564</v>
      </c>
      <c r="Z107" s="13">
        <f t="shared" si="59"/>
        <v>71.207060020923564</v>
      </c>
      <c r="AA107" s="18">
        <f>(G107+Population!$B$11*AA106)*Population!M$29</f>
        <v>248.79274863914964</v>
      </c>
      <c r="AB107" s="18">
        <f>AA106*Population!$B$12*Population!$M$29+AB106*Population!$B$11*Population!$M$30</f>
        <v>248.36698431810368</v>
      </c>
      <c r="AC107" s="14">
        <f>(AB106*Population!$B$12*0.5*Population!$M$30)+(AC106*Population!$B$11*Population!M$31)</f>
        <v>123.48219973519744</v>
      </c>
      <c r="AD107" s="13">
        <f>(AB106*Population!$B$12*0.5*Population!$M$30)+(AD106*Population!$B$11*Population!M$31)</f>
        <v>123.48219973519744</v>
      </c>
      <c r="AE107" s="14">
        <f>(AC106*Population!$B$12*Population!M$31)+(AE106*Population!$B$11*Population!M$33)</f>
        <v>122.79688859179407</v>
      </c>
      <c r="AF107" s="13">
        <f>(AD106*Population!$B$12*Population!M$31)+(AF106*Population!$B$11*Population!M$33)</f>
        <v>122.79688859179407</v>
      </c>
      <c r="AG107" s="14">
        <f>(AE106*Population!$B$12*Population!M$33)+(AG106*Population!$B$11*Population!M$35)</f>
        <v>121.6816917378007</v>
      </c>
      <c r="AH107" s="13">
        <f>(AF106*Population!$B$12*Population!M$33)+(AH106*Population!$B$11*Population!M$35)</f>
        <v>121.6816917378007</v>
      </c>
      <c r="AI107" s="14">
        <f>(AG106*Population!$B$12*Population!M$35)+(AI106*Population!$B$11*Population!M$37)</f>
        <v>121.0083124262575</v>
      </c>
      <c r="AJ107" s="13">
        <f>(AH106*Population!$B$12*Population!M$35)+(AJ106*Population!$B$11*Population!M$37)</f>
        <v>121.0083124262575</v>
      </c>
      <c r="AK107" s="14">
        <f>(AI106*Population!$B$12*Population!M$37)+(AK106*Population!$B$11*Population!M$39)</f>
        <v>121.21693111604405</v>
      </c>
      <c r="AL107" s="13">
        <f>(AJ106*Population!$B$12*Population!M$37)+(AL106*Population!$B$11*Population!M$39)</f>
        <v>121.21693111604405</v>
      </c>
      <c r="AM107" s="14">
        <f>(AK106*Population!$B$12*Population!M$39)+(AM106*Population!$B$11*Population!M$41)</f>
        <v>122.50276555795521</v>
      </c>
      <c r="AN107" s="13">
        <f>(AL106*Population!$B$12*Population!M$39)+(AN106*Population!$B$11*Population!M$41)</f>
        <v>122.50276555795521</v>
      </c>
      <c r="AO107" s="15">
        <f>(AM106+AN106)*Population!$B$12*Population!$M$41+AO106*Population!$B$11*Population!$M$43</f>
        <v>241.52451732727545</v>
      </c>
      <c r="AP107" s="5">
        <f>AO106*Population!M$43*Population!$B$12+AP106*Population!$B$11*Population!M$44</f>
        <v>237.33912722169828</v>
      </c>
      <c r="AQ107" s="5">
        <f>AP106*Population!M$44*Population!$B$12+AQ106*Population!$B$11*Population!M$45</f>
        <v>185.11214814211274</v>
      </c>
      <c r="AR107" s="5">
        <f>(AQ106*Population!$B$12+AR106)*Population!M$46</f>
        <v>467.06783682085444</v>
      </c>
    </row>
    <row r="108" spans="1:44">
      <c r="A108">
        <f>A107+Population!$B$2</f>
        <v>105</v>
      </c>
      <c r="B108" s="4">
        <f t="shared" si="32"/>
        <v>3090</v>
      </c>
      <c r="C108" s="54">
        <f t="shared" si="48"/>
        <v>1180</v>
      </c>
      <c r="D108" s="12">
        <f>AD107*Population!$P$32*Population!$C$2+AF107*Population!$P$34*Population!$C$2+AH107*Population!$P$36*Population!$C$2+AJ107*Population!$P$38*Population!$C$2+AL107*Population!$P$40*Population!$C$2+AN106*Population!$P$42*Population!$C$2</f>
        <v>40.725328963112254</v>
      </c>
      <c r="E108" s="12">
        <f>IF(B107&gt;Population!$B$6*Population!$B$15,Population!$B$8,IF(Population!$J$6=1,D108,Population!$B$8*Population!$B$6*0.9/B107))</f>
        <v>35.642754957229528</v>
      </c>
      <c r="F108" s="12">
        <f>IF(B107&gt;Population!$B$6*0.75,Population!$B$8,E108)</f>
        <v>35.642754957229528</v>
      </c>
      <c r="G108" s="15">
        <f>IF(Population!$J$6=1,IF(E108&gt;H107,H107,E108),IF(E108&gt;X107,X107,E108))</f>
        <v>35.642754957229528</v>
      </c>
      <c r="H108" s="15">
        <f t="shared" si="51"/>
        <v>608</v>
      </c>
      <c r="I108" s="15">
        <f t="shared" si="52"/>
        <v>744</v>
      </c>
      <c r="J108" s="12">
        <f t="shared" si="53"/>
        <v>1.2236842105263157</v>
      </c>
      <c r="K108" s="12">
        <f>AA108*Population!$O$29+AB108*Population!$O$30+AC108*Population!$O$31+AD108*Population!$O$32+AE108*Population!$O$33+AF108*Population!$O$34+AG108*Population!$O$35+AH108*Population!$O$36+AI108*Population!$O$37+AJ108*Population!$O$38+AK108*Population!$O$37+AL108*Population!$O$38+AM108*Population!$O$39+AN108*Population!$O$40+AO108*Population!$O$41+AP108*Population!$O$42+AQ108*Population!$O$43+AR108*Population!$O$44</f>
        <v>8.1393701032151284</v>
      </c>
      <c r="L108" s="12">
        <f t="shared" si="35"/>
        <v>5.8622952232285405E-2</v>
      </c>
      <c r="M108" s="12">
        <f t="shared" si="54"/>
        <v>17.393985457984051</v>
      </c>
      <c r="N108" s="12">
        <f t="shared" si="46"/>
        <v>0.24077669902912621</v>
      </c>
      <c r="O108" s="12">
        <f t="shared" si="37"/>
        <v>1271.7736167474241</v>
      </c>
      <c r="P108" s="12">
        <f t="shared" si="38"/>
        <v>310</v>
      </c>
      <c r="Q108" s="12">
        <f t="shared" si="39"/>
        <v>227.11319162628797</v>
      </c>
      <c r="R108" s="12">
        <f t="shared" si="55"/>
        <v>467.06783682085444</v>
      </c>
      <c r="S108" s="12">
        <f t="shared" si="49"/>
        <v>0.15164407167594207</v>
      </c>
      <c r="T108" s="12">
        <f t="shared" si="56"/>
        <v>0.88340985464849997</v>
      </c>
      <c r="U108" s="12">
        <f>Population!$B$13*MIN(Y107:Z107)</f>
        <v>17.801765005230891</v>
      </c>
      <c r="V108" s="12">
        <f>X107*Population!$B$14</f>
        <v>3.227997176453568</v>
      </c>
      <c r="W108" s="12">
        <f>AN107*T107*Population!$B$12</f>
        <v>15.460105611417342</v>
      </c>
      <c r="X108" s="12">
        <f t="shared" si="57"/>
        <v>537.11319162628797</v>
      </c>
      <c r="Y108" s="14">
        <f t="shared" si="58"/>
        <v>71.199174450378791</v>
      </c>
      <c r="Z108" s="13">
        <f t="shared" si="59"/>
        <v>71.199174450378791</v>
      </c>
      <c r="AA108" s="18">
        <f>(G108+Population!$B$11*AA107)*Population!M$29</f>
        <v>248.79263152717587</v>
      </c>
      <c r="AB108" s="18">
        <f>AA107*Population!$B$12*Population!$M$29+AB107*Population!$B$11*Population!$M$30</f>
        <v>248.36547846614209</v>
      </c>
      <c r="AC108" s="14">
        <f>(AB107*Population!$B$12*0.5*Population!$M$30)+(AC107*Population!$B$11*Population!M$31)</f>
        <v>123.47752543805926</v>
      </c>
      <c r="AD108" s="13">
        <f>(AB107*Population!$B$12*0.5*Population!$M$30)+(AD107*Population!$B$11*Population!M$31)</f>
        <v>123.47752543805926</v>
      </c>
      <c r="AE108" s="14">
        <f>(AC107*Population!$B$12*Population!M$31)+(AE107*Population!$B$11*Population!M$33)</f>
        <v>122.77767144866377</v>
      </c>
      <c r="AF108" s="13">
        <f>(AD107*Population!$B$12*Population!M$31)+(AF107*Population!$B$11*Population!M$33)</f>
        <v>122.77767144866377</v>
      </c>
      <c r="AG108" s="14">
        <f>(AE107*Population!$B$12*Population!M$33)+(AG107*Population!$B$11*Population!M$35)</f>
        <v>121.62403435642155</v>
      </c>
      <c r="AH108" s="13">
        <f>(AF107*Population!$B$12*Population!M$33)+(AH107*Population!$B$11*Population!M$35)</f>
        <v>121.62403435642155</v>
      </c>
      <c r="AI108" s="14">
        <f>(AG107*Population!$B$12*Population!M$35)+(AI107*Population!$B$11*Population!M$37)</f>
        <v>120.87198881257981</v>
      </c>
      <c r="AJ108" s="13">
        <f>(AH107*Population!$B$12*Population!M$35)+(AJ107*Population!$B$11*Population!M$37)</f>
        <v>120.87198881257981</v>
      </c>
      <c r="AK108" s="14">
        <f>(AI107*Population!$B$12*Population!M$37)+(AK107*Population!$B$11*Population!M$39)</f>
        <v>120.95444915945808</v>
      </c>
      <c r="AL108" s="13">
        <f>(AJ107*Population!$B$12*Population!M$37)+(AL107*Population!$B$11*Population!M$39)</f>
        <v>120.95444915945808</v>
      </c>
      <c r="AM108" s="14">
        <f>(AK107*Population!$B$12*Population!M$39)+(AM107*Population!$B$11*Population!M$41)</f>
        <v>122.08422229954355</v>
      </c>
      <c r="AN108" s="13">
        <f>(AL107*Population!$B$12*Population!M$39)+(AN107*Population!$B$11*Population!M$41)</f>
        <v>122.08422229954355</v>
      </c>
      <c r="AO108" s="15">
        <f>(AM107+AN107)*Population!$B$12*Population!$M$41+AO107*Population!$B$11*Population!$M$43</f>
        <v>240.45370113658348</v>
      </c>
      <c r="AP108" s="5">
        <f>AO107*Population!M$43*Population!$B$12+AP107*Population!$B$11*Population!M$44</f>
        <v>236.21199655324267</v>
      </c>
      <c r="AQ108" s="5">
        <f>AP107*Population!M$44*Population!$B$12+AQ107*Population!$B$11*Population!M$45</f>
        <v>184.31144472245433</v>
      </c>
      <c r="AR108" s="5">
        <f>(AQ107*Population!$B$12+AR107)*Population!M$46</f>
        <v>468.58018147866102</v>
      </c>
    </row>
    <row r="109" spans="1:44">
      <c r="A109">
        <f>A108+Population!$B$2</f>
        <v>106</v>
      </c>
      <c r="B109" s="4">
        <f t="shared" si="32"/>
        <v>3086</v>
      </c>
      <c r="C109" s="54">
        <f t="shared" si="48"/>
        <v>1178</v>
      </c>
      <c r="D109" s="12">
        <f>AD108*Population!$P$32*Population!$C$2+AF108*Population!$P$34*Population!$C$2+AH108*Population!$P$36*Population!$C$2+AJ108*Population!$P$38*Population!$C$2+AL108*Population!$P$40*Population!$C$2+AN107*Population!$P$42*Population!$C$2</f>
        <v>40.686074658416231</v>
      </c>
      <c r="E109" s="12">
        <f>IF(B108&gt;Population!$B$6*Population!$B$15,Population!$B$8,IF(Population!$J$6=1,D109,Population!$B$8*Population!$B$6*0.9/B108))</f>
        <v>35.642754957229528</v>
      </c>
      <c r="F109" s="12">
        <f>IF(B108&gt;Population!$B$6*0.75,Population!$B$8,E109)</f>
        <v>35.642754957229528</v>
      </c>
      <c r="G109" s="15">
        <f>IF(Population!$J$6=1,IF(E109&gt;H108,H108,E109),IF(E109&gt;X108,X108,E109))</f>
        <v>35.642754957229528</v>
      </c>
      <c r="H109" s="15">
        <f t="shared" si="51"/>
        <v>607</v>
      </c>
      <c r="I109" s="15">
        <f t="shared" si="52"/>
        <v>744</v>
      </c>
      <c r="J109" s="12">
        <f t="shared" si="53"/>
        <v>1.2257001647446457</v>
      </c>
      <c r="K109" s="12">
        <f>AA109*Population!$O$29+AB109*Population!$O$30+AC109*Population!$O$31+AD109*Population!$O$32+AE109*Population!$O$33+AF109*Population!$O$34+AG109*Population!$O$35+AH109*Population!$O$36+AI109*Population!$O$37+AJ109*Population!$O$38+AK109*Population!$O$37+AL109*Population!$O$38+AM109*Population!$O$39+AN109*Population!$O$40+AO109*Population!$O$41+AP109*Population!$O$42+AQ109*Population!$O$43+AR109*Population!$O$44</f>
        <v>8.1358224690088647</v>
      </c>
      <c r="L109" s="12">
        <f t="shared" si="35"/>
        <v>5.871953040729741E-2</v>
      </c>
      <c r="M109" s="12">
        <f t="shared" si="54"/>
        <v>17.384745596518965</v>
      </c>
      <c r="N109" s="12">
        <f t="shared" si="46"/>
        <v>0.24108878807517822</v>
      </c>
      <c r="O109" s="12">
        <f t="shared" si="37"/>
        <v>1269.4337892721828</v>
      </c>
      <c r="P109" s="12">
        <f t="shared" si="38"/>
        <v>310</v>
      </c>
      <c r="Q109" s="12">
        <f t="shared" si="39"/>
        <v>226.28310536390859</v>
      </c>
      <c r="R109" s="12">
        <f t="shared" si="55"/>
        <v>468.58018147866102</v>
      </c>
      <c r="S109" s="12">
        <f t="shared" si="49"/>
        <v>0.15227074370463797</v>
      </c>
      <c r="T109" s="12">
        <f t="shared" si="56"/>
        <v>0.88349770241171099</v>
      </c>
      <c r="U109" s="12">
        <f>Population!$B$13*MIN(Y108:Z108)</f>
        <v>17.799793612594698</v>
      </c>
      <c r="V109" s="12">
        <f>X108*Population!$B$14</f>
        <v>3.2226791497577278</v>
      </c>
      <c r="W109" s="12">
        <f>AN108*T108*Population!$B$12</f>
        <v>15.407200725216418</v>
      </c>
      <c r="X109" s="12">
        <f t="shared" si="57"/>
        <v>536.28310536390859</v>
      </c>
      <c r="Y109" s="14">
        <f t="shared" si="58"/>
        <v>71.195745658694477</v>
      </c>
      <c r="Z109" s="13">
        <f t="shared" si="59"/>
        <v>71.195745658694477</v>
      </c>
      <c r="AA109" s="18">
        <f>(G109+Population!$B$11*AA108)*Population!M$29</f>
        <v>248.79253118623905</v>
      </c>
      <c r="AB109" s="18">
        <f>AA108*Population!$B$12*Population!$M$29+AB108*Population!$B$11*Population!$M$30</f>
        <v>248.36417130281416</v>
      </c>
      <c r="AC109" s="14">
        <f>(AB108*Population!$B$12*0.5*Population!$M$30)+(AC108*Population!$B$11*Population!M$31)</f>
        <v>123.47341517923492</v>
      </c>
      <c r="AD109" s="13">
        <f>(AB108*Population!$B$12*0.5*Population!$M$30)+(AD108*Population!$B$11*Population!M$31)</f>
        <v>123.47341517923492</v>
      </c>
      <c r="AE109" s="14">
        <f>(AC108*Population!$B$12*Population!M$31)+(AE108*Population!$B$11*Population!M$33)</f>
        <v>122.76054818899371</v>
      </c>
      <c r="AF109" s="13">
        <f>(AD108*Population!$B$12*Population!M$31)+(AF108*Population!$B$11*Population!M$33)</f>
        <v>122.76054818899371</v>
      </c>
      <c r="AG109" s="14">
        <f>(AE108*Population!$B$12*Population!M$33)+(AG108*Population!$B$11*Population!M$35)</f>
        <v>121.57196594150236</v>
      </c>
      <c r="AH109" s="13">
        <f>(AF108*Population!$B$12*Population!M$33)+(AH108*Population!$B$11*Population!M$35)</f>
        <v>121.57196594150236</v>
      </c>
      <c r="AI109" s="14">
        <f>(AG108*Population!$B$12*Population!M$35)+(AI108*Population!$B$11*Population!M$37)</f>
        <v>120.74714339640218</v>
      </c>
      <c r="AJ109" s="13">
        <f>(AH108*Population!$B$12*Population!M$35)+(AJ108*Population!$B$11*Population!M$37)</f>
        <v>120.74714339640218</v>
      </c>
      <c r="AK109" s="14">
        <f>(AI108*Population!$B$12*Population!M$37)+(AK108*Population!$B$11*Population!M$39)</f>
        <v>120.71045918521303</v>
      </c>
      <c r="AL109" s="13">
        <f>(AJ108*Population!$B$12*Population!M$37)+(AL108*Population!$B$11*Population!M$39)</f>
        <v>120.71045918521303</v>
      </c>
      <c r="AM109" s="14">
        <f>(AK108*Population!$B$12*Population!M$39)+(AM108*Population!$B$11*Population!M$41)</f>
        <v>121.6887343104918</v>
      </c>
      <c r="AN109" s="13">
        <f>(AL108*Population!$B$12*Population!M$39)+(AN108*Population!$B$11*Population!M$41)</f>
        <v>121.6887343104918</v>
      </c>
      <c r="AO109" s="15">
        <f>(AM108+AN108)*Population!$B$12*Population!$M$41+AO108*Population!$B$11*Population!$M$43</f>
        <v>239.4231588579309</v>
      </c>
      <c r="AP109" s="5">
        <f>AO108*Population!M$43*Population!$B$12+AP108*Population!$B$11*Population!M$44</f>
        <v>235.10102418181904</v>
      </c>
      <c r="AQ109" s="5">
        <f>AP108*Population!M$44*Population!$B$12+AQ108*Population!$B$11*Population!M$45</f>
        <v>183.49994896981249</v>
      </c>
      <c r="AR109" s="5">
        <f>(AQ108*Population!$B$12+AR108)*Population!M$46</f>
        <v>469.90751507251275</v>
      </c>
    </row>
    <row r="110" spans="1:44">
      <c r="A110">
        <f>A109+Population!$B$2</f>
        <v>107</v>
      </c>
      <c r="B110" s="4">
        <f t="shared" si="32"/>
        <v>3083</v>
      </c>
      <c r="C110" s="54">
        <f t="shared" si="48"/>
        <v>1177</v>
      </c>
      <c r="D110" s="12">
        <f>AD109*Population!$P$32*Population!$C$2+AF109*Population!$P$34*Population!$C$2+AH109*Population!$P$36*Population!$C$2+AJ109*Population!$P$38*Population!$C$2+AL109*Population!$P$40*Population!$C$2+AN108*Population!$P$42*Population!$C$2</f>
        <v>40.649736607575804</v>
      </c>
      <c r="E110" s="12">
        <f>IF(B109&gt;Population!$B$6*Population!$B$15,Population!$B$8,IF(Population!$J$6=1,D110,Population!$B$8*Population!$B$6*0.9/B109))</f>
        <v>35.642754957229528</v>
      </c>
      <c r="F110" s="12">
        <f>IF(B109&gt;Population!$B$6*0.75,Population!$B$8,E110)</f>
        <v>35.642754957229528</v>
      </c>
      <c r="G110" s="15">
        <f>IF(Population!$J$6=1,IF(E110&gt;H109,H109,E110),IF(E110&gt;X109,X109,E110))</f>
        <v>35.642754957229528</v>
      </c>
      <c r="H110" s="15">
        <f t="shared" si="51"/>
        <v>606</v>
      </c>
      <c r="I110" s="15">
        <f t="shared" si="52"/>
        <v>744</v>
      </c>
      <c r="J110" s="12">
        <f t="shared" si="53"/>
        <v>1.2277227722772277</v>
      </c>
      <c r="K110" s="12">
        <f>AA110*Population!$O$29+AB110*Population!$O$30+AC110*Population!$O$31+AD110*Population!$O$32+AE110*Population!$O$33+AF110*Population!$O$34+AG110*Population!$O$35+AH110*Population!$O$36+AI110*Population!$O$37+AJ110*Population!$O$38+AK110*Population!$O$37+AL110*Population!$O$38+AM110*Population!$O$39+AN110*Population!$O$40+AO110*Population!$O$41+AP110*Population!$O$42+AQ110*Population!$O$43+AR110*Population!$O$44</f>
        <v>8.1312771136397135</v>
      </c>
      <c r="L110" s="12">
        <f t="shared" si="35"/>
        <v>5.8816427322160934E-2</v>
      </c>
      <c r="M110" s="12">
        <f t="shared" si="54"/>
        <v>17.376342410716365</v>
      </c>
      <c r="N110" s="12">
        <f t="shared" si="46"/>
        <v>0.24132338631203373</v>
      </c>
      <c r="O110" s="12">
        <f t="shared" si="37"/>
        <v>1267.9889471851193</v>
      </c>
      <c r="P110" s="12">
        <f t="shared" si="38"/>
        <v>310</v>
      </c>
      <c r="Q110" s="12">
        <f t="shared" si="39"/>
        <v>225.50552640744036</v>
      </c>
      <c r="R110" s="12">
        <f t="shared" si="55"/>
        <v>469.90751507251275</v>
      </c>
      <c r="S110" s="12">
        <f t="shared" si="49"/>
        <v>0.15279199496896359</v>
      </c>
      <c r="T110" s="12">
        <f t="shared" si="56"/>
        <v>0.88367248582085867</v>
      </c>
      <c r="U110" s="12">
        <f>Population!$B$13*MIN(Y109:Z109)</f>
        <v>17.798936414673619</v>
      </c>
      <c r="V110" s="12">
        <f>X109*Population!$B$14</f>
        <v>3.2176986321834518</v>
      </c>
      <c r="W110" s="12">
        <f>AN109*T109*Population!$B$12</f>
        <v>15.358816738958376</v>
      </c>
      <c r="X110" s="12">
        <f t="shared" si="57"/>
        <v>535.50552640744036</v>
      </c>
      <c r="Y110" s="14">
        <f t="shared" si="58"/>
        <v>71.197196539005745</v>
      </c>
      <c r="Z110" s="13">
        <f t="shared" si="59"/>
        <v>71.197196539005745</v>
      </c>
      <c r="AA110" s="18">
        <f>(G110+Population!$B$11*AA109)*Population!M$29</f>
        <v>248.79244521464042</v>
      </c>
      <c r="AB110" s="18">
        <f>AA109*Population!$B$12*Population!$M$29+AB109*Population!$B$11*Population!$M$30</f>
        <v>248.36303680060053</v>
      </c>
      <c r="AC110" s="14">
        <f>(AB109*Population!$B$12*0.5*Population!$M$30)+(AC109*Population!$B$11*Population!M$31)</f>
        <v>123.46980210993574</v>
      </c>
      <c r="AD110" s="13">
        <f>(AB109*Population!$B$12*0.5*Population!$M$30)+(AD109*Population!$B$11*Population!M$31)</f>
        <v>123.46980210993574</v>
      </c>
      <c r="AE110" s="14">
        <f>(AC109*Population!$B$12*Population!M$31)+(AE109*Population!$B$11*Population!M$33)</f>
        <v>122.74529847628382</v>
      </c>
      <c r="AF110" s="13">
        <f>(AD109*Population!$B$12*Population!M$31)+(AF109*Population!$B$11*Population!M$33)</f>
        <v>122.74529847628382</v>
      </c>
      <c r="AG110" s="14">
        <f>(AE109*Population!$B$12*Population!M$33)+(AG109*Population!$B$11*Population!M$35)</f>
        <v>121.52497771256253</v>
      </c>
      <c r="AH110" s="13">
        <f>(AF109*Population!$B$12*Population!M$33)+(AH109*Population!$B$11*Population!M$35)</f>
        <v>121.52497771256253</v>
      </c>
      <c r="AI110" s="14">
        <f>(AG109*Population!$B$12*Population!M$35)+(AI109*Population!$B$11*Population!M$37)</f>
        <v>120.63291443619731</v>
      </c>
      <c r="AJ110" s="13">
        <f>(AH109*Population!$B$12*Population!M$35)+(AJ109*Population!$B$11*Population!M$37)</f>
        <v>120.63291443619731</v>
      </c>
      <c r="AK110" s="14">
        <f>(AI109*Population!$B$12*Population!M$37)+(AK109*Population!$B$11*Population!M$39)</f>
        <v>120.4839256432208</v>
      </c>
      <c r="AL110" s="13">
        <f>(AJ109*Population!$B$12*Population!M$37)+(AL109*Population!$B$11*Population!M$39)</f>
        <v>120.4839256432208</v>
      </c>
      <c r="AM110" s="14">
        <f>(AK109*Population!$B$12*Population!M$39)+(AM109*Population!$B$11*Population!M$41)</f>
        <v>121.31560667818162</v>
      </c>
      <c r="AN110" s="13">
        <f>(AL109*Population!$B$12*Population!M$39)+(AN109*Population!$B$11*Population!M$41)</f>
        <v>121.31560667818162</v>
      </c>
      <c r="AO110" s="15">
        <f>(AM109+AN109)*Population!$B$12*Population!$M$41+AO109*Population!$B$11*Population!$M$43</f>
        <v>238.43346137407099</v>
      </c>
      <c r="AP110" s="5">
        <f>AO109*Population!M$43*Population!$B$12+AP109*Population!$B$11*Population!M$44</f>
        <v>234.00951307074516</v>
      </c>
      <c r="AQ110" s="5">
        <f>AP109*Population!M$44*Population!$B$12+AQ109*Population!$B$11*Population!M$45</f>
        <v>182.68196157766374</v>
      </c>
      <c r="AR110" s="5">
        <f>(AQ109*Population!$B$12+AR109)*Population!M$46</f>
        <v>471.05772048931476</v>
      </c>
    </row>
    <row r="111" spans="1:44">
      <c r="A111">
        <f>A110+Population!$B$2</f>
        <v>108</v>
      </c>
      <c r="B111" s="4">
        <f t="shared" si="32"/>
        <v>3080</v>
      </c>
      <c r="C111" s="54">
        <f t="shared" si="48"/>
        <v>1176</v>
      </c>
      <c r="D111" s="12">
        <f>AD110*Population!$P$32*Population!$C$2+AF110*Population!$P$34*Population!$C$2+AH110*Population!$P$36*Population!$C$2+AJ110*Population!$P$38*Population!$C$2+AL110*Population!$P$40*Population!$C$2+AN109*Population!$P$42*Population!$C$2</f>
        <v>40.616125538980732</v>
      </c>
      <c r="E111" s="12">
        <f>IF(B110&gt;Population!$B$6*Population!$B$15,Population!$B$8,IF(Population!$J$6=1,D111,Population!$B$8*Population!$B$6*0.9/B110))</f>
        <v>35.642754957229528</v>
      </c>
      <c r="F111" s="12">
        <f>IF(B110&gt;Population!$B$6*0.75,Population!$B$8,E111)</f>
        <v>35.642754957229528</v>
      </c>
      <c r="G111" s="15">
        <f>IF(Population!$J$6=1,IF(E111&gt;H110,H110,E111),IF(E111&gt;X110,X110,E111))</f>
        <v>35.642754957229528</v>
      </c>
      <c r="H111" s="15">
        <f t="shared" ref="H111:H115" si="60">FLOOR(AF111+AH111+AJ111+AL111+AN111,1)</f>
        <v>605</v>
      </c>
      <c r="I111" s="15">
        <f t="shared" ref="I111:I115" si="61">FLOOR(SUM(AA111:AD111),1)</f>
        <v>744</v>
      </c>
      <c r="J111" s="12">
        <f t="shared" ref="J111:J115" si="62">I111/H111</f>
        <v>1.2297520661157024</v>
      </c>
      <c r="K111" s="12">
        <f>AA111*Population!$O$29+AB111*Population!$O$30+AC111*Population!$O$31+AD111*Population!$O$32+AE111*Population!$O$33+AF111*Population!$O$34+AG111*Population!$O$35+AH111*Population!$O$36+AI111*Population!$O$37+AJ111*Population!$O$38+AK111*Population!$O$37+AL111*Population!$O$38+AM111*Population!$O$39+AN111*Population!$O$40+AO111*Population!$O$41+AP111*Population!$O$42+AQ111*Population!$O$43+AR111*Population!$O$44</f>
        <v>8.1258152841196498</v>
      </c>
      <c r="L111" s="12">
        <f t="shared" si="35"/>
        <v>5.8913644557404179E-2</v>
      </c>
      <c r="M111" s="12">
        <f t="shared" ref="M111:M115" si="63">(AE111+AF111+AG111+AH111+AI111+AJ111)/21*0.5</f>
        <v>17.368705677324737</v>
      </c>
      <c r="N111" s="12">
        <f t="shared" si="46"/>
        <v>0.24155844155844156</v>
      </c>
      <c r="O111" s="12">
        <f t="shared" si="37"/>
        <v>1266.4459191531269</v>
      </c>
      <c r="P111" s="12">
        <f t="shared" si="38"/>
        <v>310</v>
      </c>
      <c r="Q111" s="12">
        <f t="shared" si="39"/>
        <v>224.77704042343657</v>
      </c>
      <c r="R111" s="12">
        <f t="shared" ref="R111:R115" si="64">SUM(AR110:AR110)</f>
        <v>471.05772048931476</v>
      </c>
      <c r="S111" s="12">
        <f t="shared" si="49"/>
        <v>0.15325937198655484</v>
      </c>
      <c r="T111" s="12">
        <f t="shared" ref="T111:T115" si="65">X111/H111</f>
        <v>0.88392899243543233</v>
      </c>
      <c r="U111" s="12">
        <f>Population!$B$13*MIN(Y110:Z110)</f>
        <v>17.799299134751436</v>
      </c>
      <c r="V111" s="12">
        <f>X110*Population!$B$14</f>
        <v>3.2130331584446421</v>
      </c>
      <c r="W111" s="12">
        <f>AN110*T110*Population!$B$12</f>
        <v>15.314751960310616</v>
      </c>
      <c r="X111" s="12">
        <f t="shared" ref="X111:X115" si="66">X110+U111-W111-V111</f>
        <v>534.77704042343657</v>
      </c>
      <c r="Y111" s="14">
        <f t="shared" ref="Y111:Y115" si="67">(AE111+AG111+AI111+AK111+AM111)-X111</f>
        <v>71.203715809316918</v>
      </c>
      <c r="Z111" s="13">
        <f t="shared" ref="Z111:Z115" si="68">(AF111+AH111+AJ111+AL111+AN111)-X111</f>
        <v>71.203715809316918</v>
      </c>
      <c r="AA111" s="18">
        <f>(G111+Population!$B$11*AA110)*Population!M$29</f>
        <v>248.79237155461686</v>
      </c>
      <c r="AB111" s="18">
        <f>AA110*Population!$B$12*Population!$M$29+AB110*Population!$B$11*Population!$M$30</f>
        <v>248.36205231225796</v>
      </c>
      <c r="AC111" s="14">
        <f>(AB110*Population!$B$12*0.5*Population!$M$30)+(AC110*Population!$B$11*Population!M$31)</f>
        <v>123.46662712711573</v>
      </c>
      <c r="AD111" s="13">
        <f>(AB110*Population!$B$12*0.5*Population!$M$30)+(AD110*Population!$B$11*Population!M$31)</f>
        <v>123.46662712711573</v>
      </c>
      <c r="AE111" s="14">
        <f>(AC110*Population!$B$12*Population!M$31)+(AE110*Population!$B$11*Population!M$33)</f>
        <v>122.73172408993437</v>
      </c>
      <c r="AF111" s="13">
        <f>(AD110*Population!$B$12*Population!M$31)+(AF110*Population!$B$11*Population!M$33)</f>
        <v>122.73172408993437</v>
      </c>
      <c r="AG111" s="14">
        <f>(AE110*Population!$B$12*Population!M$33)+(AG110*Population!$B$11*Population!M$35)</f>
        <v>121.48260296270892</v>
      </c>
      <c r="AH111" s="13">
        <f>(AF110*Population!$B$12*Population!M$33)+(AH110*Population!$B$11*Population!M$35)</f>
        <v>121.48260296270892</v>
      </c>
      <c r="AI111" s="14">
        <f>(AG110*Population!$B$12*Population!M$35)+(AI110*Population!$B$11*Population!M$37)</f>
        <v>120.52849217117618</v>
      </c>
      <c r="AJ111" s="13">
        <f>(AH110*Population!$B$12*Population!M$35)+(AJ110*Population!$B$11*Population!M$37)</f>
        <v>120.52849217117618</v>
      </c>
      <c r="AK111" s="14">
        <f>(AI110*Population!$B$12*Population!M$37)+(AK110*Population!$B$11*Population!M$39)</f>
        <v>120.27383975377069</v>
      </c>
      <c r="AL111" s="13">
        <f>(AJ110*Population!$B$12*Population!M$37)+(AL110*Population!$B$11*Population!M$39)</f>
        <v>120.27383975377069</v>
      </c>
      <c r="AM111" s="14">
        <f>(AK110*Population!$B$12*Population!M$39)+(AM110*Population!$B$11*Population!M$41)</f>
        <v>120.9640972551633</v>
      </c>
      <c r="AN111" s="13">
        <f>(AL110*Population!$B$12*Population!M$39)+(AN110*Population!$B$11*Population!M$41)</f>
        <v>120.9640972551633</v>
      </c>
      <c r="AO111" s="15">
        <f>(AM110+AN110)*Population!$B$12*Population!$M$41+AO110*Population!$B$11*Population!$M$43</f>
        <v>237.48489630019611</v>
      </c>
      <c r="AP111" s="5">
        <f>AO110*Population!M$43*Population!$B$12+AP110*Population!$B$11*Population!M$44</f>
        <v>232.9403547692861</v>
      </c>
      <c r="AQ111" s="5">
        <f>AP110*Population!M$44*Population!$B$12+AQ110*Population!$B$11*Population!M$45</f>
        <v>181.86145105336331</v>
      </c>
      <c r="AR111" s="5">
        <f>(AQ110*Population!$B$12+AR110)*Population!M$46</f>
        <v>472.03886571858891</v>
      </c>
    </row>
    <row r="112" spans="1:44">
      <c r="A112">
        <f>A111+Population!$B$2</f>
        <v>109</v>
      </c>
      <c r="B112" s="4">
        <f t="shared" si="32"/>
        <v>3077</v>
      </c>
      <c r="C112" s="54">
        <f t="shared" si="48"/>
        <v>1174</v>
      </c>
      <c r="D112" s="12">
        <f>AD111*Population!$P$32*Population!$C$2+AF111*Population!$P$34*Population!$C$2+AH111*Population!$P$36*Population!$C$2+AJ111*Population!$P$38*Population!$C$2+AL111*Population!$P$40*Population!$C$2+AN110*Population!$P$42*Population!$C$2</f>
        <v>40.58506156374812</v>
      </c>
      <c r="E112" s="12">
        <f>IF(B111&gt;Population!$B$6*Population!$B$15,Population!$B$8,IF(Population!$J$6=1,D112,Population!$B$8*Population!$B$6*0.9/B111))</f>
        <v>35.642754957229528</v>
      </c>
      <c r="F112" s="12">
        <f>IF(B111&gt;Population!$B$6*0.75,Population!$B$8,E112)</f>
        <v>35.642754957229528</v>
      </c>
      <c r="G112" s="15">
        <f>IF(Population!$J$6=1,IF(E112&gt;H111,H111,E112),IF(E112&gt;X111,X111,E112))</f>
        <v>35.642754957229528</v>
      </c>
      <c r="H112" s="15">
        <f t="shared" si="60"/>
        <v>605</v>
      </c>
      <c r="I112" s="15">
        <f t="shared" si="61"/>
        <v>744</v>
      </c>
      <c r="J112" s="12">
        <f t="shared" si="62"/>
        <v>1.2297520661157024</v>
      </c>
      <c r="K112" s="12">
        <f>AA112*Population!$O$29+AB112*Population!$O$30+AC112*Population!$O$31+AD112*Population!$O$32+AE112*Population!$O$33+AF112*Population!$O$34+AG112*Population!$O$35+AH112*Population!$O$36+AI112*Population!$O$37+AJ112*Population!$O$38+AK112*Population!$O$37+AL112*Population!$O$38+AM112*Population!$O$39+AN112*Population!$O$40+AO112*Population!$O$41+AP112*Population!$O$42+AQ112*Population!$O$43+AR112*Population!$O$44</f>
        <v>8.1195159261191492</v>
      </c>
      <c r="L112" s="12">
        <f t="shared" si="35"/>
        <v>5.8913644557404179E-2</v>
      </c>
      <c r="M112" s="12">
        <f t="shared" si="63"/>
        <v>17.361770395115574</v>
      </c>
      <c r="N112" s="12">
        <f t="shared" si="46"/>
        <v>0.24179395515112123</v>
      </c>
      <c r="O112" s="12">
        <f t="shared" si="37"/>
        <v>1264.8110064785833</v>
      </c>
      <c r="P112" s="12">
        <f t="shared" si="38"/>
        <v>310</v>
      </c>
      <c r="Q112" s="12">
        <f t="shared" si="39"/>
        <v>224.09449676070835</v>
      </c>
      <c r="R112" s="12">
        <f t="shared" si="64"/>
        <v>472.03886571858891</v>
      </c>
      <c r="S112" s="12">
        <f t="shared" si="49"/>
        <v>0.15367538168455119</v>
      </c>
      <c r="T112" s="12">
        <f t="shared" si="65"/>
        <v>0.88280082109207991</v>
      </c>
      <c r="U112" s="12">
        <f>Population!$B$13*MIN(Y111:Z111)</f>
        <v>17.80092895232923</v>
      </c>
      <c r="V112" s="12">
        <f>X111*Population!$B$14</f>
        <v>3.2086622425406195</v>
      </c>
      <c r="W112" s="12">
        <f>AN111*T111*Population!$B$12</f>
        <v>15.274810372516875</v>
      </c>
      <c r="X112" s="12">
        <f t="shared" si="66"/>
        <v>534.09449676070835</v>
      </c>
      <c r="Y112" s="14">
        <f t="shared" si="67"/>
        <v>71.215331889134632</v>
      </c>
      <c r="Z112" s="13">
        <f t="shared" si="68"/>
        <v>71.215331889134632</v>
      </c>
      <c r="AA112" s="18">
        <f>(G112+Population!$B$11*AA111)*Population!M$29</f>
        <v>248.79230844308748</v>
      </c>
      <c r="AB112" s="18">
        <f>AA111*Population!$B$12*Population!$M$29+AB111*Population!$B$11*Population!$M$30</f>
        <v>248.36119813638456</v>
      </c>
      <c r="AC112" s="14">
        <f>(AB111*Population!$B$12*0.5*Population!$M$30)+(AC111*Population!$B$11*Population!M$31)</f>
        <v>123.46383800200363</v>
      </c>
      <c r="AD112" s="13">
        <f>(AB111*Population!$B$12*0.5*Population!$M$30)+(AD111*Population!$B$11*Population!M$31)</f>
        <v>123.46383800200363</v>
      </c>
      <c r="AE112" s="14">
        <f>(AC111*Population!$B$12*Population!M$31)+(AE111*Population!$B$11*Population!M$33)</f>
        <v>122.71964685324625</v>
      </c>
      <c r="AF112" s="13">
        <f>(AD111*Population!$B$12*Population!M$31)+(AF111*Population!$B$11*Population!M$33)</f>
        <v>122.71964685324625</v>
      </c>
      <c r="AG112" s="14">
        <f>(AE111*Population!$B$12*Population!M$33)+(AG111*Population!$B$11*Population!M$35)</f>
        <v>121.44441413528568</v>
      </c>
      <c r="AH112" s="13">
        <f>(AF111*Population!$B$12*Population!M$33)+(AH111*Population!$B$11*Population!M$35)</f>
        <v>121.44441413528568</v>
      </c>
      <c r="AI112" s="14">
        <f>(AG111*Population!$B$12*Population!M$35)+(AI111*Population!$B$11*Population!M$37)</f>
        <v>120.43311730889511</v>
      </c>
      <c r="AJ112" s="13">
        <f>(AH111*Population!$B$12*Population!M$35)+(AJ111*Population!$B$11*Population!M$37)</f>
        <v>120.43311730889511</v>
      </c>
      <c r="AK112" s="14">
        <f>(AI111*Population!$B$12*Population!M$37)+(AK111*Population!$B$11*Population!M$39)</f>
        <v>120.07922305069546</v>
      </c>
      <c r="AL112" s="13">
        <f>(AJ111*Population!$B$12*Population!M$37)+(AL111*Population!$B$11*Population!M$39)</f>
        <v>120.07922305069546</v>
      </c>
      <c r="AM112" s="14">
        <f>(AK111*Population!$B$12*Population!M$39)+(AM111*Population!$B$11*Population!M$41)</f>
        <v>120.63342730172053</v>
      </c>
      <c r="AN112" s="13">
        <f>(AL111*Population!$B$12*Population!M$39)+(AN111*Population!$B$11*Population!M$41)</f>
        <v>120.63342730172053</v>
      </c>
      <c r="AO112" s="15">
        <f>(AM111+AN111)*Population!$B$12*Population!$M$41+AO111*Population!$B$11*Population!$M$43</f>
        <v>236.5774967412836</v>
      </c>
      <c r="AP112" s="5">
        <f>AO111*Population!M$43*Population!$B$12+AP111*Population!$B$11*Population!M$44</f>
        <v>231.89605056932464</v>
      </c>
      <c r="AQ112" s="5">
        <f>AP111*Population!M$44*Population!$B$12+AQ111*Population!$B$11*Population!M$45</f>
        <v>181.04205721058474</v>
      </c>
      <c r="AR112" s="5">
        <f>(AQ111*Population!$B$12+AR111)*Population!M$46</f>
        <v>472.859149443364</v>
      </c>
    </row>
    <row r="113" spans="1:44">
      <c r="A113">
        <f>A112+Population!$B$2</f>
        <v>110</v>
      </c>
      <c r="B113" s="4">
        <f t="shared" si="32"/>
        <v>3073</v>
      </c>
      <c r="C113" s="54">
        <f t="shared" si="48"/>
        <v>1173</v>
      </c>
      <c r="D113" s="12">
        <f>AD112*Population!$P$32*Population!$C$2+AF112*Population!$P$34*Population!$C$2+AH112*Population!$P$36*Population!$C$2+AJ112*Population!$P$38*Population!$C$2+AL112*Population!$P$40*Population!$C$2+AN111*Population!$P$42*Population!$C$2</f>
        <v>40.55637403506752</v>
      </c>
      <c r="E113" s="12">
        <f>IF(B112&gt;Population!$B$6*Population!$B$15,Population!$B$8,IF(Population!$J$6=1,D113,Population!$B$8*Population!$B$6*0.9/B112))</f>
        <v>35.642754957229528</v>
      </c>
      <c r="F113" s="12">
        <f>IF(B112&gt;Population!$B$6*0.75,Population!$B$8,E113)</f>
        <v>35.642754957229528</v>
      </c>
      <c r="G113" s="15">
        <f>IF(Population!$J$6=1,IF(E113&gt;H112,H112,E113),IF(E113&gt;X112,X112,E113))</f>
        <v>35.642754957229528</v>
      </c>
      <c r="H113" s="15">
        <f t="shared" si="60"/>
        <v>604</v>
      </c>
      <c r="I113" s="15">
        <f t="shared" si="61"/>
        <v>744</v>
      </c>
      <c r="J113" s="12">
        <f t="shared" si="62"/>
        <v>1.2317880794701987</v>
      </c>
      <c r="K113" s="12">
        <f>AA113*Population!$O$29+AB113*Population!$O$30+AC113*Population!$O$31+AD113*Population!$O$32+AE113*Population!$O$33+AF113*Population!$O$34+AG113*Population!$O$35+AH113*Population!$O$36+AI113*Population!$O$37+AJ113*Population!$O$38+AK113*Population!$O$37+AL113*Population!$O$38+AM113*Population!$O$39+AN113*Population!$O$40+AO113*Population!$O$41+AP113*Population!$O$42+AQ113*Population!$O$43+AR113*Population!$O$44</f>
        <v>8.1124554756328298</v>
      </c>
      <c r="L113" s="12">
        <f t="shared" si="35"/>
        <v>5.9011183704022398E-2</v>
      </c>
      <c r="M113" s="12">
        <f t="shared" si="63"/>
        <v>17.35547647983638</v>
      </c>
      <c r="N113" s="12">
        <f t="shared" si="46"/>
        <v>0.24210868857793688</v>
      </c>
      <c r="O113" s="12">
        <f t="shared" si="37"/>
        <v>1262.0396998303188</v>
      </c>
      <c r="P113" s="12">
        <f t="shared" si="38"/>
        <v>310</v>
      </c>
      <c r="Q113" s="12">
        <f t="shared" si="39"/>
        <v>223.4801500848406</v>
      </c>
      <c r="R113" s="12">
        <f t="shared" si="64"/>
        <v>472.859149443364</v>
      </c>
      <c r="S113" s="12">
        <f t="shared" si="49"/>
        <v>0.15409269438774129</v>
      </c>
      <c r="T113" s="12">
        <f t="shared" si="65"/>
        <v>0.88324528159741822</v>
      </c>
      <c r="U113" s="12">
        <f>Population!$B$13*MIN(Y112:Z112)</f>
        <v>17.803832972283658</v>
      </c>
      <c r="V113" s="12">
        <f>X112*Population!$B$14</f>
        <v>3.20456698056425</v>
      </c>
      <c r="W113" s="12">
        <f>AN112*T112*Population!$B$12</f>
        <v>15.213612667587229</v>
      </c>
      <c r="X113" s="12">
        <f t="shared" si="66"/>
        <v>533.4801500848406</v>
      </c>
      <c r="Y113" s="14">
        <f t="shared" si="67"/>
        <v>71.206777284371356</v>
      </c>
      <c r="Z113" s="13">
        <f t="shared" si="68"/>
        <v>71.206777284371356</v>
      </c>
      <c r="AA113" s="18">
        <f>(G113+Population!$B$11*AA112)*Population!M$29</f>
        <v>248.7922543694537</v>
      </c>
      <c r="AB113" s="18">
        <f>AA112*Population!$B$12*Population!$M$29+AB112*Population!$B$11*Population!$M$30</f>
        <v>248.36045713809756</v>
      </c>
      <c r="AC113" s="14">
        <f>(AB112*Population!$B$12*0.5*Population!$M$30)+(AC112*Population!$B$11*Population!M$31)</f>
        <v>123.46138860281832</v>
      </c>
      <c r="AD113" s="13">
        <f>(AB112*Population!$B$12*0.5*Population!$M$30)+(AD112*Population!$B$11*Population!M$31)</f>
        <v>123.46138860281832</v>
      </c>
      <c r="AE113" s="14">
        <f>(AC112*Population!$B$12*Population!M$31)+(AE112*Population!$B$11*Population!M$33)</f>
        <v>122.70890673473691</v>
      </c>
      <c r="AF113" s="13">
        <f>(AD112*Population!$B$12*Population!M$31)+(AF112*Population!$B$11*Population!M$33)</f>
        <v>122.70890673473691</v>
      </c>
      <c r="AG113" s="14">
        <f>(AE112*Population!$B$12*Population!M$33)+(AG112*Population!$B$11*Population!M$35)</f>
        <v>121.41002002723869</v>
      </c>
      <c r="AH113" s="13">
        <f>(AF112*Population!$B$12*Population!M$33)+(AH112*Population!$B$11*Population!M$35)</f>
        <v>121.41002002723869</v>
      </c>
      <c r="AI113" s="14">
        <f>(AG112*Population!$B$12*Population!M$35)+(AI112*Population!$B$11*Population!M$37)</f>
        <v>120.34607931458831</v>
      </c>
      <c r="AJ113" s="13">
        <f>(AH112*Population!$B$12*Population!M$35)+(AJ112*Population!$B$11*Population!M$37)</f>
        <v>120.34607931458831</v>
      </c>
      <c r="AK113" s="14">
        <f>(AI112*Population!$B$12*Population!M$37)+(AK112*Population!$B$11*Population!M$39)</f>
        <v>119.8991301968987</v>
      </c>
      <c r="AL113" s="13">
        <f>(AJ112*Population!$B$12*Population!M$37)+(AL112*Population!$B$11*Population!M$39)</f>
        <v>119.8991301968987</v>
      </c>
      <c r="AM113" s="14">
        <f>(AK112*Population!$B$12*Population!M$39)+(AM112*Population!$B$11*Population!M$41)</f>
        <v>120.32279109574935</v>
      </c>
      <c r="AN113" s="13">
        <f>(AL112*Population!$B$12*Population!M$39)+(AN112*Population!$B$11*Population!M$41)</f>
        <v>120.32279109574935</v>
      </c>
      <c r="AO113" s="15">
        <f>(AM112+AN112)*Population!$B$12*Population!$M$41+AO112*Population!$B$11*Population!$M$43</f>
        <v>235.71106879743689</v>
      </c>
      <c r="AP113" s="5">
        <f>AO112*Population!M$43*Population!$B$12+AP112*Population!$B$11*Population!M$44</f>
        <v>230.87873358658453</v>
      </c>
      <c r="AQ113" s="5">
        <f>AP112*Population!M$44*Population!$B$12+AQ112*Population!$B$11*Population!M$45</f>
        <v>180.22709701207617</v>
      </c>
      <c r="AR113" s="5">
        <f>(AQ112*Population!$B$12+AR112)*Population!M$46</f>
        <v>473.52684985352897</v>
      </c>
    </row>
    <row r="114" spans="1:44">
      <c r="A114">
        <f>A113+Population!$B$2</f>
        <v>111</v>
      </c>
      <c r="B114" s="4">
        <f t="shared" si="32"/>
        <v>3070</v>
      </c>
      <c r="C114" s="54">
        <f t="shared" si="48"/>
        <v>1172</v>
      </c>
      <c r="D114" s="12">
        <f>AD113*Population!$P$32*Population!$C$2+AF113*Population!$P$34*Population!$C$2+AH113*Population!$P$36*Population!$C$2+AJ113*Population!$P$38*Population!$C$2+AL113*Population!$P$40*Population!$C$2+AN112*Population!$P$42*Population!$C$2</f>
        <v>40.529901365431407</v>
      </c>
      <c r="E114" s="12">
        <f>IF(B113&gt;Population!$B$6*Population!$B$15,Population!$B$8,IF(Population!$J$6=1,D114,Population!$B$8*Population!$B$6*0.9/B113))</f>
        <v>35.642754957229528</v>
      </c>
      <c r="F114" s="12">
        <f>IF(B113&gt;Population!$B$6*0.75,Population!$B$8,E114)</f>
        <v>35.642754957229528</v>
      </c>
      <c r="G114" s="15">
        <f>IF(Population!$J$6=1,IF(E114&gt;H113,H113,E114),IF(E114&gt;X113,X113,E114))</f>
        <v>35.642754957229528</v>
      </c>
      <c r="H114" s="15">
        <f t="shared" si="60"/>
        <v>604</v>
      </c>
      <c r="I114" s="15">
        <f t="shared" si="61"/>
        <v>744</v>
      </c>
      <c r="J114" s="12">
        <f t="shared" si="62"/>
        <v>1.2317880794701987</v>
      </c>
      <c r="K114" s="12">
        <f>AA114*Population!$O$29+AB114*Population!$O$30+AC114*Population!$O$31+AD114*Population!$O$32+AE114*Population!$O$33+AF114*Population!$O$34+AG114*Population!$O$35+AH114*Population!$O$36+AI114*Population!$O$37+AJ114*Population!$O$38+AK114*Population!$O$37+AL114*Population!$O$38+AM114*Population!$O$39+AN114*Population!$O$40+AO114*Population!$O$41+AP114*Population!$O$42+AQ114*Population!$O$43+AR114*Population!$O$44</f>
        <v>8.1047076826383986</v>
      </c>
      <c r="L114" s="12">
        <f t="shared" si="35"/>
        <v>5.9011183704022398E-2</v>
      </c>
      <c r="M114" s="12">
        <f t="shared" si="63"/>
        <v>17.34976846599416</v>
      </c>
      <c r="N114" s="12">
        <f t="shared" si="46"/>
        <v>0.24234527687296417</v>
      </c>
      <c r="O114" s="12">
        <f t="shared" si="37"/>
        <v>1260.2022265617088</v>
      </c>
      <c r="P114" s="12">
        <f t="shared" si="38"/>
        <v>310</v>
      </c>
      <c r="Q114" s="12">
        <f t="shared" si="39"/>
        <v>222.89888671914559</v>
      </c>
      <c r="R114" s="12">
        <f t="shared" si="64"/>
        <v>473.52684985352897</v>
      </c>
      <c r="S114" s="12">
        <f t="shared" si="49"/>
        <v>0.15441377095688819</v>
      </c>
      <c r="T114" s="12">
        <f t="shared" si="65"/>
        <v>0.88228292503169803</v>
      </c>
      <c r="U114" s="12">
        <f>Population!$B$13*MIN(Y113:Z113)</f>
        <v>17.801694321092839</v>
      </c>
      <c r="V114" s="12">
        <f>X113*Population!$B$14</f>
        <v>3.2008809005090435</v>
      </c>
      <c r="W114" s="12">
        <f>AN113*T113*Population!$B$12</f>
        <v>15.182076786278921</v>
      </c>
      <c r="X114" s="12">
        <f t="shared" si="66"/>
        <v>532.89888671914559</v>
      </c>
      <c r="Y114" s="14">
        <f t="shared" si="67"/>
        <v>71.210266771277702</v>
      </c>
      <c r="Z114" s="13">
        <f t="shared" si="68"/>
        <v>71.210266771277702</v>
      </c>
      <c r="AA114" s="18">
        <f>(G114+Population!$B$11*AA113)*Population!M$29</f>
        <v>248.79220803944236</v>
      </c>
      <c r="AB114" s="18">
        <f>AA113*Population!$B$12*Population!$M$29+AB113*Population!$B$11*Population!$M$30</f>
        <v>248.35981441794695</v>
      </c>
      <c r="AC114" s="14">
        <f>(AB113*Population!$B$12*0.5*Population!$M$30)+(AC113*Population!$B$11*Population!M$31)</f>
        <v>123.45923820207139</v>
      </c>
      <c r="AD114" s="13">
        <f>(AB113*Population!$B$12*0.5*Population!$M$30)+(AD113*Population!$B$11*Population!M$31)</f>
        <v>123.45923820207139</v>
      </c>
      <c r="AE114" s="14">
        <f>(AC113*Population!$B$12*Population!M$31)+(AE113*Population!$B$11*Population!M$33)</f>
        <v>122.69936011131317</v>
      </c>
      <c r="AF114" s="13">
        <f>(AD113*Population!$B$12*Population!M$31)+(AF113*Population!$B$11*Population!M$33)</f>
        <v>122.69936011131317</v>
      </c>
      <c r="AG114" s="14">
        <f>(AE113*Population!$B$12*Population!M$33)+(AG113*Population!$B$11*Population!M$35)</f>
        <v>121.37906312561958</v>
      </c>
      <c r="AH114" s="13">
        <f>(AF113*Population!$B$12*Population!M$33)+(AH113*Population!$B$11*Population!M$35)</f>
        <v>121.37906312561958</v>
      </c>
      <c r="AI114" s="14">
        <f>(AG113*Population!$B$12*Population!M$35)+(AI113*Population!$B$11*Population!M$37)</f>
        <v>120.26671454894461</v>
      </c>
      <c r="AJ114" s="13">
        <f>(AH113*Population!$B$12*Population!M$35)+(AJ113*Population!$B$11*Population!M$37)</f>
        <v>120.26671454894461</v>
      </c>
      <c r="AK114" s="14">
        <f>(AI113*Population!$B$12*Population!M$37)+(AK113*Population!$B$11*Population!M$39)</f>
        <v>119.73265114911831</v>
      </c>
      <c r="AL114" s="13">
        <f>(AJ113*Population!$B$12*Population!M$37)+(AL113*Population!$B$11*Population!M$39)</f>
        <v>119.73265114911831</v>
      </c>
      <c r="AM114" s="14">
        <f>(AK113*Population!$B$12*Population!M$39)+(AM113*Population!$B$11*Population!M$41)</f>
        <v>120.03136455542769</v>
      </c>
      <c r="AN114" s="13">
        <f>(AL113*Population!$B$12*Population!M$39)+(AN113*Population!$B$11*Population!M$41)</f>
        <v>120.03136455542769</v>
      </c>
      <c r="AO114" s="15">
        <f>(AM113+AN113)*Population!$B$12*Population!$M$41+AO113*Population!$B$11*Population!$M$43</f>
        <v>234.88521770937484</v>
      </c>
      <c r="AP114" s="5">
        <f>AO113*Population!M$43*Population!$B$12+AP113*Population!$B$11*Population!M$44</f>
        <v>229.89019145102091</v>
      </c>
      <c r="AQ114" s="5">
        <f>AP113*Population!M$44*Population!$B$12+AQ113*Population!$B$11*Population!M$45</f>
        <v>179.41957245631977</v>
      </c>
      <c r="AR114" s="5">
        <f>(AQ113*Population!$B$12+AR113)*Population!M$46</f>
        <v>474.05027683764672</v>
      </c>
    </row>
    <row r="115" spans="1:44">
      <c r="A115">
        <f>A114+Population!$B$2</f>
        <v>112</v>
      </c>
      <c r="B115" s="4">
        <f t="shared" si="32"/>
        <v>3067</v>
      </c>
      <c r="C115" s="54">
        <f t="shared" si="48"/>
        <v>1171</v>
      </c>
      <c r="D115" s="12">
        <f>AD114*Population!$P$32*Population!$C$2+AF114*Population!$P$34*Population!$C$2+AH114*Population!$P$36*Population!$C$2+AJ114*Population!$P$38*Population!$C$2+AL114*Population!$P$40*Population!$C$2+AN113*Population!$P$42*Population!$C$2</f>
        <v>40.505490808683227</v>
      </c>
      <c r="E115" s="12">
        <f>IF(B114&gt;Population!$B$6*Population!$B$15,Population!$B$8,IF(Population!$J$6=1,D115,Population!$B$8*Population!$B$6*0.9/B114))</f>
        <v>35.642754957229528</v>
      </c>
      <c r="F115" s="12">
        <f>IF(B114&gt;Population!$B$6*0.75,Population!$B$8,E115)</f>
        <v>35.642754957229528</v>
      </c>
      <c r="G115" s="15">
        <f>IF(Population!$J$6=1,IF(E115&gt;H114,H114,E115),IF(E115&gt;X114,X114,E115))</f>
        <v>35.642754957229528</v>
      </c>
      <c r="H115" s="15">
        <f t="shared" si="60"/>
        <v>603</v>
      </c>
      <c r="I115" s="15">
        <f t="shared" si="61"/>
        <v>744</v>
      </c>
      <c r="J115" s="12">
        <f t="shared" si="62"/>
        <v>1.2338308457711442</v>
      </c>
      <c r="K115" s="12">
        <f>AA115*Population!$O$29+AB115*Population!$O$30+AC115*Population!$O$31+AD115*Population!$O$32+AE115*Population!$O$33+AF115*Population!$O$34+AG115*Population!$O$35+AH115*Population!$O$36+AI115*Population!$O$37+AJ115*Population!$O$38+AK115*Population!$O$37+AL115*Population!$O$38+AM115*Population!$O$39+AN115*Population!$O$40+AO115*Population!$O$41+AP115*Population!$O$42+AQ115*Population!$O$43+AR115*Population!$O$44</f>
        <v>8.0963434652951101</v>
      </c>
      <c r="L115" s="12">
        <f t="shared" si="35"/>
        <v>5.9109046363564725E-2</v>
      </c>
      <c r="M115" s="12">
        <f t="shared" si="63"/>
        <v>17.344595217067667</v>
      </c>
      <c r="N115" s="12">
        <f t="shared" si="46"/>
        <v>0.24258232800782523</v>
      </c>
      <c r="O115" s="12">
        <f t="shared" si="37"/>
        <v>1258.249486506845</v>
      </c>
      <c r="P115" s="12">
        <f t="shared" si="38"/>
        <v>310</v>
      </c>
      <c r="Q115" s="12">
        <f t="shared" si="39"/>
        <v>222.37525674657752</v>
      </c>
      <c r="R115" s="12">
        <f t="shared" si="64"/>
        <v>474.05027683764672</v>
      </c>
      <c r="S115" s="12">
        <f t="shared" si="49"/>
        <v>0.15469114041727552</v>
      </c>
      <c r="T115" s="12">
        <f t="shared" si="65"/>
        <v>0.88287770604739224</v>
      </c>
      <c r="U115" s="12">
        <f>Population!$B$13*MIN(Y114:Z114)</f>
        <v>17.802566692819425</v>
      </c>
      <c r="V115" s="12">
        <f>X114*Population!$B$14</f>
        <v>3.1973933203148737</v>
      </c>
      <c r="W115" s="12">
        <f>AN114*T114*Population!$B$12</f>
        <v>15.128803345072688</v>
      </c>
      <c r="X115" s="12">
        <f t="shared" si="66"/>
        <v>532.37525674657752</v>
      </c>
      <c r="Y115" s="14">
        <f t="shared" si="67"/>
        <v>71.198468480740985</v>
      </c>
      <c r="Z115" s="13">
        <f t="shared" si="68"/>
        <v>71.198468480740985</v>
      </c>
      <c r="AA115" s="18">
        <f>(G115+Population!$B$11*AA114)*Population!M$29</f>
        <v>248.79216834412694</v>
      </c>
      <c r="AB115" s="18">
        <f>AA114*Population!$B$12*Population!$M$29+AB114*Population!$B$11*Population!$M$30</f>
        <v>248.35925702302799</v>
      </c>
      <c r="AC115" s="14">
        <f>(AB114*Population!$B$12*0.5*Population!$M$30)+(AC114*Population!$B$11*Population!M$31)</f>
        <v>123.45735085974863</v>
      </c>
      <c r="AD115" s="13">
        <f>(AB114*Population!$B$12*0.5*Population!$M$30)+(AD114*Population!$B$11*Population!M$31)</f>
        <v>123.45735085974863</v>
      </c>
      <c r="AE115" s="14">
        <f>(AC114*Population!$B$12*Population!M$31)+(AE114*Population!$B$11*Population!M$33)</f>
        <v>122.6908781821182</v>
      </c>
      <c r="AF115" s="13">
        <f>(AD114*Population!$B$12*Population!M$31)+(AF114*Population!$B$11*Population!M$33)</f>
        <v>122.6908781821182</v>
      </c>
      <c r="AG115" s="14">
        <f>(AE114*Population!$B$12*Population!M$33)+(AG114*Population!$B$11*Population!M$35)</f>
        <v>121.35121708109108</v>
      </c>
      <c r="AH115" s="13">
        <f>(AF114*Population!$B$12*Population!M$33)+(AH114*Population!$B$11*Population!M$35)</f>
        <v>121.35121708109108</v>
      </c>
      <c r="AI115" s="14">
        <f>(AG114*Population!$B$12*Population!M$35)+(AI114*Population!$B$11*Population!M$37)</f>
        <v>120.19440429521174</v>
      </c>
      <c r="AJ115" s="13">
        <f>(AH114*Population!$B$12*Population!M$35)+(AJ114*Population!$B$11*Population!M$37)</f>
        <v>120.19440429521174</v>
      </c>
      <c r="AK115" s="14">
        <f>(AI114*Population!$B$12*Population!M$37)+(AK114*Population!$B$11*Population!M$39)</f>
        <v>119.57891274435467</v>
      </c>
      <c r="AL115" s="13">
        <f>(AJ114*Population!$B$12*Population!M$37)+(AL114*Population!$B$11*Population!M$39)</f>
        <v>119.57891274435467</v>
      </c>
      <c r="AM115" s="14">
        <f>(AK114*Population!$B$12*Population!M$39)+(AM114*Population!$B$11*Population!M$41)</f>
        <v>119.75831292454281</v>
      </c>
      <c r="AN115" s="13">
        <f>(AL114*Population!$B$12*Population!M$39)+(AN114*Population!$B$11*Population!M$41)</f>
        <v>119.75831292454281</v>
      </c>
      <c r="AO115" s="15">
        <f>(AM114+AN114)*Population!$B$12*Population!$M$41+AO114*Population!$B$11*Population!$M$43</f>
        <v>234.09937256526487</v>
      </c>
      <c r="AP115" s="5">
        <f>AO114*Population!M$43*Population!$B$12+AP114*Population!$B$11*Population!M$44</f>
        <v>228.93188932271255</v>
      </c>
      <c r="AQ115" s="5">
        <f>AP114*Population!M$44*Population!$B$12+AQ114*Population!$B$11*Population!M$45</f>
        <v>178.62218021399428</v>
      </c>
      <c r="AR115" s="5">
        <f>(AQ114*Population!$B$12+AR114)*Population!M$46</f>
        <v>474.437727659784</v>
      </c>
    </row>
  </sheetData>
  <mergeCells count="6">
    <mergeCell ref="AI1:AJ1"/>
    <mergeCell ref="AK1:AL1"/>
    <mergeCell ref="AM1:AN1"/>
    <mergeCell ref="AC1:AD1"/>
    <mergeCell ref="AE1:AF1"/>
    <mergeCell ref="AG1:AH1"/>
  </mergeCells>
  <pageMargins left="0.7" right="0.7" top="0.75" bottom="0.75" header="0.3" footer="0.3"/>
  <pageSetup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2313F-8851-C54C-99BB-2F5A73C6B364}">
  <dimension ref="A1:J42"/>
  <sheetViews>
    <sheetView workbookViewId="0">
      <selection activeCell="G17" sqref="G17"/>
    </sheetView>
  </sheetViews>
  <sheetFormatPr baseColWidth="10" defaultRowHeight="16"/>
  <cols>
    <col min="1" max="1" width="19.1640625" bestFit="1" customWidth="1"/>
    <col min="2" max="2" width="22.1640625" bestFit="1" customWidth="1"/>
    <col min="3" max="3" width="4.6640625" customWidth="1"/>
    <col min="4" max="4" width="20.5" style="107" bestFit="1" customWidth="1"/>
    <col min="5" max="5" width="16.33203125" style="108" bestFit="1" customWidth="1"/>
    <col min="6" max="6" width="20.5" style="107" bestFit="1" customWidth="1"/>
    <col min="7" max="7" width="16.33203125" style="108" bestFit="1" customWidth="1"/>
  </cols>
  <sheetData>
    <row r="1" spans="1:8">
      <c r="A1" t="s">
        <v>623</v>
      </c>
      <c r="D1" s="105">
        <f>Vehicle!E21</f>
        <v>3136</v>
      </c>
      <c r="E1" s="106"/>
      <c r="F1" s="105">
        <f>Vehicle!B21</f>
        <v>599</v>
      </c>
      <c r="G1" s="106"/>
    </row>
    <row r="2" spans="1:8">
      <c r="D2" s="164" t="s">
        <v>48</v>
      </c>
      <c r="E2" s="165"/>
      <c r="F2" s="164" t="s">
        <v>806</v>
      </c>
      <c r="G2" s="165"/>
    </row>
    <row r="3" spans="1:8">
      <c r="A3" t="s">
        <v>622</v>
      </c>
      <c r="C3" t="s">
        <v>35</v>
      </c>
      <c r="D3" s="107" t="s">
        <v>651</v>
      </c>
      <c r="E3" s="108" t="s">
        <v>36</v>
      </c>
      <c r="F3" s="107" t="s">
        <v>651</v>
      </c>
      <c r="G3" s="108" t="s">
        <v>36</v>
      </c>
    </row>
    <row r="4" spans="1:8">
      <c r="A4" t="s">
        <v>629</v>
      </c>
      <c r="D4" s="107">
        <f>SUM(D5:D7)</f>
        <v>1725</v>
      </c>
      <c r="F4" s="109">
        <f>SUM(F5:F7)</f>
        <v>0</v>
      </c>
    </row>
    <row r="5" spans="1:8">
      <c r="A5" t="s">
        <v>45</v>
      </c>
      <c r="B5">
        <f>100000*0.25</f>
        <v>25000</v>
      </c>
      <c r="D5" s="107">
        <f>MAX('Population Model'!I:I)</f>
        <v>1108</v>
      </c>
      <c r="F5" s="107">
        <f>'Population Model'!I3</f>
        <v>0</v>
      </c>
    </row>
    <row r="6" spans="1:8">
      <c r="A6" t="s">
        <v>628</v>
      </c>
      <c r="B6">
        <f>CEILING(B5/18,1)</f>
        <v>1389</v>
      </c>
      <c r="D6" s="107">
        <f>CEILING(MAX('Population Model'!G:G),1)</f>
        <v>131</v>
      </c>
      <c r="F6" s="109">
        <f>'Population Model'!G3</f>
        <v>0</v>
      </c>
    </row>
    <row r="7" spans="1:8">
      <c r="A7" t="s">
        <v>624</v>
      </c>
      <c r="B7">
        <f>100000*0.15</f>
        <v>15000</v>
      </c>
      <c r="D7" s="107">
        <f>CEILING(MAX('Population Model'!S:S)*D1,1)</f>
        <v>486</v>
      </c>
      <c r="F7" s="107">
        <f>CEILING(0*F1,1)</f>
        <v>0</v>
      </c>
    </row>
    <row r="8" spans="1:8">
      <c r="A8" t="s">
        <v>625</v>
      </c>
      <c r="D8" s="107">
        <f>D1-SUM(D5:D7)</f>
        <v>1411</v>
      </c>
      <c r="E8" s="108">
        <f>SUM(D9:D11)</f>
        <v>1410</v>
      </c>
      <c r="F8" s="109">
        <f>F1-SUM(F5:F7)</f>
        <v>599</v>
      </c>
      <c r="G8" s="108">
        <f>SUM(F9:F11)</f>
        <v>598</v>
      </c>
    </row>
    <row r="9" spans="1:8">
      <c r="A9" t="s">
        <v>625</v>
      </c>
      <c r="B9" t="s">
        <v>613</v>
      </c>
      <c r="D9" s="107">
        <f>CEILING(SUM(E14:E23),1)</f>
        <v>365</v>
      </c>
      <c r="F9" s="107">
        <f>CEILING(SUM(G14:G23),1)</f>
        <v>73</v>
      </c>
    </row>
    <row r="10" spans="1:8">
      <c r="A10" t="s">
        <v>625</v>
      </c>
      <c r="B10" t="s">
        <v>633</v>
      </c>
      <c r="D10" s="107">
        <f>D28</f>
        <v>969</v>
      </c>
      <c r="F10" s="107">
        <f>F28</f>
        <v>667</v>
      </c>
    </row>
    <row r="11" spans="1:8">
      <c r="A11" t="s">
        <v>625</v>
      </c>
      <c r="B11" t="s">
        <v>632</v>
      </c>
      <c r="D11" s="107">
        <f>E36</f>
        <v>76</v>
      </c>
      <c r="F11" s="107">
        <f>G36</f>
        <v>-142</v>
      </c>
    </row>
    <row r="13" spans="1:8">
      <c r="A13" t="s">
        <v>634</v>
      </c>
      <c r="B13" t="s">
        <v>621</v>
      </c>
      <c r="E13" s="108">
        <f>SUM(E14:E24)</f>
        <v>365</v>
      </c>
      <c r="G13" s="108">
        <f>SUM(G14:G24)</f>
        <v>73</v>
      </c>
    </row>
    <row r="14" spans="1:8">
      <c r="A14" t="s">
        <v>619</v>
      </c>
      <c r="B14">
        <v>1419</v>
      </c>
      <c r="D14" s="107">
        <f t="shared" ref="D14:D24" si="0">FLOOR(B14/100000*$D$1,0.1)</f>
        <v>44.400000000000006</v>
      </c>
      <c r="E14" s="108">
        <f>IF(D14&gt;C14,FLOOR(D14,1),C14)</f>
        <v>44</v>
      </c>
      <c r="F14" s="107">
        <f>FLOOR(B14/100000*$F$1,0.1)</f>
        <v>8.4</v>
      </c>
      <c r="G14" s="108">
        <f>IF(F14&gt;C14,FLOOR(F14,1),C14)</f>
        <v>8</v>
      </c>
      <c r="H14" t="s">
        <v>644</v>
      </c>
    </row>
    <row r="15" spans="1:8">
      <c r="A15" t="s">
        <v>618</v>
      </c>
      <c r="B15">
        <v>568</v>
      </c>
      <c r="D15" s="107">
        <f t="shared" si="0"/>
        <v>17.8</v>
      </c>
      <c r="E15" s="108">
        <f t="shared" ref="E15:E26" si="1">IF(D15&gt;C15,FLOOR(D15,1),C15)</f>
        <v>17</v>
      </c>
      <c r="F15" s="107">
        <f t="shared" ref="F15:F24" si="2">FLOOR(B15/100000*$F$1,0.1)</f>
        <v>3.4000000000000004</v>
      </c>
      <c r="G15" s="108">
        <f t="shared" ref="G15:G24" si="3">IF(F15&gt;C15,FLOOR(F15,1),C15)</f>
        <v>3</v>
      </c>
      <c r="H15" t="s">
        <v>644</v>
      </c>
    </row>
    <row r="16" spans="1:8">
      <c r="A16" t="s">
        <v>616</v>
      </c>
      <c r="B16">
        <v>508</v>
      </c>
      <c r="D16" s="107">
        <f t="shared" si="0"/>
        <v>15.9</v>
      </c>
      <c r="E16" s="108">
        <f t="shared" si="1"/>
        <v>15</v>
      </c>
      <c r="F16" s="107">
        <f t="shared" si="2"/>
        <v>3</v>
      </c>
      <c r="G16" s="108">
        <f t="shared" si="3"/>
        <v>3</v>
      </c>
      <c r="H16" t="s">
        <v>644</v>
      </c>
    </row>
    <row r="17" spans="1:10">
      <c r="A17" t="s">
        <v>627</v>
      </c>
      <c r="B17">
        <f>FLOOR(B5*(18-4)/(18*12),1)</f>
        <v>1620</v>
      </c>
      <c r="C17">
        <v>1</v>
      </c>
      <c r="D17" s="107">
        <f t="shared" si="0"/>
        <v>50.800000000000004</v>
      </c>
      <c r="E17" s="108">
        <f t="shared" si="1"/>
        <v>50</v>
      </c>
      <c r="F17" s="107">
        <f t="shared" si="2"/>
        <v>9.7000000000000011</v>
      </c>
      <c r="G17" s="108">
        <f t="shared" si="3"/>
        <v>9</v>
      </c>
      <c r="H17" t="s">
        <v>630</v>
      </c>
    </row>
    <row r="18" spans="1:10">
      <c r="A18" t="s">
        <v>645</v>
      </c>
      <c r="B18">
        <v>300</v>
      </c>
      <c r="D18" s="107">
        <f t="shared" si="0"/>
        <v>9.4</v>
      </c>
      <c r="E18" s="108">
        <f t="shared" ref="E18" si="4">IF(D18&gt;C18,FLOOR(D18,1),C18)</f>
        <v>9</v>
      </c>
      <c r="F18" s="107">
        <f t="shared" si="2"/>
        <v>1.7000000000000002</v>
      </c>
      <c r="G18" s="108">
        <f t="shared" si="3"/>
        <v>1</v>
      </c>
      <c r="H18" t="s">
        <v>647</v>
      </c>
      <c r="J18" t="s">
        <v>646</v>
      </c>
    </row>
    <row r="19" spans="1:10">
      <c r="A19" t="s">
        <v>620</v>
      </c>
      <c r="B19">
        <v>667</v>
      </c>
      <c r="D19" s="107">
        <f t="shared" si="0"/>
        <v>20.900000000000002</v>
      </c>
      <c r="E19" s="108">
        <f t="shared" si="1"/>
        <v>20</v>
      </c>
      <c r="F19" s="107">
        <f t="shared" si="2"/>
        <v>3.9000000000000004</v>
      </c>
      <c r="G19" s="108">
        <f t="shared" si="3"/>
        <v>3</v>
      </c>
      <c r="H19" t="s">
        <v>644</v>
      </c>
    </row>
    <row r="20" spans="1:10">
      <c r="A20" t="s">
        <v>612</v>
      </c>
      <c r="B20">
        <v>95</v>
      </c>
      <c r="C20">
        <v>8</v>
      </c>
      <c r="D20" s="107">
        <f t="shared" si="0"/>
        <v>2.9000000000000004</v>
      </c>
      <c r="E20" s="108">
        <f t="shared" si="1"/>
        <v>8</v>
      </c>
      <c r="F20" s="107">
        <f t="shared" si="2"/>
        <v>0.5</v>
      </c>
      <c r="G20" s="108">
        <f t="shared" si="3"/>
        <v>8</v>
      </c>
      <c r="H20" t="s">
        <v>635</v>
      </c>
    </row>
    <row r="21" spans="1:10">
      <c r="A21" t="s">
        <v>615</v>
      </c>
      <c r="B21">
        <v>3594</v>
      </c>
      <c r="D21" s="107">
        <f t="shared" si="0"/>
        <v>112.7</v>
      </c>
      <c r="E21" s="108">
        <f t="shared" si="1"/>
        <v>112</v>
      </c>
      <c r="F21" s="107">
        <f t="shared" si="2"/>
        <v>21.5</v>
      </c>
      <c r="G21" s="108">
        <f t="shared" si="3"/>
        <v>21</v>
      </c>
      <c r="H21" t="s">
        <v>644</v>
      </c>
    </row>
    <row r="22" spans="1:10">
      <c r="A22" t="s">
        <v>636</v>
      </c>
      <c r="B22">
        <f>FLOOR(B5*0.4*4/18,1)</f>
        <v>2222</v>
      </c>
      <c r="D22" s="107">
        <f t="shared" si="0"/>
        <v>69.600000000000009</v>
      </c>
      <c r="E22" s="108">
        <f t="shared" ref="E22" si="5">IF(D22&gt;C22,FLOOR(D22,1),C22)</f>
        <v>69</v>
      </c>
      <c r="F22" s="107">
        <f t="shared" si="2"/>
        <v>13.3</v>
      </c>
      <c r="G22" s="108">
        <f t="shared" si="3"/>
        <v>13</v>
      </c>
      <c r="H22" t="s">
        <v>637</v>
      </c>
    </row>
    <row r="23" spans="1:10">
      <c r="A23" t="s">
        <v>617</v>
      </c>
      <c r="B23">
        <v>681</v>
      </c>
      <c r="D23" s="107">
        <f t="shared" si="0"/>
        <v>21.3</v>
      </c>
      <c r="E23" s="108">
        <f t="shared" si="1"/>
        <v>21</v>
      </c>
      <c r="F23" s="107">
        <f t="shared" si="2"/>
        <v>4</v>
      </c>
      <c r="G23" s="108">
        <f t="shared" si="3"/>
        <v>4</v>
      </c>
      <c r="H23" t="s">
        <v>644</v>
      </c>
    </row>
    <row r="24" spans="1:10">
      <c r="A24" t="s">
        <v>725</v>
      </c>
      <c r="B24" s="92">
        <f>1999474/144898471*1000</f>
        <v>13.799138018509526</v>
      </c>
      <c r="C24">
        <v>0</v>
      </c>
      <c r="D24" s="107">
        <f t="shared" si="0"/>
        <v>0.4</v>
      </c>
      <c r="E24" s="108">
        <f t="shared" ref="E24" si="6">IF(D24&gt;C24,FLOOR(D24,1),C24)</f>
        <v>0</v>
      </c>
      <c r="F24" s="107">
        <f t="shared" si="2"/>
        <v>0</v>
      </c>
      <c r="G24" s="108">
        <f t="shared" si="3"/>
        <v>0</v>
      </c>
      <c r="H24" t="s">
        <v>726</v>
      </c>
    </row>
    <row r="25" spans="1:10">
      <c r="B25" s="46"/>
    </row>
    <row r="26" spans="1:10">
      <c r="A26" t="s">
        <v>631</v>
      </c>
      <c r="B26">
        <v>300</v>
      </c>
      <c r="D26" s="107">
        <f>FLOOR(B26/100000*$D$1,0.1)</f>
        <v>9.4</v>
      </c>
      <c r="E26" s="108">
        <f t="shared" si="1"/>
        <v>9</v>
      </c>
      <c r="F26" s="107">
        <f>FLOOR(D26/100000*$D$1,0.1)</f>
        <v>0.2</v>
      </c>
      <c r="G26" s="108">
        <f t="shared" ref="G26" si="7">IF(F26&gt;E26,FLOOR(F26,1),E26)</f>
        <v>9</v>
      </c>
      <c r="H26" t="s">
        <v>644</v>
      </c>
    </row>
    <row r="28" spans="1:10">
      <c r="B28" t="s">
        <v>643</v>
      </c>
      <c r="D28" s="107">
        <f>SUM(D29:D33)</f>
        <v>969</v>
      </c>
      <c r="F28" s="107">
        <f>SUM(F29:F33)</f>
        <v>667</v>
      </c>
    </row>
    <row r="29" spans="1:10">
      <c r="A29" t="s">
        <v>707</v>
      </c>
      <c r="D29" s="107">
        <f>Automation!C4</f>
        <v>23</v>
      </c>
      <c r="E29" s="108">
        <f>D29</f>
        <v>23</v>
      </c>
      <c r="F29" s="107">
        <f>Automation!C4</f>
        <v>23</v>
      </c>
      <c r="G29" s="108">
        <f>F29</f>
        <v>23</v>
      </c>
    </row>
    <row r="30" spans="1:10">
      <c r="A30" t="s">
        <v>652</v>
      </c>
      <c r="D30" s="107">
        <f>CEILING((D29+D31)*0.05,1)</f>
        <v>42</v>
      </c>
      <c r="E30" s="108">
        <f t="shared" ref="E30:E33" si="8">D30</f>
        <v>42</v>
      </c>
      <c r="F30" s="107">
        <f>CEILING((F29+F31)*0.05,1)</f>
        <v>32</v>
      </c>
      <c r="G30" s="108">
        <f t="shared" ref="G30:G33" si="9">F30</f>
        <v>32</v>
      </c>
    </row>
    <row r="31" spans="1:10">
      <c r="A31" t="s">
        <v>641</v>
      </c>
      <c r="D31" s="107">
        <f>Automation!C3</f>
        <v>813</v>
      </c>
      <c r="E31" s="108">
        <f t="shared" si="8"/>
        <v>813</v>
      </c>
      <c r="F31" s="107">
        <f>CEILING(Automation!C3*0.75,1)</f>
        <v>610</v>
      </c>
      <c r="G31" s="108">
        <f t="shared" si="9"/>
        <v>610</v>
      </c>
      <c r="H31" t="s">
        <v>642</v>
      </c>
    </row>
    <row r="32" spans="1:10" ht="18" customHeight="1">
      <c r="A32" t="s">
        <v>626</v>
      </c>
      <c r="D32" s="107">
        <f>CEILING(SUM(D29:D31)*0.05,1)</f>
        <v>44</v>
      </c>
      <c r="E32" s="108">
        <f t="shared" si="8"/>
        <v>44</v>
      </c>
      <c r="F32" s="107">
        <f>CEILING(SUM(F29:F31)*0.001,1)</f>
        <v>1</v>
      </c>
      <c r="G32" s="108">
        <f t="shared" si="9"/>
        <v>1</v>
      </c>
    </row>
    <row r="33" spans="1:7" ht="18" customHeight="1">
      <c r="A33" t="s">
        <v>638</v>
      </c>
      <c r="D33" s="107">
        <f>CEILING(SUM(D29:D32)*0.05,1)</f>
        <v>47</v>
      </c>
      <c r="E33" s="108">
        <f t="shared" si="8"/>
        <v>47</v>
      </c>
      <c r="F33" s="107">
        <f>CEILING(SUM(F29:F32)*0.001,1)</f>
        <v>1</v>
      </c>
      <c r="G33" s="108">
        <f t="shared" si="9"/>
        <v>1</v>
      </c>
    </row>
    <row r="35" spans="1:7">
      <c r="B35" t="s">
        <v>643</v>
      </c>
      <c r="D35" s="107">
        <f>SUM(D37:D42)</f>
        <v>75.5</v>
      </c>
      <c r="F35" s="107">
        <f>SUM(F37:F42)</f>
        <v>-142.5</v>
      </c>
    </row>
    <row r="36" spans="1:7">
      <c r="A36" t="s">
        <v>632</v>
      </c>
      <c r="B36">
        <f>SUM(B37:B42)</f>
        <v>1.375</v>
      </c>
      <c r="C36">
        <f>SUM(C37:C41)</f>
        <v>43</v>
      </c>
      <c r="D36" s="107">
        <f>D8-D9-D10</f>
        <v>77</v>
      </c>
      <c r="E36" s="108">
        <f>SUM(E37:E42)</f>
        <v>76</v>
      </c>
      <c r="F36" s="107">
        <f>CEILING(F8-F9-F10,1)</f>
        <v>-141</v>
      </c>
      <c r="G36" s="108">
        <f>SUM(G37:G42)</f>
        <v>-142</v>
      </c>
    </row>
    <row r="37" spans="1:7" ht="17">
      <c r="A37" t="s">
        <v>649</v>
      </c>
      <c r="B37" s="79">
        <v>0.05</v>
      </c>
      <c r="C37" s="79">
        <v>3</v>
      </c>
      <c r="D37" s="107">
        <f>$C37+FLOOR($B37*($D36-$C36)/$B$36,0.5)</f>
        <v>4</v>
      </c>
      <c r="E37" s="108">
        <f>CEILING(D37,1)</f>
        <v>4</v>
      </c>
      <c r="F37" s="107">
        <f>$C37+FLOOR($B37*($F$36-$C$36)/$B$36,0.5)</f>
        <v>-4</v>
      </c>
      <c r="G37" s="108">
        <f>CEILING(F37,1)</f>
        <v>-4</v>
      </c>
    </row>
    <row r="38" spans="1:7">
      <c r="A38" t="s">
        <v>640</v>
      </c>
      <c r="B38">
        <v>0.85</v>
      </c>
      <c r="C38">
        <v>30</v>
      </c>
      <c r="D38" s="107">
        <f t="shared" ref="D38:D42" si="10">C38+FLOOR(B38*($D$36-$C$36)/$B$36,0.5)</f>
        <v>51</v>
      </c>
      <c r="E38" s="108">
        <f t="shared" ref="E38:E42" si="11">CEILING(D38,1)</f>
        <v>51</v>
      </c>
      <c r="F38" s="107">
        <f t="shared" ref="F38:F42" si="12">$C38+FLOOR($B38*($F$36-$C$36)/$B$36,0.5)</f>
        <v>-84</v>
      </c>
      <c r="G38" s="108">
        <f t="shared" ref="G38:G42" si="13">CEILING(F38,1)</f>
        <v>-84</v>
      </c>
    </row>
    <row r="39" spans="1:7">
      <c r="A39" t="s">
        <v>650</v>
      </c>
      <c r="B39">
        <v>0.1</v>
      </c>
      <c r="C39">
        <v>3</v>
      </c>
      <c r="D39" s="107">
        <f t="shared" si="10"/>
        <v>5</v>
      </c>
      <c r="E39" s="108">
        <f t="shared" si="11"/>
        <v>5</v>
      </c>
      <c r="F39" s="107">
        <f t="shared" si="12"/>
        <v>-10.5</v>
      </c>
      <c r="G39" s="108">
        <f t="shared" si="13"/>
        <v>-10</v>
      </c>
    </row>
    <row r="40" spans="1:7">
      <c r="A40" t="s">
        <v>639</v>
      </c>
      <c r="B40">
        <v>0.2</v>
      </c>
      <c r="C40">
        <v>6</v>
      </c>
      <c r="D40" s="107">
        <f t="shared" si="10"/>
        <v>10.5</v>
      </c>
      <c r="E40" s="108">
        <f t="shared" si="11"/>
        <v>11</v>
      </c>
      <c r="F40" s="107">
        <f t="shared" si="12"/>
        <v>-21</v>
      </c>
      <c r="G40" s="108">
        <f t="shared" si="13"/>
        <v>-21</v>
      </c>
    </row>
    <row r="41" spans="1:7">
      <c r="A41" t="s">
        <v>648</v>
      </c>
      <c r="B41">
        <v>0.05</v>
      </c>
      <c r="C41">
        <v>1</v>
      </c>
      <c r="D41" s="107">
        <f t="shared" si="10"/>
        <v>2</v>
      </c>
      <c r="E41" s="108">
        <f t="shared" si="11"/>
        <v>2</v>
      </c>
      <c r="F41" s="107">
        <f t="shared" si="12"/>
        <v>-6</v>
      </c>
      <c r="G41" s="108">
        <f t="shared" si="13"/>
        <v>-6</v>
      </c>
    </row>
    <row r="42" spans="1:7">
      <c r="A42" t="s">
        <v>638</v>
      </c>
      <c r="B42">
        <f>SUM(B37:B41)*0.1</f>
        <v>0.125</v>
      </c>
      <c r="D42" s="107">
        <f t="shared" si="10"/>
        <v>3</v>
      </c>
      <c r="E42" s="108">
        <f t="shared" si="11"/>
        <v>3</v>
      </c>
      <c r="F42" s="107">
        <f t="shared" si="12"/>
        <v>-17</v>
      </c>
      <c r="G42" s="108">
        <f t="shared" si="13"/>
        <v>-17</v>
      </c>
    </row>
  </sheetData>
  <sortState ref="A27:D39">
    <sortCondition ref="A30:A39"/>
    <sortCondition ref="B30:B39"/>
  </sortState>
  <mergeCells count="2">
    <mergeCell ref="D2:E2"/>
    <mergeCell ref="F2:G2"/>
  </mergeCells>
  <pageMargins left="0.7" right="0.7" top="0.75" bottom="0.75" header="0.3" footer="0.3"/>
  <pageSetup orientation="portrait" horizontalDpi="0" verticalDpi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A1AE5-3090-F34A-BB87-7CAFAB9DCFD1}">
  <dimension ref="A1:AF73"/>
  <sheetViews>
    <sheetView workbookViewId="0">
      <selection activeCell="D38" sqref="D38"/>
    </sheetView>
  </sheetViews>
  <sheetFormatPr baseColWidth="10" defaultRowHeight="16"/>
  <cols>
    <col min="1" max="1" width="22.83203125" bestFit="1" customWidth="1"/>
    <col min="3" max="3" width="13.6640625" bestFit="1" customWidth="1"/>
    <col min="4" max="4" width="12.6640625" bestFit="1" customWidth="1"/>
    <col min="5" max="5" width="12.1640625" bestFit="1" customWidth="1"/>
    <col min="6" max="6" width="11.6640625" bestFit="1" customWidth="1"/>
    <col min="7" max="7" width="12.1640625" bestFit="1" customWidth="1"/>
    <col min="12" max="16" width="7" customWidth="1"/>
    <col min="17" max="17" width="7.5" customWidth="1"/>
    <col min="18" max="19" width="7" customWidth="1"/>
    <col min="20" max="20" width="9.6640625" customWidth="1"/>
    <col min="24" max="24" width="12.1640625" bestFit="1" customWidth="1"/>
  </cols>
  <sheetData>
    <row r="1" spans="1:29">
      <c r="A1" t="s">
        <v>88</v>
      </c>
      <c r="D1" s="3">
        <f>Vehicle!B38*0.000001</f>
        <v>37.922259125155584</v>
      </c>
      <c r="E1" t="s">
        <v>77</v>
      </c>
    </row>
    <row r="2" spans="1:29">
      <c r="A2" t="s">
        <v>694</v>
      </c>
      <c r="D2">
        <f>Vehicle!E21</f>
        <v>3136</v>
      </c>
      <c r="E2" s="7"/>
      <c r="F2" s="7"/>
      <c r="G2" s="7"/>
      <c r="H2" s="7"/>
      <c r="I2" s="7"/>
      <c r="J2" s="7"/>
      <c r="U2" s="7"/>
      <c r="V2" s="7"/>
      <c r="W2" s="7"/>
      <c r="X2" s="7"/>
      <c r="Y2" s="7"/>
      <c r="Z2" s="7"/>
      <c r="AA2" s="7"/>
      <c r="AB2" s="7"/>
      <c r="AC2" s="7"/>
    </row>
    <row r="4" spans="1:29">
      <c r="A4" t="s">
        <v>270</v>
      </c>
    </row>
    <row r="5" spans="1:29">
      <c r="A5" t="s">
        <v>272</v>
      </c>
      <c r="D5">
        <f>180*Conversion!G16</f>
        <v>69.498388800000001</v>
      </c>
      <c r="E5" t="s">
        <v>273</v>
      </c>
    </row>
    <row r="6" spans="1:29">
      <c r="A6" t="s">
        <v>271</v>
      </c>
      <c r="D6">
        <f>D2/D5</f>
        <v>45.1233482408444</v>
      </c>
      <c r="E6" t="s">
        <v>77</v>
      </c>
      <c r="F6" t="s">
        <v>87</v>
      </c>
    </row>
    <row r="7" spans="1:29">
      <c r="A7" t="s">
        <v>86</v>
      </c>
      <c r="D7">
        <f>C45*0.000001</f>
        <v>13.64691702104086</v>
      </c>
      <c r="E7" t="s">
        <v>77</v>
      </c>
    </row>
    <row r="8" spans="1:29">
      <c r="D8">
        <f>D7*Conversion!D16</f>
        <v>1364.6917021040861</v>
      </c>
      <c r="E8" t="s">
        <v>143</v>
      </c>
    </row>
    <row r="10" spans="1:29">
      <c r="A10" t="s">
        <v>230</v>
      </c>
      <c r="D10" t="s">
        <v>557</v>
      </c>
      <c r="E10" t="s">
        <v>429</v>
      </c>
      <c r="F10" t="s">
        <v>428</v>
      </c>
    </row>
    <row r="11" spans="1:29">
      <c r="C11" t="s">
        <v>239</v>
      </c>
      <c r="D11">
        <f>IF(SUM(D12:D15)&gt;G27,0,G27-SUM(D12:D15))</f>
        <v>4.3886882891414132</v>
      </c>
      <c r="E11" s="54">
        <f>Protein!B10</f>
        <v>2000853.8435997993</v>
      </c>
    </row>
    <row r="12" spans="1:29">
      <c r="C12" t="s">
        <v>238</v>
      </c>
      <c r="D12">
        <f>H12/2.2</f>
        <v>18.18181818181818</v>
      </c>
      <c r="E12" s="54">
        <f>Cattle!C8</f>
        <v>4037730.1440000003</v>
      </c>
      <c r="F12">
        <f>Cattle!C18</f>
        <v>892</v>
      </c>
      <c r="H12" s="7">
        <v>40</v>
      </c>
      <c r="I12" s="62">
        <v>67.8</v>
      </c>
      <c r="J12" s="62" t="s">
        <v>291</v>
      </c>
      <c r="K12" s="62" t="s">
        <v>293</v>
      </c>
      <c r="L12" s="62"/>
    </row>
    <row r="13" spans="1:29">
      <c r="C13" t="s">
        <v>256</v>
      </c>
      <c r="D13">
        <f>H13/2.2</f>
        <v>13.636363636363635</v>
      </c>
      <c r="E13" s="54">
        <f>Protein!B27</f>
        <v>304528.92561983463</v>
      </c>
      <c r="F13">
        <f>SUM(Protein!B19:D19)</f>
        <v>17008.264462809915</v>
      </c>
      <c r="H13" s="7">
        <v>30</v>
      </c>
      <c r="I13" s="62">
        <v>61.5</v>
      </c>
      <c r="J13" s="62" t="s">
        <v>291</v>
      </c>
      <c r="K13" s="62" t="s">
        <v>292</v>
      </c>
      <c r="L13" s="62"/>
    </row>
    <row r="14" spans="1:29">
      <c r="C14" t="s">
        <v>312</v>
      </c>
      <c r="D14">
        <f>H14/2.2</f>
        <v>4.545454545454545</v>
      </c>
      <c r="E14" s="54">
        <f>Protein!B44</f>
        <v>61707.98898071624</v>
      </c>
      <c r="F14">
        <f>Protein!B35</f>
        <v>181.01010101010098</v>
      </c>
      <c r="H14" s="7">
        <v>10</v>
      </c>
      <c r="I14" s="62">
        <v>49.8</v>
      </c>
      <c r="J14" s="62" t="s">
        <v>291</v>
      </c>
      <c r="K14" s="62" t="s">
        <v>307</v>
      </c>
      <c r="L14" s="62"/>
    </row>
    <row r="15" spans="1:29">
      <c r="C15" t="s">
        <v>554</v>
      </c>
      <c r="D15">
        <v>18</v>
      </c>
      <c r="E15" s="54">
        <f>Protein!B60</f>
        <v>315552.21637866262</v>
      </c>
    </row>
    <row r="16" spans="1:29">
      <c r="C16" t="s">
        <v>16</v>
      </c>
      <c r="E16" s="3">
        <f>SUM(E12:E14)</f>
        <v>4403967.0586005514</v>
      </c>
    </row>
    <row r="17" spans="1:32">
      <c r="C17" t="s">
        <v>495</v>
      </c>
      <c r="E17" s="3">
        <f>SUM(Crops!G4:G119)</f>
        <v>4403967.0586005514</v>
      </c>
    </row>
    <row r="19" spans="1:32">
      <c r="B19" t="s">
        <v>240</v>
      </c>
      <c r="D19">
        <v>80</v>
      </c>
      <c r="E19" s="7" t="s">
        <v>144</v>
      </c>
      <c r="F19" s="7"/>
      <c r="G19" s="7"/>
      <c r="H19" s="7"/>
      <c r="I19" s="7"/>
      <c r="J19" s="7"/>
      <c r="U19" s="7"/>
      <c r="V19" s="7"/>
      <c r="W19" s="7"/>
      <c r="X19" s="7"/>
      <c r="Y19" s="7"/>
      <c r="Z19" s="7"/>
      <c r="AA19" s="7"/>
      <c r="AB19" s="7"/>
      <c r="AC19" s="7"/>
    </row>
    <row r="20" spans="1:32">
      <c r="B20" t="s">
        <v>241</v>
      </c>
      <c r="D20">
        <v>1.25E-3</v>
      </c>
      <c r="E20" s="7" t="s">
        <v>243</v>
      </c>
      <c r="F20" s="7" t="s">
        <v>242</v>
      </c>
      <c r="G20" s="7"/>
      <c r="H20" s="7"/>
      <c r="I20" s="7"/>
      <c r="J20" s="7"/>
      <c r="U20" s="7"/>
      <c r="V20" s="7"/>
      <c r="W20" s="7"/>
      <c r="X20" s="7"/>
      <c r="Y20" s="7"/>
      <c r="Z20" s="7"/>
      <c r="AA20" s="7"/>
      <c r="AB20" s="7"/>
      <c r="AC20" s="7"/>
    </row>
    <row r="21" spans="1:32">
      <c r="B21" t="s">
        <v>254</v>
      </c>
      <c r="D21" s="5">
        <f>SUM(AB:AB)+(D19*D20*3020)</f>
        <v>302</v>
      </c>
      <c r="E21" s="7" t="s">
        <v>255</v>
      </c>
      <c r="F21" s="7"/>
      <c r="G21" s="7"/>
      <c r="H21" s="7"/>
      <c r="I21" s="7"/>
      <c r="J21" s="7"/>
      <c r="U21" s="7"/>
      <c r="V21" s="7"/>
      <c r="W21" s="7"/>
      <c r="X21" s="7"/>
      <c r="Y21" s="7"/>
      <c r="Z21" s="7"/>
      <c r="AA21" s="7"/>
      <c r="AB21" s="7"/>
      <c r="AC21" s="7"/>
    </row>
    <row r="22" spans="1:32">
      <c r="D22" s="5"/>
      <c r="E22" s="7"/>
      <c r="F22" s="7"/>
      <c r="G22" s="7"/>
      <c r="H22" s="7"/>
      <c r="I22" s="7"/>
      <c r="J22" s="7"/>
      <c r="U22" s="7"/>
      <c r="V22" s="7"/>
      <c r="W22" s="7"/>
      <c r="X22" s="7"/>
      <c r="Y22" s="7"/>
      <c r="Z22" s="7"/>
      <c r="AA22" s="7"/>
      <c r="AB22" s="7"/>
      <c r="AC22" s="7"/>
    </row>
    <row r="23" spans="1:32">
      <c r="A23" t="s">
        <v>500</v>
      </c>
      <c r="B23" t="s">
        <v>543</v>
      </c>
      <c r="D23" t="s">
        <v>497</v>
      </c>
      <c r="E23" s="7" t="s">
        <v>498</v>
      </c>
      <c r="F23" s="7" t="s">
        <v>548</v>
      </c>
      <c r="G23" s="7" t="s">
        <v>483</v>
      </c>
      <c r="H23" s="7"/>
      <c r="I23" s="7"/>
      <c r="J23" s="7"/>
      <c r="U23" s="7"/>
      <c r="V23" s="7"/>
      <c r="W23" s="7"/>
      <c r="X23" s="7"/>
      <c r="Y23" s="7"/>
      <c r="Z23" s="7"/>
      <c r="AA23" s="7"/>
      <c r="AB23" s="7"/>
      <c r="AC23" s="7"/>
    </row>
    <row r="24" spans="1:32">
      <c r="B24" t="s">
        <v>501</v>
      </c>
      <c r="D24">
        <v>1</v>
      </c>
      <c r="E24" s="7">
        <f>Diet!K5</f>
        <v>46.611111111111114</v>
      </c>
      <c r="F24">
        <v>387</v>
      </c>
      <c r="G24" s="7">
        <f t="shared" ref="G24:G34" si="0">E24/F24*0.1*365.26</f>
        <v>4.3992698822853864</v>
      </c>
      <c r="H24" s="7"/>
      <c r="I24" s="7"/>
      <c r="J24" s="7"/>
      <c r="U24" s="7"/>
      <c r="V24" s="7"/>
      <c r="W24" s="7"/>
      <c r="X24" s="7"/>
      <c r="Y24" s="7"/>
      <c r="Z24" s="7"/>
      <c r="AA24" s="7"/>
      <c r="AB24" s="7"/>
      <c r="AC24" s="7"/>
    </row>
    <row r="25" spans="1:32">
      <c r="B25" t="s">
        <v>502</v>
      </c>
      <c r="D25">
        <v>2</v>
      </c>
      <c r="E25" s="7">
        <f>Diet!L5</f>
        <v>395.1</v>
      </c>
      <c r="F25">
        <v>387</v>
      </c>
      <c r="G25" s="7">
        <f t="shared" si="0"/>
        <v>37.290497674418603</v>
      </c>
      <c r="H25" s="7"/>
      <c r="I25" s="7" t="s">
        <v>549</v>
      </c>
      <c r="J25" s="7"/>
      <c r="U25" s="7"/>
      <c r="V25" s="7"/>
      <c r="W25" s="7"/>
      <c r="X25" s="7"/>
      <c r="Y25" s="7"/>
      <c r="Z25" s="7"/>
      <c r="AA25" s="7"/>
      <c r="AB25" s="7"/>
      <c r="AC25" s="7"/>
    </row>
    <row r="26" spans="1:32">
      <c r="B26" t="s">
        <v>544</v>
      </c>
      <c r="D26">
        <v>3</v>
      </c>
      <c r="E26" s="7">
        <f>Diet!M5</f>
        <v>698.36363636363637</v>
      </c>
      <c r="F26">
        <v>884</v>
      </c>
      <c r="G26" s="7">
        <f t="shared" si="0"/>
        <v>28.855690250925544</v>
      </c>
      <c r="H26" s="7"/>
      <c r="I26" s="7"/>
      <c r="J26" s="7"/>
      <c r="U26" s="7"/>
      <c r="V26" s="7"/>
      <c r="W26" s="7"/>
      <c r="X26" s="7"/>
      <c r="Y26" s="7"/>
      <c r="Z26" s="7"/>
      <c r="AA26" s="7"/>
      <c r="AB26" s="7"/>
      <c r="AC26" s="7"/>
    </row>
    <row r="27" spans="1:32">
      <c r="B27" t="s">
        <v>536</v>
      </c>
      <c r="D27">
        <v>4</v>
      </c>
      <c r="E27" s="7">
        <f>Diet!N5</f>
        <v>463.25</v>
      </c>
      <c r="F27">
        <v>288</v>
      </c>
      <c r="G27" s="7">
        <f t="shared" si="0"/>
        <v>58.752324652777773</v>
      </c>
      <c r="H27" s="7"/>
      <c r="I27" s="7"/>
      <c r="J27" s="7"/>
      <c r="U27" s="7"/>
      <c r="V27" s="7"/>
      <c r="W27" s="7"/>
      <c r="X27" s="7"/>
      <c r="Y27" s="7"/>
      <c r="Z27" s="7"/>
      <c r="AA27" s="7"/>
      <c r="AB27" s="7"/>
      <c r="AC27" s="7"/>
    </row>
    <row r="28" spans="1:32">
      <c r="B28" t="s">
        <v>537</v>
      </c>
      <c r="D28">
        <v>5</v>
      </c>
      <c r="E28">
        <f>Diet!O5</f>
        <v>376.875</v>
      </c>
      <c r="F28">
        <v>60</v>
      </c>
      <c r="G28" s="7">
        <f t="shared" si="0"/>
        <v>229.42893750000002</v>
      </c>
      <c r="H28" s="7"/>
      <c r="I28" s="7"/>
      <c r="J28" s="7"/>
      <c r="K28" s="7"/>
      <c r="L28" s="7"/>
      <c r="M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>
      <c r="B29" t="s">
        <v>538</v>
      </c>
      <c r="D29">
        <v>6</v>
      </c>
      <c r="E29">
        <f>Diet!P5</f>
        <v>200.30769230769232</v>
      </c>
      <c r="F29">
        <v>57</v>
      </c>
      <c r="G29" s="7">
        <f t="shared" si="0"/>
        <v>128.35857489878543</v>
      </c>
      <c r="H29" s="7"/>
      <c r="I29" s="7"/>
      <c r="J29" s="7"/>
      <c r="K29" s="7"/>
      <c r="L29" s="7"/>
      <c r="M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>
      <c r="B30" t="s">
        <v>545</v>
      </c>
      <c r="D30">
        <v>7</v>
      </c>
      <c r="E30">
        <f>Diet!Q5</f>
        <v>126.22222222222223</v>
      </c>
      <c r="F30">
        <v>86</v>
      </c>
      <c r="G30" s="7">
        <f t="shared" si="0"/>
        <v>53.609219638242898</v>
      </c>
      <c r="H30" s="7"/>
      <c r="I30" s="7" t="s">
        <v>551</v>
      </c>
      <c r="J30" s="7"/>
      <c r="K30" s="7"/>
      <c r="L30" s="7"/>
      <c r="M30" s="7"/>
      <c r="X30" s="7"/>
      <c r="Y30" s="7"/>
      <c r="Z30" s="7"/>
      <c r="AA30" s="7"/>
      <c r="AB30" s="7"/>
      <c r="AC30" s="7"/>
      <c r="AD30" s="7"/>
      <c r="AE30" s="7"/>
      <c r="AF30" s="7"/>
    </row>
    <row r="31" spans="1:32">
      <c r="B31" t="s">
        <v>540</v>
      </c>
      <c r="D31">
        <v>8</v>
      </c>
      <c r="E31">
        <f>Diet!R5</f>
        <v>44.166666666666664</v>
      </c>
      <c r="F31">
        <v>81</v>
      </c>
      <c r="G31" s="7">
        <f t="shared" si="0"/>
        <v>19.916440329218108</v>
      </c>
      <c r="H31" s="7"/>
      <c r="I31" t="s">
        <v>552</v>
      </c>
      <c r="J31" s="7" t="s">
        <v>547</v>
      </c>
      <c r="K31" s="7"/>
      <c r="L31" s="7"/>
      <c r="M31" s="7"/>
      <c r="X31" s="7"/>
      <c r="Y31" s="7"/>
      <c r="Z31" s="7"/>
      <c r="AA31" s="7"/>
      <c r="AB31" s="7"/>
      <c r="AC31" s="7"/>
      <c r="AD31" s="7"/>
      <c r="AE31" s="7"/>
      <c r="AF31" s="7"/>
    </row>
    <row r="32" spans="1:32">
      <c r="B32" t="s">
        <v>541</v>
      </c>
      <c r="D32">
        <v>9</v>
      </c>
      <c r="E32">
        <f>Diet!S5</f>
        <v>1035</v>
      </c>
      <c r="F32">
        <v>129</v>
      </c>
      <c r="G32" s="7">
        <f t="shared" si="0"/>
        <v>293.05744186046513</v>
      </c>
      <c r="I32" t="s">
        <v>550</v>
      </c>
      <c r="K32" s="7"/>
      <c r="L32" s="7"/>
      <c r="M32" s="7"/>
      <c r="X32" s="7"/>
      <c r="Y32" s="7"/>
      <c r="Z32" s="7"/>
      <c r="AA32" s="7"/>
      <c r="AB32" s="7"/>
      <c r="AC32" s="7"/>
      <c r="AD32" s="7"/>
      <c r="AE32" s="7"/>
      <c r="AF32" s="7"/>
    </row>
    <row r="33" spans="1:32">
      <c r="B33" t="s">
        <v>546</v>
      </c>
      <c r="D33">
        <v>10</v>
      </c>
      <c r="E33">
        <f>Diet!T5</f>
        <v>161.72727272727272</v>
      </c>
      <c r="F33">
        <v>85</v>
      </c>
      <c r="G33" s="7">
        <f t="shared" si="0"/>
        <v>69.497063101604283</v>
      </c>
      <c r="H33" s="7"/>
      <c r="I33" s="7" t="s">
        <v>553</v>
      </c>
      <c r="J33" s="7"/>
      <c r="K33" s="7"/>
      <c r="L33" s="7"/>
      <c r="M33" s="7"/>
      <c r="X33" s="7"/>
      <c r="Y33" s="7"/>
      <c r="Z33" s="7"/>
      <c r="AA33" s="7"/>
      <c r="AB33" s="7"/>
      <c r="AC33" s="7"/>
      <c r="AD33" s="7"/>
      <c r="AE33" s="7"/>
      <c r="AF33" s="7"/>
    </row>
    <row r="34" spans="1:32">
      <c r="B34" t="s">
        <v>558</v>
      </c>
      <c r="D34">
        <v>11</v>
      </c>
      <c r="E34" s="7">
        <f>E27/2</f>
        <v>231.625</v>
      </c>
      <c r="F34" s="7">
        <f>F26</f>
        <v>884</v>
      </c>
      <c r="G34" s="7">
        <f t="shared" si="0"/>
        <v>9.5705144230769239</v>
      </c>
      <c r="H34" s="7"/>
      <c r="I34" s="7"/>
      <c r="J34" s="7"/>
      <c r="U34" s="7"/>
      <c r="V34" s="7"/>
      <c r="W34" s="7"/>
      <c r="X34" s="7"/>
      <c r="Y34" s="7"/>
      <c r="Z34" s="7"/>
      <c r="AA34" s="7"/>
      <c r="AB34" s="7"/>
      <c r="AC34" s="7"/>
    </row>
    <row r="35" spans="1:32">
      <c r="E35" s="7"/>
      <c r="F35" s="7"/>
      <c r="G35" s="7"/>
      <c r="H35" s="7"/>
      <c r="I35" s="7"/>
      <c r="J35" s="7"/>
      <c r="U35" s="7"/>
      <c r="V35" s="7"/>
      <c r="W35" s="7"/>
      <c r="X35" s="7"/>
      <c r="Y35" s="7"/>
      <c r="Z35" s="7"/>
      <c r="AA35" s="7"/>
      <c r="AB35" s="7"/>
      <c r="AC35" s="7"/>
    </row>
    <row r="36" spans="1:32">
      <c r="A36" t="s">
        <v>301</v>
      </c>
      <c r="D36" t="s">
        <v>303</v>
      </c>
      <c r="E36" s="7" t="s">
        <v>16</v>
      </c>
      <c r="F36" s="7"/>
      <c r="G36" s="7"/>
      <c r="H36" s="7"/>
      <c r="I36" s="7"/>
      <c r="J36" s="7"/>
      <c r="U36" s="7"/>
      <c r="V36" s="7"/>
      <c r="W36" s="7"/>
      <c r="X36" s="7"/>
      <c r="Y36" s="7"/>
      <c r="Z36" s="7"/>
      <c r="AA36" s="7"/>
      <c r="AB36" s="7"/>
      <c r="AC36" s="7"/>
    </row>
    <row r="37" spans="1:32">
      <c r="B37" t="s">
        <v>302</v>
      </c>
      <c r="D37">
        <f>G27</f>
        <v>58.752324652777773</v>
      </c>
      <c r="E37" s="7">
        <f>D37*$D$2</f>
        <v>184247.2901111111</v>
      </c>
      <c r="F37" s="7"/>
      <c r="G37" s="7"/>
      <c r="H37" s="7"/>
      <c r="I37" s="7"/>
      <c r="J37" s="7"/>
      <c r="U37" s="7"/>
      <c r="V37" s="7"/>
      <c r="W37" s="7"/>
      <c r="X37" s="7"/>
      <c r="Y37" s="7"/>
      <c r="Z37" s="7"/>
      <c r="AA37" s="7"/>
      <c r="AB37" s="7"/>
      <c r="AC37" s="7"/>
    </row>
    <row r="38" spans="1:32">
      <c r="B38" t="s">
        <v>304</v>
      </c>
      <c r="D38">
        <f>SUM(Crops!D6:D119)</f>
        <v>1221.4167581502652</v>
      </c>
      <c r="E38" s="53">
        <f>SUM(Crops!F6:F119)</f>
        <v>2703568.535569699</v>
      </c>
      <c r="F38" s="7"/>
      <c r="G38" s="7"/>
      <c r="H38" s="7"/>
      <c r="I38" s="7"/>
      <c r="J38" s="7"/>
      <c r="U38" s="7"/>
      <c r="V38" s="7"/>
      <c r="W38" s="7"/>
      <c r="X38" s="7"/>
      <c r="Y38" s="7"/>
      <c r="Z38" s="7"/>
      <c r="AA38" s="7"/>
      <c r="AB38" s="7"/>
      <c r="AC38" s="7"/>
    </row>
    <row r="39" spans="1:32">
      <c r="A39" t="s">
        <v>305</v>
      </c>
      <c r="C39">
        <v>0.15</v>
      </c>
      <c r="E39" s="7">
        <f>(E37+E42)*C39</f>
        <v>27637.093516666664</v>
      </c>
      <c r="F39" s="7"/>
      <c r="G39" s="7"/>
      <c r="H39" s="7"/>
      <c r="I39" s="7"/>
      <c r="J39" s="7"/>
      <c r="U39" s="7"/>
      <c r="V39" s="7"/>
      <c r="W39" s="7"/>
      <c r="X39" s="7"/>
      <c r="Y39" s="7"/>
      <c r="Z39" s="7"/>
      <c r="AA39" s="7"/>
      <c r="AB39" s="7"/>
      <c r="AC39" s="7"/>
    </row>
    <row r="40" spans="1:32">
      <c r="A40" t="s">
        <v>729</v>
      </c>
      <c r="E40" s="7">
        <f>(E37+E38)*7</f>
        <v>20214710.779765669</v>
      </c>
      <c r="F40" s="7"/>
      <c r="G40" s="7" t="s">
        <v>730</v>
      </c>
      <c r="H40" s="7"/>
      <c r="I40" s="7"/>
      <c r="J40" s="7"/>
      <c r="U40" s="7"/>
      <c r="V40" s="7"/>
      <c r="W40" s="7"/>
      <c r="X40" s="7"/>
      <c r="Y40" s="7"/>
      <c r="Z40" s="7"/>
      <c r="AA40" s="7"/>
      <c r="AB40" s="7"/>
      <c r="AC40" s="7"/>
    </row>
    <row r="41" spans="1:32">
      <c r="E41" s="7"/>
      <c r="F41" s="7"/>
      <c r="G41" s="7"/>
      <c r="H41" s="7"/>
      <c r="I41" s="7"/>
      <c r="J41" s="7"/>
      <c r="U41" s="7"/>
      <c r="V41" s="7"/>
      <c r="W41" s="7"/>
      <c r="X41" s="7"/>
      <c r="Y41" s="7"/>
      <c r="Z41" s="7"/>
      <c r="AA41" s="7"/>
      <c r="AB41" s="7"/>
      <c r="AC41" s="7"/>
    </row>
    <row r="43" spans="1:32">
      <c r="A43" t="s">
        <v>280</v>
      </c>
      <c r="C43" s="3">
        <f>SUM(Crops!X4:X119)</f>
        <v>9192253.5265651233</v>
      </c>
    </row>
    <row r="44" spans="1:32">
      <c r="A44" t="s">
        <v>281</v>
      </c>
      <c r="C44" s="3">
        <f>SUM(Crops!Y4:Y119)</f>
        <v>4454663.4944757363</v>
      </c>
      <c r="F44" t="s">
        <v>432</v>
      </c>
      <c r="G44" t="s">
        <v>393</v>
      </c>
    </row>
    <row r="45" spans="1:32">
      <c r="A45" t="s">
        <v>121</v>
      </c>
      <c r="C45" s="45">
        <f>C43+C44</f>
        <v>13646917.021040861</v>
      </c>
      <c r="D45" s="69">
        <f>C45*Conversion!F18</f>
        <v>3372.289665069407</v>
      </c>
      <c r="F45" t="s">
        <v>433</v>
      </c>
      <c r="G45" t="s">
        <v>434</v>
      </c>
    </row>
    <row r="46" spans="1:32">
      <c r="C46" s="16"/>
      <c r="D46" s="39"/>
      <c r="F46" t="s">
        <v>473</v>
      </c>
      <c r="G46" t="s">
        <v>127</v>
      </c>
    </row>
    <row r="47" spans="1:32">
      <c r="A47" t="s">
        <v>290</v>
      </c>
      <c r="C47" s="45">
        <f>SUM(Crops!Z4:Z119)</f>
        <v>14940078.564019119</v>
      </c>
      <c r="D47" s="39"/>
      <c r="F47" t="s">
        <v>477</v>
      </c>
      <c r="G47" t="s">
        <v>478</v>
      </c>
    </row>
    <row r="48" spans="1:32">
      <c r="F48" t="s">
        <v>432</v>
      </c>
      <c r="G48" t="s">
        <v>433</v>
      </c>
      <c r="J48" t="s">
        <v>475</v>
      </c>
      <c r="P48" s="39"/>
    </row>
    <row r="49" spans="1:16">
      <c r="A49" t="s">
        <v>491</v>
      </c>
      <c r="C49">
        <f>SUM(Crops!L4:L119)</f>
        <v>93095</v>
      </c>
      <c r="P49" s="39"/>
    </row>
    <row r="50" spans="1:16">
      <c r="P50" s="39"/>
    </row>
    <row r="51" spans="1:16">
      <c r="A51" t="s">
        <v>685</v>
      </c>
      <c r="C51" t="s">
        <v>664</v>
      </c>
    </row>
    <row r="53" spans="1:16">
      <c r="A53" t="s">
        <v>686</v>
      </c>
      <c r="B53" t="s">
        <v>687</v>
      </c>
      <c r="C53" t="s">
        <v>688</v>
      </c>
      <c r="D53" t="s">
        <v>487</v>
      </c>
      <c r="E53" t="s">
        <v>689</v>
      </c>
    </row>
    <row r="54" spans="1:16">
      <c r="A54" t="s">
        <v>665</v>
      </c>
      <c r="B54">
        <v>10.5</v>
      </c>
    </row>
    <row r="55" spans="1:16">
      <c r="A55" t="s">
        <v>666</v>
      </c>
      <c r="B55">
        <v>24.4</v>
      </c>
    </row>
    <row r="56" spans="1:16">
      <c r="A56" t="s">
        <v>668</v>
      </c>
      <c r="B56">
        <v>5.2</v>
      </c>
    </row>
    <row r="57" spans="1:16">
      <c r="A57" t="s">
        <v>667</v>
      </c>
      <c r="B57">
        <v>8</v>
      </c>
    </row>
    <row r="58" spans="1:16">
      <c r="A58" t="s">
        <v>669</v>
      </c>
      <c r="B58">
        <v>6</v>
      </c>
    </row>
    <row r="59" spans="1:16">
      <c r="A59" t="s">
        <v>670</v>
      </c>
      <c r="B59">
        <v>6.7</v>
      </c>
    </row>
    <row r="60" spans="1:16">
      <c r="A60" t="s">
        <v>671</v>
      </c>
      <c r="B60">
        <v>3.9</v>
      </c>
    </row>
    <row r="61" spans="1:16">
      <c r="A61" t="s">
        <v>672</v>
      </c>
      <c r="B61">
        <v>4.7</v>
      </c>
    </row>
    <row r="62" spans="1:16">
      <c r="A62" t="s">
        <v>673</v>
      </c>
      <c r="B62">
        <v>11</v>
      </c>
    </row>
    <row r="63" spans="1:16">
      <c r="A63" t="s">
        <v>674</v>
      </c>
      <c r="B63">
        <v>17.600000000000001</v>
      </c>
    </row>
    <row r="64" spans="1:16">
      <c r="A64" t="s">
        <v>675</v>
      </c>
      <c r="B64">
        <v>12.6</v>
      </c>
    </row>
    <row r="65" spans="1:2">
      <c r="A65" t="s">
        <v>676</v>
      </c>
      <c r="B65">
        <v>5</v>
      </c>
    </row>
    <row r="66" spans="1:2">
      <c r="A66" t="s">
        <v>677</v>
      </c>
      <c r="B66">
        <v>9.6</v>
      </c>
    </row>
    <row r="67" spans="1:2">
      <c r="A67" t="s">
        <v>678</v>
      </c>
      <c r="B67">
        <v>12.4</v>
      </c>
    </row>
    <row r="68" spans="1:2">
      <c r="A68" t="s">
        <v>679</v>
      </c>
      <c r="B68">
        <v>16.3</v>
      </c>
    </row>
    <row r="69" spans="1:2">
      <c r="A69" t="s">
        <v>680</v>
      </c>
      <c r="B69">
        <v>46.7</v>
      </c>
    </row>
    <row r="70" spans="1:2">
      <c r="A70" t="s">
        <v>681</v>
      </c>
      <c r="B70">
        <v>4.5999999999999996</v>
      </c>
    </row>
    <row r="71" spans="1:2">
      <c r="A71" t="s">
        <v>682</v>
      </c>
      <c r="B71">
        <v>8.3000000000000007</v>
      </c>
    </row>
    <row r="72" spans="1:2">
      <c r="A72" t="s">
        <v>683</v>
      </c>
      <c r="B72">
        <v>18.2</v>
      </c>
    </row>
    <row r="73" spans="1:2">
      <c r="A73" t="s">
        <v>684</v>
      </c>
      <c r="B73">
        <v>84</v>
      </c>
    </row>
  </sheetData>
  <pageMargins left="0.7" right="0.7" top="0.75" bottom="0.75" header="0.3" footer="0.3"/>
  <pageSetup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2C2C1-95D6-9246-A9EE-2B8B6389D5DA}">
  <dimension ref="A1:AE129"/>
  <sheetViews>
    <sheetView topLeftCell="A69" workbookViewId="0">
      <selection activeCell="A84" sqref="A84:A86"/>
    </sheetView>
  </sheetViews>
  <sheetFormatPr baseColWidth="10" defaultRowHeight="16"/>
  <cols>
    <col min="30" max="30" width="12.1640625" bestFit="1" customWidth="1"/>
  </cols>
  <sheetData>
    <row r="1" spans="1:30">
      <c r="A1" t="s">
        <v>115</v>
      </c>
      <c r="B1" t="s">
        <v>497</v>
      </c>
      <c r="D1" t="s">
        <v>117</v>
      </c>
      <c r="E1" t="s">
        <v>490</v>
      </c>
      <c r="F1" t="s">
        <v>488</v>
      </c>
      <c r="G1" t="s">
        <v>489</v>
      </c>
      <c r="H1" t="s">
        <v>436</v>
      </c>
      <c r="I1" t="s">
        <v>118</v>
      </c>
      <c r="J1" t="s">
        <v>438</v>
      </c>
      <c r="K1" t="s">
        <v>118</v>
      </c>
      <c r="L1" t="s">
        <v>425</v>
      </c>
      <c r="M1" t="s">
        <v>476</v>
      </c>
      <c r="N1" t="s">
        <v>479</v>
      </c>
      <c r="O1" t="s">
        <v>381</v>
      </c>
      <c r="P1" t="s">
        <v>382</v>
      </c>
      <c r="Q1" t="s">
        <v>383</v>
      </c>
      <c r="R1" t="s">
        <v>384</v>
      </c>
      <c r="S1" t="s">
        <v>385</v>
      </c>
      <c r="T1" t="s">
        <v>486</v>
      </c>
      <c r="U1" t="s">
        <v>17</v>
      </c>
      <c r="V1" t="s">
        <v>148</v>
      </c>
      <c r="W1" t="s">
        <v>487</v>
      </c>
      <c r="X1" t="s">
        <v>492</v>
      </c>
      <c r="Y1" t="s">
        <v>493</v>
      </c>
      <c r="Z1" t="s">
        <v>289</v>
      </c>
      <c r="AA1" t="s">
        <v>494</v>
      </c>
      <c r="AB1" t="s">
        <v>28</v>
      </c>
      <c r="AC1" t="s">
        <v>695</v>
      </c>
      <c r="AD1" t="s">
        <v>696</v>
      </c>
    </row>
    <row r="2" spans="1:30">
      <c r="A2" t="s">
        <v>379</v>
      </c>
    </row>
    <row r="3" spans="1:30">
      <c r="A3" t="s">
        <v>499</v>
      </c>
    </row>
    <row r="4" spans="1:30">
      <c r="A4" t="s">
        <v>276</v>
      </c>
      <c r="B4">
        <v>0</v>
      </c>
      <c r="E4">
        <v>0.05</v>
      </c>
      <c r="F4" s="3">
        <f>IF(D4&gt;0,D4*Agriculture!$D$2+Agriculture!$E$16*E4,IF(E4&gt;0,0,Agriculture!$D$2*0.025))</f>
        <v>0</v>
      </c>
      <c r="G4" s="3">
        <f>L4*1/Agriculture!$C$49*Agriculture!$E$16</f>
        <v>1182654.0250820538</v>
      </c>
      <c r="K4" s="54">
        <f>IF(I4&gt;0,I4,J4/2000*Conversion!$D$22)</f>
        <v>0</v>
      </c>
      <c r="L4">
        <v>25000</v>
      </c>
      <c r="W4">
        <f t="shared" ref="W4:W14" si="0">IF(N4&gt;0,1,IF(M4&gt;0,FLOOR(365.26/M4,0.1),1))</f>
        <v>1</v>
      </c>
      <c r="X4" s="3">
        <f>IF(K4&gt;0,F4/K4/W4*Conversion!$E$17,0)</f>
        <v>0</v>
      </c>
      <c r="Y4" s="3">
        <f>IF(L4&gt;0,G4/L4/W4*Conversion!$E$17,0)</f>
        <v>473061.61003282154</v>
      </c>
      <c r="Z4" s="3">
        <f t="shared" ref="Z4:Z14" si="1">(X4+Y4)*IF(U4&gt;0,U4,1)</f>
        <v>473061.61003282154</v>
      </c>
      <c r="AA4" s="3">
        <f>(F4*T4)/365.26/Agriculture!$D$2</f>
        <v>0</v>
      </c>
      <c r="AB4" s="4">
        <f>SUM(X4:Y4)*Conversion!$F$18</f>
        <v>116.89825445521052</v>
      </c>
      <c r="AC4">
        <f>16+12.4+4.6+6</f>
        <v>39</v>
      </c>
      <c r="AD4" s="4">
        <f>W4*AB4*AC4</f>
        <v>4559.0319237532103</v>
      </c>
    </row>
    <row r="5" spans="1:30" ht="18">
      <c r="A5" t="s">
        <v>123</v>
      </c>
      <c r="B5">
        <v>0</v>
      </c>
      <c r="D5">
        <v>100</v>
      </c>
      <c r="F5" s="3">
        <f>IF(D5&gt;0,D5*Agriculture!$D$2+Agriculture!$E$16*E5,IF(E5&gt;0,0,Agriculture!$D$2*0.025))</f>
        <v>313600</v>
      </c>
      <c r="G5" s="3">
        <f>L5*1/Agriculture!$C$49*Agriculture!$E$16</f>
        <v>0</v>
      </c>
      <c r="I5">
        <v>5000</v>
      </c>
      <c r="K5" s="54">
        <f>IF(I5&gt;0,I5,J5/2000*Conversion!$D$22)</f>
        <v>5000</v>
      </c>
      <c r="N5">
        <v>1</v>
      </c>
      <c r="T5" s="68">
        <f t="shared" ref="T5:T14" si="2">(O5*4+R5*4+P5*9+Q5*9)*10</f>
        <v>0</v>
      </c>
      <c r="U5">
        <v>0.6</v>
      </c>
      <c r="W5">
        <f t="shared" si="0"/>
        <v>1</v>
      </c>
      <c r="X5" s="3">
        <f>IF(K5&gt;0,F5/K5/W5*Conversion!$E$17,0)</f>
        <v>627200</v>
      </c>
      <c r="Y5" s="3">
        <f>IF(L5&gt;0,G5/L5/W5*Conversion!$E$17,0)</f>
        <v>0</v>
      </c>
      <c r="Z5" s="3">
        <f t="shared" si="1"/>
        <v>376320</v>
      </c>
      <c r="AA5" s="3">
        <f>(F5*T5)/365.26/Agriculture!$D$2</f>
        <v>0</v>
      </c>
      <c r="AB5" s="4">
        <f>SUM(X5:Y5)*Conversion!$F$18</f>
        <v>154.987392</v>
      </c>
      <c r="AC5">
        <f t="shared" ref="AC5:AC14" si="3">16+12.4+4.6</f>
        <v>33</v>
      </c>
      <c r="AD5" s="4">
        <f t="shared" ref="AD5:AD70" si="4">W5*AB5*AC5</f>
        <v>5114.583936</v>
      </c>
    </row>
    <row r="6" spans="1:30" ht="18">
      <c r="A6" t="s">
        <v>138</v>
      </c>
      <c r="B6">
        <v>0</v>
      </c>
      <c r="D6">
        <v>6</v>
      </c>
      <c r="F6" s="3">
        <f>IF(D6&gt;0,D6*Agriculture!$D$2+Agriculture!$E$16*E6,IF(E6&gt;0,0,Agriculture!$D$2*0.025))</f>
        <v>18816</v>
      </c>
      <c r="G6" s="3">
        <f>L6*1/Agriculture!$C$49*Agriculture!$E$16</f>
        <v>0</v>
      </c>
      <c r="I6">
        <v>1500</v>
      </c>
      <c r="K6" s="54">
        <f>IF(I6&gt;0,I6,J6/2000*Conversion!$D$22)</f>
        <v>1500</v>
      </c>
      <c r="N6">
        <v>1</v>
      </c>
      <c r="T6" s="68">
        <f t="shared" si="2"/>
        <v>0</v>
      </c>
      <c r="U6">
        <v>0.9</v>
      </c>
      <c r="W6">
        <f t="shared" si="0"/>
        <v>1</v>
      </c>
      <c r="X6" s="3">
        <f>IF(K6&gt;0,F6/K6/W6*Conversion!$E$17,0)</f>
        <v>125440</v>
      </c>
      <c r="Y6" s="3">
        <f>IF(L6&gt;0,G6/L6/W6*Conversion!$E$17,0)</f>
        <v>0</v>
      </c>
      <c r="Z6" s="3">
        <f t="shared" si="1"/>
        <v>112896</v>
      </c>
      <c r="AA6" s="3">
        <f>(F6*T6)/365.26/Agriculture!$D$2</f>
        <v>0</v>
      </c>
      <c r="AB6" s="4">
        <f>SUM(X6:Y6)*Conversion!$F$18</f>
        <v>30.997478399999999</v>
      </c>
      <c r="AC6">
        <f t="shared" si="3"/>
        <v>33</v>
      </c>
      <c r="AD6" s="4">
        <f t="shared" si="4"/>
        <v>1022.9167871999999</v>
      </c>
    </row>
    <row r="7" spans="1:30" ht="18">
      <c r="A7" t="s">
        <v>139</v>
      </c>
      <c r="B7">
        <v>0</v>
      </c>
      <c r="D7">
        <v>12</v>
      </c>
      <c r="F7" s="3">
        <f>IF(D7&gt;0,D7*Agriculture!$D$2+Agriculture!$E$16*E7,IF(E7&gt;0,0,Agriculture!$D$2*0.025))</f>
        <v>37632</v>
      </c>
      <c r="G7" s="3">
        <f>L7*1/Agriculture!$C$49*Agriculture!$E$16</f>
        <v>0</v>
      </c>
      <c r="I7">
        <v>1250</v>
      </c>
      <c r="K7" s="54">
        <f>IF(I7&gt;0,I7,J7/2000*Conversion!$D$22)</f>
        <v>1250</v>
      </c>
      <c r="N7" s="68">
        <v>1</v>
      </c>
      <c r="T7" s="68">
        <f t="shared" si="2"/>
        <v>0</v>
      </c>
      <c r="U7">
        <v>0.9</v>
      </c>
      <c r="W7">
        <f t="shared" si="0"/>
        <v>1</v>
      </c>
      <c r="X7" s="3">
        <f>IF(K7&gt;0,F7/K7/W7*Conversion!$E$17,0)</f>
        <v>301056</v>
      </c>
      <c r="Y7" s="3">
        <f>IF(L7&gt;0,G7/L7/W7*Conversion!$E$17,0)</f>
        <v>0</v>
      </c>
      <c r="Z7" s="3">
        <f t="shared" si="1"/>
        <v>270950.40000000002</v>
      </c>
      <c r="AA7" s="3">
        <f>(F7*T7)/365.26/Agriculture!$D$2</f>
        <v>0</v>
      </c>
      <c r="AB7" s="4">
        <f>SUM(X7:Y7)*Conversion!$F$18</f>
        <v>74.393948159999994</v>
      </c>
      <c r="AC7">
        <f t="shared" si="3"/>
        <v>33</v>
      </c>
      <c r="AD7" s="4">
        <f t="shared" si="4"/>
        <v>2455.0002892799998</v>
      </c>
    </row>
    <row r="8" spans="1:30" ht="18">
      <c r="A8" t="s">
        <v>122</v>
      </c>
      <c r="B8">
        <v>0</v>
      </c>
      <c r="D8">
        <v>40</v>
      </c>
      <c r="F8" s="3">
        <f>IF(D8&gt;0,D8*Agriculture!$D$2+Agriculture!$E$16*E8,IF(E8&gt;0,0,Agriculture!$D$2*0.025))</f>
        <v>125440</v>
      </c>
      <c r="G8" s="3">
        <f>L8*1/Agriculture!$C$49*Agriculture!$E$16</f>
        <v>0</v>
      </c>
      <c r="I8">
        <v>8000</v>
      </c>
      <c r="K8" s="54">
        <f>IF(I8&gt;0,I8,J8/2000*Conversion!$D$22)</f>
        <v>8000</v>
      </c>
      <c r="T8" s="68">
        <f t="shared" si="2"/>
        <v>0</v>
      </c>
      <c r="V8">
        <v>1</v>
      </c>
      <c r="W8">
        <f t="shared" si="0"/>
        <v>1</v>
      </c>
      <c r="X8" s="3">
        <f>IF(K8&gt;0,F8/K8/W8*Conversion!$E$17,0)</f>
        <v>156800</v>
      </c>
      <c r="Y8" s="3">
        <f>IF(L8&gt;0,G8/L8/W8*Conversion!$E$17,0)</f>
        <v>0</v>
      </c>
      <c r="Z8" s="3">
        <f t="shared" si="1"/>
        <v>156800</v>
      </c>
      <c r="AA8" s="3">
        <f>(F8*T8)/365.26/Agriculture!$D$2</f>
        <v>0</v>
      </c>
      <c r="AB8" s="4">
        <f>SUM(X8:Y8)*Conversion!$F$18</f>
        <v>38.746848</v>
      </c>
      <c r="AC8">
        <f t="shared" si="3"/>
        <v>33</v>
      </c>
      <c r="AD8" s="4">
        <f t="shared" si="4"/>
        <v>1278.645984</v>
      </c>
    </row>
    <row r="9" spans="1:30" ht="18">
      <c r="A9" t="s">
        <v>229</v>
      </c>
      <c r="B9">
        <v>0</v>
      </c>
      <c r="E9">
        <v>0.05</v>
      </c>
      <c r="F9" s="3">
        <f>IF(D9&gt;0,D9*Agriculture!$D$2+Agriculture!$E$16*E9,IF(E9&gt;0,0,Agriculture!$D$2*0.025))</f>
        <v>0</v>
      </c>
      <c r="G9" s="3">
        <f>L9*1/Agriculture!$C$49*Agriculture!$E$16</f>
        <v>567673.93203938578</v>
      </c>
      <c r="I9" s="68"/>
      <c r="J9" s="68"/>
      <c r="K9" s="54"/>
      <c r="L9" s="68">
        <v>12000</v>
      </c>
      <c r="M9" s="68"/>
      <c r="N9" s="68"/>
      <c r="O9" s="67"/>
      <c r="P9" s="67"/>
      <c r="Q9" s="67"/>
      <c r="R9" s="67"/>
      <c r="S9" s="67"/>
      <c r="T9" s="68">
        <f t="shared" si="2"/>
        <v>0</v>
      </c>
      <c r="W9">
        <f t="shared" si="0"/>
        <v>1</v>
      </c>
      <c r="X9" s="3">
        <f>IF(K9&gt;0,F9/K9/W9*Conversion!$E$17,0)</f>
        <v>0</v>
      </c>
      <c r="Y9" s="3">
        <f>IF(L9&gt;0,G9/L9/W9*Conversion!$E$17,0)</f>
        <v>473061.61003282148</v>
      </c>
      <c r="Z9" s="3">
        <f t="shared" si="1"/>
        <v>473061.61003282148</v>
      </c>
      <c r="AA9" s="3">
        <f>(F9*T9)/365.26/Agriculture!$D$2</f>
        <v>0</v>
      </c>
      <c r="AB9" s="4">
        <f>SUM(X9:Y9)*Conversion!$F$18</f>
        <v>116.89825445521051</v>
      </c>
      <c r="AC9">
        <f>16+12.4+4.6+6</f>
        <v>39</v>
      </c>
      <c r="AD9" s="4">
        <f t="shared" si="4"/>
        <v>4559.0319237532094</v>
      </c>
    </row>
    <row r="10" spans="1:30" ht="18">
      <c r="A10" t="s">
        <v>778</v>
      </c>
      <c r="D10">
        <v>20</v>
      </c>
      <c r="F10" s="3">
        <f>IF(D10&gt;0,D10*Agriculture!$D$2+Agriculture!$E$16*E10,IF(E10&gt;0,0,Agriculture!$D$2*0.025))</f>
        <v>62720</v>
      </c>
      <c r="G10" s="3">
        <f>L10*1/Agriculture!$C$49*Agriculture!$E$16</f>
        <v>0</v>
      </c>
      <c r="I10" s="68">
        <v>2400</v>
      </c>
      <c r="J10" s="68"/>
      <c r="K10" s="54">
        <v>2400</v>
      </c>
      <c r="L10" s="68"/>
      <c r="M10" s="68"/>
      <c r="N10" s="68"/>
      <c r="O10" s="67"/>
      <c r="P10" s="67"/>
      <c r="Q10" s="67"/>
      <c r="R10" s="67"/>
      <c r="S10" s="67"/>
      <c r="T10" s="68"/>
      <c r="W10">
        <f t="shared" ref="W10" si="5">IF(N10&gt;0,1,IF(M10&gt;0,FLOOR(365.26/M10,0.1),1))</f>
        <v>1</v>
      </c>
      <c r="X10" s="3">
        <f>IF(K10&gt;0,F10/K10/W10*Conversion!$E$17,0)</f>
        <v>261333.33333333334</v>
      </c>
      <c r="Y10" s="3">
        <f>IF(L10&gt;0,G10/L10/W10*Conversion!$E$17,0)</f>
        <v>0</v>
      </c>
      <c r="Z10" s="3">
        <f t="shared" ref="Z10" si="6">(X10+Y10)*IF(U10&gt;0,U10,1)</f>
        <v>261333.33333333334</v>
      </c>
      <c r="AA10" s="3">
        <f>(F10*T10)/365.26/Agriculture!$D$2</f>
        <v>0</v>
      </c>
      <c r="AB10" s="4">
        <f>SUM(X10:Y10)*Conversion!$F$18</f>
        <v>64.57808</v>
      </c>
      <c r="AC10">
        <f t="shared" si="3"/>
        <v>33</v>
      </c>
      <c r="AD10" s="4">
        <f t="shared" ref="AD10" si="7">W10*AB10*AC10</f>
        <v>2131.0766400000002</v>
      </c>
    </row>
    <row r="11" spans="1:30" ht="18">
      <c r="A11" t="s">
        <v>461</v>
      </c>
      <c r="B11">
        <v>0</v>
      </c>
      <c r="D11">
        <v>0.1</v>
      </c>
      <c r="F11" s="3">
        <f>IF(D11&gt;0,D11*Agriculture!$D$2+Agriculture!$E$16*E11,IF(E11&gt;0,0,Agriculture!$D$2*0.025))</f>
        <v>313.60000000000002</v>
      </c>
      <c r="G11" s="3">
        <f>L11*1/Agriculture!$C$49*Agriculture!$E$16</f>
        <v>0</v>
      </c>
      <c r="I11">
        <v>390</v>
      </c>
      <c r="K11" s="54">
        <f>IF(I11&gt;0,I11,J11/2000*Conversion!$D$22)</f>
        <v>390</v>
      </c>
      <c r="M11">
        <v>150</v>
      </c>
      <c r="T11" s="68">
        <f t="shared" si="2"/>
        <v>0</v>
      </c>
      <c r="U11">
        <v>0.5</v>
      </c>
      <c r="V11">
        <v>1</v>
      </c>
      <c r="W11">
        <f t="shared" si="0"/>
        <v>2.4000000000000004</v>
      </c>
      <c r="X11" s="3">
        <f>IF(K11&gt;0,F11/K11/W11*Conversion!$E$17,0)</f>
        <v>3350.4273504273501</v>
      </c>
      <c r="Y11" s="3">
        <f>IF(L11&gt;0,G11/L11/W11*Conversion!$E$17,0)</f>
        <v>0</v>
      </c>
      <c r="Z11" s="3">
        <f t="shared" si="1"/>
        <v>1675.2136752136751</v>
      </c>
      <c r="AA11" s="3">
        <f>(F11*T11)/365.26/Agriculture!$D$2</f>
        <v>0</v>
      </c>
      <c r="AB11" s="4">
        <f>SUM(X11:Y11)*Conversion!$F$18</f>
        <v>0.82792410256410243</v>
      </c>
      <c r="AC11">
        <f t="shared" si="3"/>
        <v>33</v>
      </c>
      <c r="AD11" s="4">
        <f t="shared" si="4"/>
        <v>65.571588923076916</v>
      </c>
    </row>
    <row r="12" spans="1:30" ht="18">
      <c r="A12" t="s">
        <v>140</v>
      </c>
      <c r="B12">
        <v>0</v>
      </c>
      <c r="D12">
        <v>2</v>
      </c>
      <c r="F12" s="3">
        <f>IF(D12&gt;0,D12*Agriculture!$D$2+Agriculture!$E$16*E12,IF(E12&gt;0,0,Agriculture!$D$2*0.025))</f>
        <v>6272</v>
      </c>
      <c r="G12" s="3">
        <f>L12*1/Agriculture!$C$49*Agriculture!$E$16</f>
        <v>0</v>
      </c>
      <c r="I12">
        <v>1650</v>
      </c>
      <c r="K12" s="54">
        <f>IF(I12&gt;0,I12,J12/2000*Conversion!$D$22)</f>
        <v>1650</v>
      </c>
      <c r="T12" s="68">
        <f t="shared" si="2"/>
        <v>0</v>
      </c>
      <c r="U12">
        <v>0.5</v>
      </c>
      <c r="V12">
        <v>1</v>
      </c>
      <c r="W12">
        <f t="shared" si="0"/>
        <v>1</v>
      </c>
      <c r="X12" s="3">
        <f>IF(K12&gt;0,F12/K12/W12*Conversion!$E$17,0)</f>
        <v>38012.121212121216</v>
      </c>
      <c r="Y12" s="3">
        <f>IF(L12&gt;0,G12/L12/W12*Conversion!$E$17,0)</f>
        <v>0</v>
      </c>
      <c r="Z12" s="3">
        <f t="shared" si="1"/>
        <v>19006.060606060608</v>
      </c>
      <c r="AA12" s="3">
        <f>(F12*T12)/365.26/Agriculture!$D$2</f>
        <v>0</v>
      </c>
      <c r="AB12" s="4">
        <f>SUM(X12:Y12)*Conversion!$F$18</f>
        <v>9.393175272727273</v>
      </c>
      <c r="AC12">
        <f t="shared" si="3"/>
        <v>33</v>
      </c>
      <c r="AD12" s="4">
        <f t="shared" si="4"/>
        <v>309.974784</v>
      </c>
    </row>
    <row r="13" spans="1:30" ht="18">
      <c r="F13" s="3"/>
      <c r="G13" s="3"/>
      <c r="K13" s="54"/>
      <c r="T13" s="68"/>
      <c r="X13" s="3"/>
      <c r="Y13" s="3"/>
      <c r="Z13" s="3"/>
      <c r="AA13" s="3"/>
      <c r="AB13" s="4"/>
      <c r="AD13" s="4"/>
    </row>
    <row r="14" spans="1:30" ht="18">
      <c r="A14" t="s">
        <v>426</v>
      </c>
      <c r="B14">
        <v>0</v>
      </c>
      <c r="F14" s="3">
        <f>IF(D14&gt;0,D14*Agriculture!$D$2+Agriculture!$E$16*E14,IF(E14&gt;0,0,Agriculture!$D$2*0.025))</f>
        <v>78.400000000000006</v>
      </c>
      <c r="G14" s="3">
        <f>L14*1/Agriculture!$C$49*Agriculture!$E$16</f>
        <v>1220498.9538846794</v>
      </c>
      <c r="J14">
        <v>12000</v>
      </c>
      <c r="K14" s="54">
        <f>IF(I14&gt;0,I14,J14/2000*Conversion!$D$22)</f>
        <v>13450.21386</v>
      </c>
      <c r="L14">
        <v>25800</v>
      </c>
      <c r="O14" s="67"/>
      <c r="P14" s="67"/>
      <c r="Q14" s="67"/>
      <c r="R14" s="67"/>
      <c r="S14" s="67"/>
      <c r="T14" s="68">
        <f t="shared" si="2"/>
        <v>0</v>
      </c>
      <c r="W14">
        <f t="shared" si="0"/>
        <v>1</v>
      </c>
      <c r="X14" s="3">
        <f>IF(K14&gt;0,F14/K14/W14*Conversion!$E$17,0)</f>
        <v>58.289036007937504</v>
      </c>
      <c r="Y14" s="3">
        <f>IF(L14&gt;0,G14/L14/W14*Conversion!$E$17,0)</f>
        <v>473061.61003282148</v>
      </c>
      <c r="Z14" s="3">
        <f t="shared" si="1"/>
        <v>473119.89906882943</v>
      </c>
      <c r="AA14" s="3">
        <f>(F14*T14)/365.26/Agriculture!$D$2</f>
        <v>0</v>
      </c>
      <c r="AB14" s="4">
        <f>SUM(X14:Y14)*Conversion!$F$18</f>
        <v>116.91265825889843</v>
      </c>
      <c r="AC14">
        <f t="shared" si="3"/>
        <v>33</v>
      </c>
      <c r="AD14" s="4">
        <f t="shared" si="4"/>
        <v>3858.1177225436481</v>
      </c>
    </row>
    <row r="15" spans="1:30" ht="18">
      <c r="F15" s="3"/>
      <c r="G15" s="3"/>
      <c r="K15" s="54"/>
      <c r="O15" s="67"/>
      <c r="P15" s="67"/>
      <c r="Q15" s="67"/>
      <c r="R15" s="67"/>
      <c r="S15" s="67"/>
      <c r="T15" s="68"/>
      <c r="X15" s="3"/>
      <c r="Y15" s="3"/>
      <c r="Z15" s="3"/>
      <c r="AA15" s="3"/>
      <c r="AB15" s="4">
        <f>SUM(X15:Y15)*Conversion!$F$18</f>
        <v>0</v>
      </c>
      <c r="AD15" s="4">
        <f t="shared" si="4"/>
        <v>0</v>
      </c>
    </row>
    <row r="16" spans="1:30" ht="18">
      <c r="A16" t="str">
        <f>Agriculture!B25</f>
        <v>Sugar</v>
      </c>
      <c r="C16">
        <f>SUM(C17:C18)</f>
        <v>1</v>
      </c>
      <c r="D16">
        <f>Agriculture!G25</f>
        <v>37.290497674418603</v>
      </c>
      <c r="F16" s="3"/>
      <c r="G16" s="3"/>
      <c r="K16" s="54"/>
      <c r="O16" s="67"/>
      <c r="P16" s="67"/>
      <c r="Q16" s="67"/>
      <c r="R16" s="67"/>
      <c r="S16" s="67"/>
      <c r="T16" s="68"/>
      <c r="X16" s="3"/>
      <c r="Y16" s="3"/>
      <c r="Z16" s="3"/>
      <c r="AA16" s="3"/>
      <c r="AB16" s="4">
        <f>SUM(X16:Y16)*Conversion!$F$18</f>
        <v>0</v>
      </c>
      <c r="AD16" s="4">
        <f t="shared" si="4"/>
        <v>0</v>
      </c>
    </row>
    <row r="17" spans="1:30" ht="18">
      <c r="A17" t="s">
        <v>288</v>
      </c>
      <c r="B17">
        <v>2</v>
      </c>
      <c r="C17">
        <v>1</v>
      </c>
      <c r="D17">
        <f>$D$16*C17/$C$16</f>
        <v>37.290497674418603</v>
      </c>
      <c r="F17" s="3">
        <f>IF(D17&gt;0,D17*Agriculture!$D$2+Agriculture!$E$16*E17,IF(E17&gt;0,0,Agriculture!$D$2*0.025))</f>
        <v>116943.00070697675</v>
      </c>
      <c r="G17" s="3">
        <f>L17*1/Agriculture!$C$49*Agriculture!$E$16</f>
        <v>0</v>
      </c>
      <c r="H17" t="s">
        <v>437</v>
      </c>
      <c r="I17">
        <v>9339</v>
      </c>
      <c r="K17" s="54">
        <f>IF(I17&gt;0,I17,J17/2000*Conversion!$D$22)</f>
        <v>9339</v>
      </c>
      <c r="O17" s="67">
        <v>0</v>
      </c>
      <c r="P17" s="67">
        <v>0</v>
      </c>
      <c r="Q17" s="67">
        <v>0</v>
      </c>
      <c r="R17" s="67">
        <v>99.98</v>
      </c>
      <c r="S17" s="67">
        <v>3634</v>
      </c>
      <c r="T17" s="68">
        <f>(O17*4+R17*4+P17*9+Q17*9)*10</f>
        <v>3999.2000000000003</v>
      </c>
      <c r="W17">
        <f>IF(N17&gt;0,1,IF(M17&gt;0,FLOOR(365.26/M17,0.1),1))</f>
        <v>1</v>
      </c>
      <c r="X17" s="3">
        <f>IF(K17&gt;0,F17/K17/W17*Conversion!$E$17,0)</f>
        <v>125220.04572971062</v>
      </c>
      <c r="Y17" s="3">
        <f>IF(L17&gt;0,G17/L17/W17*Conversion!$E$17,0)</f>
        <v>0</v>
      </c>
      <c r="Z17" s="3">
        <f>(X17+Y17)*IF(U17&gt;0,U17,1)</f>
        <v>125220.04572971062</v>
      </c>
      <c r="AA17" s="3">
        <f>(F17*T17)/365.26/Agriculture!$D$2</f>
        <v>408.29041860465122</v>
      </c>
      <c r="AB17" s="4">
        <f>SUM(X17:Y17)*Conversion!$F$18</f>
        <v>30.943125500268788</v>
      </c>
      <c r="AC17">
        <f t="shared" ref="AC17" si="8">16+12.4+4.6</f>
        <v>33</v>
      </c>
      <c r="AD17" s="4">
        <f t="shared" si="4"/>
        <v>1021.12314150887</v>
      </c>
    </row>
    <row r="18" spans="1:30" ht="18">
      <c r="A18" t="s">
        <v>413</v>
      </c>
      <c r="B18">
        <v>2</v>
      </c>
      <c r="C18">
        <v>0</v>
      </c>
      <c r="D18">
        <f>$D$16*C18/$C$16</f>
        <v>0</v>
      </c>
      <c r="F18" s="3">
        <f>IF(D18&gt;0,D18*Agriculture!$D$2+Agriculture!$E$16*E18,IF(E18&gt;0,0,Agriculture!$D$2*0.025))</f>
        <v>78.400000000000006</v>
      </c>
      <c r="G18" s="3">
        <f>L18*1/Agriculture!$C$49*Agriculture!$E$16</f>
        <v>0</v>
      </c>
      <c r="H18" t="s">
        <v>437</v>
      </c>
      <c r="I18">
        <v>7151</v>
      </c>
      <c r="K18" s="54">
        <f>IF(I18&gt;0,I18,J18/2000*Conversion!$D$22)</f>
        <v>7151</v>
      </c>
      <c r="O18" s="67">
        <v>0</v>
      </c>
      <c r="P18" s="67">
        <v>0</v>
      </c>
      <c r="Q18" s="67">
        <v>0</v>
      </c>
      <c r="R18" s="67">
        <v>99.98</v>
      </c>
      <c r="S18" s="67">
        <v>2781</v>
      </c>
      <c r="T18" s="68">
        <f>(O18*4+R18*4+P18*9+Q18*9)*10</f>
        <v>3999.2000000000003</v>
      </c>
      <c r="W18">
        <f>IF(N18&gt;0,1,IF(M18&gt;0,FLOOR(365.26/M18,0.1),1))</f>
        <v>1</v>
      </c>
      <c r="X18" s="3">
        <f>IF(K18&gt;0,F18/K18/W18*Conversion!$E$17,0)</f>
        <v>109.6350160816669</v>
      </c>
      <c r="Y18" s="3">
        <f>IF(L18&gt;0,G18/L18/W18*Conversion!$E$17,0)</f>
        <v>0</v>
      </c>
      <c r="Z18" s="3">
        <f>(X18+Y18)*IF(U18&gt;0,U18,1)</f>
        <v>109.6350160816669</v>
      </c>
      <c r="AA18" s="3">
        <f>(F18*T18)/365.26/Agriculture!$D$2</f>
        <v>0.2737228275748782</v>
      </c>
      <c r="AB18" s="4">
        <f>SUM(X18:Y18)*Conversion!$F$18</f>
        <v>2.7091908823940709E-2</v>
      </c>
      <c r="AC18">
        <f>16+6+10.5</f>
        <v>32.5</v>
      </c>
      <c r="AD18" s="4">
        <f t="shared" si="4"/>
        <v>0.88048703677807305</v>
      </c>
    </row>
    <row r="19" spans="1:30" ht="18">
      <c r="F19" s="3"/>
      <c r="G19" s="3"/>
      <c r="K19" s="54"/>
      <c r="O19" s="67"/>
      <c r="P19" s="67"/>
      <c r="Q19" s="67"/>
      <c r="R19" s="67"/>
      <c r="S19" s="67"/>
      <c r="T19" s="68"/>
      <c r="X19" s="3"/>
      <c r="Y19" s="3"/>
      <c r="Z19" s="3"/>
      <c r="AA19" s="3"/>
      <c r="AB19" s="4">
        <f>SUM(X19:Y19)*Conversion!$F$18</f>
        <v>0</v>
      </c>
      <c r="AD19" s="4">
        <f t="shared" si="4"/>
        <v>0</v>
      </c>
    </row>
    <row r="20" spans="1:30" ht="18">
      <c r="A20" t="str">
        <f>Agriculture!B26</f>
        <v>Oil &amp; Fats</v>
      </c>
      <c r="C20">
        <f>SUM(C21:C43)</f>
        <v>4.9999999999999982</v>
      </c>
      <c r="D20">
        <f>Agriculture!G26</f>
        <v>28.855690250925544</v>
      </c>
      <c r="F20" s="3"/>
      <c r="G20" s="3"/>
      <c r="K20" s="54"/>
      <c r="O20" s="67"/>
      <c r="P20" s="67"/>
      <c r="Q20" s="67"/>
      <c r="R20" s="67"/>
      <c r="S20" s="67"/>
      <c r="T20" s="68"/>
      <c r="X20" s="3"/>
      <c r="Y20" s="3"/>
      <c r="Z20" s="3"/>
      <c r="AA20" s="3"/>
      <c r="AB20" s="4">
        <f>SUM(X20:Y20)*Conversion!$F$18</f>
        <v>0</v>
      </c>
      <c r="AD20" s="4">
        <f t="shared" si="4"/>
        <v>0</v>
      </c>
    </row>
    <row r="21" spans="1:30">
      <c r="A21" t="s">
        <v>439</v>
      </c>
      <c r="B21">
        <v>3</v>
      </c>
      <c r="C21">
        <v>0.2</v>
      </c>
      <c r="D21">
        <f>$D$20*C21/$C$20</f>
        <v>1.1542276100370221</v>
      </c>
      <c r="F21" s="3">
        <f>IF(D21&gt;0,D21*Agriculture!$D$2+Agriculture!$E$16*E21,IF(E21&gt;0,0,Agriculture!$D$2*0.025))</f>
        <v>3619.6577850761014</v>
      </c>
      <c r="G21" s="3">
        <f>L21*1/Agriculture!$C$49*Agriculture!$E$16</f>
        <v>0</v>
      </c>
      <c r="J21">
        <v>1150</v>
      </c>
      <c r="K21" s="54">
        <f>IF(I21&gt;0,I21,J21/2000*Conversion!$D$22)</f>
        <v>1288.9788282499999</v>
      </c>
      <c r="N21">
        <v>1</v>
      </c>
      <c r="W21">
        <f t="shared" ref="W21:W43" si="9">IF(N21&gt;0,1,IF(M21&gt;0,FLOOR(365.26/M21,0.1),1))</f>
        <v>1</v>
      </c>
      <c r="X21" s="3">
        <f>IF(K21&gt;0,F21/K21/W21*Conversion!$E$17,0)</f>
        <v>28081.592232126732</v>
      </c>
      <c r="Y21" s="3">
        <f>IF(L21&gt;0,G21/L21/W21*Conversion!$E$17,0)</f>
        <v>0</v>
      </c>
      <c r="Z21" s="3">
        <f t="shared" ref="Z21:Z43" si="10">(X21+Y21)*IF(U21&gt;0,U21,1)</f>
        <v>28081.592232126732</v>
      </c>
      <c r="AA21" s="3">
        <f>(F21*T21)/365.26/Agriculture!$D$2</f>
        <v>0</v>
      </c>
      <c r="AB21" s="4">
        <f>SUM(X21:Y21)*Conversion!$F$18</f>
        <v>6.9392422564808358</v>
      </c>
      <c r="AC21">
        <f>1.5+9.4+3.9</f>
        <v>14.8</v>
      </c>
      <c r="AD21" s="4">
        <f t="shared" si="4"/>
        <v>102.70078539591637</v>
      </c>
    </row>
    <row r="22" spans="1:30" ht="18">
      <c r="A22" t="s">
        <v>435</v>
      </c>
      <c r="B22">
        <v>3</v>
      </c>
      <c r="C22">
        <v>1</v>
      </c>
      <c r="D22">
        <f t="shared" ref="D22:D43" si="11">$D$20*C22/$C$20</f>
        <v>5.7711380501851108</v>
      </c>
      <c r="F22" s="3">
        <f>IF(D22&gt;0,D22*Agriculture!$D$2+Agriculture!$E$16*E22,IF(E22&gt;0,0,Agriculture!$D$2*0.025))</f>
        <v>18098.288925380508</v>
      </c>
      <c r="G22" s="3">
        <f>L22*1/Agriculture!$C$49*Agriculture!$E$16</f>
        <v>0</v>
      </c>
      <c r="I22" s="54"/>
      <c r="J22">
        <v>3680</v>
      </c>
      <c r="K22" s="54">
        <f>IF(I22&gt;0,I22,J22/2000*Conversion!$D$22)</f>
        <v>4124.7322504000003</v>
      </c>
      <c r="N22">
        <v>1</v>
      </c>
      <c r="T22" s="68">
        <f t="shared" ref="T22:T43" si="12">(O22*4+R22*4+P22*9+Q22*9)*10</f>
        <v>0</v>
      </c>
      <c r="W22">
        <f t="shared" si="9"/>
        <v>1</v>
      </c>
      <c r="X22" s="3">
        <f>IF(K22&gt;0,F22/K22/W22*Conversion!$E$17,0)</f>
        <v>43877.487862698013</v>
      </c>
      <c r="Y22" s="3">
        <f>IF(L22&gt;0,G22/L22/W22*Conversion!$E$17,0)</f>
        <v>0</v>
      </c>
      <c r="Z22" s="3">
        <f t="shared" si="10"/>
        <v>43877.487862698013</v>
      </c>
      <c r="AA22" s="3">
        <f>(F22*T22)/365.26/Agriculture!$D$2</f>
        <v>0</v>
      </c>
      <c r="AB22" s="4">
        <f>SUM(X22:Y22)*Conversion!$F$18</f>
        <v>10.842566025751305</v>
      </c>
      <c r="AC22">
        <f t="shared" ref="AC22:AC85" si="13">1.5+9.4+3.9</f>
        <v>14.8</v>
      </c>
      <c r="AD22" s="4">
        <f t="shared" si="4"/>
        <v>160.4699771811193</v>
      </c>
    </row>
    <row r="23" spans="1:30" ht="18">
      <c r="A23" t="s">
        <v>387</v>
      </c>
      <c r="B23">
        <v>3</v>
      </c>
      <c r="C23">
        <v>0</v>
      </c>
      <c r="D23">
        <f t="shared" si="11"/>
        <v>0</v>
      </c>
      <c r="F23" s="3">
        <f>IF(D23&gt;0,D23*Agriculture!$D$2+Agriculture!$E$16*E23,IF(E23&gt;0,0,Agriculture!$D$2*0.025))</f>
        <v>78.400000000000006</v>
      </c>
      <c r="G23" s="3">
        <f>L23*1/Agriculture!$C$49*Agriculture!$E$16</f>
        <v>0</v>
      </c>
      <c r="H23" t="s">
        <v>437</v>
      </c>
      <c r="I23" s="68">
        <v>3370</v>
      </c>
      <c r="J23" s="68"/>
      <c r="K23" s="54">
        <f>IF(I23&gt;0,I23,J23/2000*Conversion!$D$22)</f>
        <v>3370</v>
      </c>
      <c r="L23" s="68"/>
      <c r="M23" s="68"/>
      <c r="N23" s="68"/>
      <c r="O23" s="67">
        <v>27</v>
      </c>
      <c r="P23" s="67">
        <v>34</v>
      </c>
      <c r="Q23" s="67">
        <v>53</v>
      </c>
      <c r="R23" s="67">
        <v>30</v>
      </c>
      <c r="S23" s="68">
        <v>1747</v>
      </c>
      <c r="T23" s="68">
        <f t="shared" si="12"/>
        <v>10110</v>
      </c>
      <c r="W23">
        <f t="shared" si="9"/>
        <v>1</v>
      </c>
      <c r="X23" s="3">
        <f>IF(K23&gt;0,F23/K23/W23*Conversion!$E$17,0)</f>
        <v>232.64094955489617</v>
      </c>
      <c r="Y23" s="3">
        <f>IF(L23&gt;0,G23/L23/W23*Conversion!$E$17,0)</f>
        <v>0</v>
      </c>
      <c r="Z23" s="3">
        <f t="shared" si="10"/>
        <v>232.64094955489617</v>
      </c>
      <c r="AA23" s="3">
        <f>(F23*T23)/365.26/Agriculture!$D$2</f>
        <v>0.69197284126375735</v>
      </c>
      <c r="AB23" s="4">
        <f>SUM(X23:Y23)*Conversion!$F$18</f>
        <v>5.7487905044510387E-2</v>
      </c>
      <c r="AC23">
        <f t="shared" si="13"/>
        <v>14.8</v>
      </c>
      <c r="AD23" s="4">
        <f t="shared" si="4"/>
        <v>0.85082099465875383</v>
      </c>
    </row>
    <row r="24" spans="1:30" ht="18">
      <c r="A24" t="s">
        <v>388</v>
      </c>
      <c r="B24">
        <v>3</v>
      </c>
      <c r="C24">
        <v>0</v>
      </c>
      <c r="D24">
        <f t="shared" si="11"/>
        <v>0</v>
      </c>
      <c r="F24" s="3">
        <f>IF(D24&gt;0,D24*Agriculture!$D$2+Agriculture!$E$16*E24,IF(E24&gt;0,0,Agriculture!$D$2*0.025))</f>
        <v>78.400000000000006</v>
      </c>
      <c r="G24" s="3">
        <f>L24*1/Agriculture!$C$49*Agriculture!$E$16</f>
        <v>0</v>
      </c>
      <c r="H24" t="s">
        <v>437</v>
      </c>
      <c r="I24" s="68">
        <v>1500</v>
      </c>
      <c r="J24" s="68"/>
      <c r="K24" s="54">
        <f>IF(I24&gt;0,I24,J24/2000*Conversion!$D$22)</f>
        <v>1500</v>
      </c>
      <c r="L24" s="68"/>
      <c r="M24" s="68"/>
      <c r="N24" s="68"/>
      <c r="O24" s="67">
        <v>15.62</v>
      </c>
      <c r="P24" s="67">
        <v>30.75</v>
      </c>
      <c r="Q24" s="67">
        <v>76</v>
      </c>
      <c r="R24" s="67">
        <v>43.85</v>
      </c>
      <c r="S24" s="67">
        <v>751</v>
      </c>
      <c r="T24" s="68">
        <f t="shared" si="12"/>
        <v>11986.300000000001</v>
      </c>
      <c r="W24">
        <f t="shared" si="9"/>
        <v>1</v>
      </c>
      <c r="X24" s="3">
        <f>IF(K24&gt;0,F24/K24/W24*Conversion!$E$17,0)</f>
        <v>522.66666666666674</v>
      </c>
      <c r="Y24" s="3">
        <f>IF(L24&gt;0,G24/L24/W24*Conversion!$E$17,0)</f>
        <v>0</v>
      </c>
      <c r="Z24" s="3">
        <f t="shared" si="10"/>
        <v>522.66666666666674</v>
      </c>
      <c r="AA24" s="3">
        <f>(F24*T24)/365.26/Agriculture!$D$2</f>
        <v>0.82039506105240123</v>
      </c>
      <c r="AB24" s="4">
        <f>SUM(X24:Y24)*Conversion!$F$18</f>
        <v>0.12915616000000002</v>
      </c>
      <c r="AC24">
        <f t="shared" si="13"/>
        <v>14.8</v>
      </c>
      <c r="AD24" s="4">
        <f t="shared" si="4"/>
        <v>1.9115111680000003</v>
      </c>
    </row>
    <row r="25" spans="1:30" ht="18">
      <c r="A25" t="s">
        <v>474</v>
      </c>
      <c r="B25">
        <v>3</v>
      </c>
      <c r="C25">
        <v>0</v>
      </c>
      <c r="D25">
        <f t="shared" si="11"/>
        <v>0</v>
      </c>
      <c r="F25" s="3">
        <f>IF(D25&gt;0,D25*Agriculture!$D$2+Agriculture!$E$16*E25,IF(E25&gt;0,0,Agriculture!$D$2*0.025))</f>
        <v>78.400000000000006</v>
      </c>
      <c r="G25" s="3">
        <f>L25*1/Agriculture!$C$49*Agriculture!$E$16</f>
        <v>0</v>
      </c>
      <c r="H25" t="s">
        <v>437</v>
      </c>
      <c r="I25">
        <v>8000</v>
      </c>
      <c r="K25" s="54">
        <f>IF(I25&gt;0,I25,J25/2000*Conversion!$D$22)</f>
        <v>8000</v>
      </c>
      <c r="O25" s="67">
        <v>8.6</v>
      </c>
      <c r="P25" s="67">
        <v>21.8</v>
      </c>
      <c r="Q25" s="67">
        <v>9.1999999999999993</v>
      </c>
      <c r="R25" s="67">
        <v>48</v>
      </c>
      <c r="S25" s="68">
        <v>3290</v>
      </c>
      <c r="T25" s="68">
        <f t="shared" si="12"/>
        <v>5054</v>
      </c>
      <c r="V25">
        <v>1</v>
      </c>
      <c r="W25">
        <f t="shared" si="9"/>
        <v>1</v>
      </c>
      <c r="X25" s="3">
        <f>IF(K25&gt;0,F25/K25/W25*Conversion!$E$17,0)</f>
        <v>98.000000000000014</v>
      </c>
      <c r="Y25" s="3">
        <f>IF(L25&gt;0,G25/L25/W25*Conversion!$E$17,0)</f>
        <v>0</v>
      </c>
      <c r="Z25" s="3">
        <f t="shared" si="10"/>
        <v>98.000000000000014</v>
      </c>
      <c r="AA25" s="3">
        <f>(F25*T25)/365.26/Agriculture!$D$2</f>
        <v>0.34591797623610582</v>
      </c>
      <c r="AB25" s="4">
        <f>SUM(X25:Y25)*Conversion!$F$18</f>
        <v>2.421678E-2</v>
      </c>
      <c r="AC25">
        <f t="shared" si="13"/>
        <v>14.8</v>
      </c>
      <c r="AD25" s="4">
        <f t="shared" si="4"/>
        <v>0.35840834400000005</v>
      </c>
    </row>
    <row r="26" spans="1:30" ht="18">
      <c r="A26" t="s">
        <v>389</v>
      </c>
      <c r="B26">
        <v>3</v>
      </c>
      <c r="C26">
        <v>0.1</v>
      </c>
      <c r="D26">
        <f t="shared" si="11"/>
        <v>0.57711380501851106</v>
      </c>
      <c r="F26" s="3">
        <f>IF(D26&gt;0,D26*Agriculture!$D$2+Agriculture!$E$16*E26,IF(E26&gt;0,0,Agriculture!$D$2*0.025))</f>
        <v>1809.8288925380507</v>
      </c>
      <c r="G26" s="3">
        <f>L26*1/Agriculture!$C$49*Agriculture!$E$16</f>
        <v>0</v>
      </c>
      <c r="H26" t="s">
        <v>437</v>
      </c>
      <c r="I26" s="68">
        <v>1350</v>
      </c>
      <c r="J26" s="68"/>
      <c r="K26" s="54">
        <f>IF(I26&gt;0,I26,J26/2000*Conversion!$D$22)</f>
        <v>1350</v>
      </c>
      <c r="L26" s="68"/>
      <c r="M26" s="68"/>
      <c r="N26" s="68">
        <v>1</v>
      </c>
      <c r="O26" s="67">
        <v>0</v>
      </c>
      <c r="P26" s="67">
        <v>100</v>
      </c>
      <c r="Q26" s="67">
        <v>3</v>
      </c>
      <c r="R26" s="67">
        <v>0</v>
      </c>
      <c r="S26" s="68">
        <v>1188</v>
      </c>
      <c r="T26" s="68">
        <f t="shared" si="12"/>
        <v>9270</v>
      </c>
      <c r="W26">
        <f t="shared" si="9"/>
        <v>1</v>
      </c>
      <c r="X26" s="3">
        <f>IF(K26&gt;0,F26/K26/W26*Conversion!$E$17,0)</f>
        <v>13406.139944726301</v>
      </c>
      <c r="Y26" s="3">
        <f>IF(L26&gt;0,G26/L26/W26*Conversion!$E$17,0)</f>
        <v>0</v>
      </c>
      <c r="Z26" s="3">
        <f t="shared" si="10"/>
        <v>13406.139944726301</v>
      </c>
      <c r="AA26" s="3">
        <f>(F26*T26)/365.26/Agriculture!$D$2</f>
        <v>14.646676264911564</v>
      </c>
      <c r="AB26" s="4">
        <f>SUM(X26:Y26)*Conversion!$F$18</f>
        <v>3.3127912417413161</v>
      </c>
      <c r="AC26">
        <f t="shared" si="13"/>
        <v>14.8</v>
      </c>
      <c r="AD26" s="4">
        <f t="shared" si="4"/>
        <v>49.02931037777148</v>
      </c>
    </row>
    <row r="27" spans="1:30" ht="18">
      <c r="A27" t="s">
        <v>390</v>
      </c>
      <c r="B27">
        <v>3</v>
      </c>
      <c r="C27">
        <v>0.1</v>
      </c>
      <c r="D27">
        <f t="shared" si="11"/>
        <v>0.57711380501851106</v>
      </c>
      <c r="F27" s="3">
        <f>IF(D27&gt;0,D27*Agriculture!$D$2+Agriculture!$E$16*E27,IF(E27&gt;0,0,Agriculture!$D$2*0.025))</f>
        <v>1809.8288925380507</v>
      </c>
      <c r="G27" s="3">
        <f>L27*1/Agriculture!$C$49*Agriculture!$E$16</f>
        <v>0</v>
      </c>
      <c r="H27" t="s">
        <v>437</v>
      </c>
      <c r="I27" s="68">
        <v>3333</v>
      </c>
      <c r="J27" s="68"/>
      <c r="K27" s="54">
        <f>IF(I27&gt;0,I27,J27/2000*Conversion!$D$22)</f>
        <v>3333</v>
      </c>
      <c r="L27" s="68"/>
      <c r="M27" s="68"/>
      <c r="N27" s="68"/>
      <c r="O27" s="67">
        <v>35</v>
      </c>
      <c r="P27" s="67">
        <v>5</v>
      </c>
      <c r="Q27" s="67">
        <v>0</v>
      </c>
      <c r="R27" s="67">
        <v>30</v>
      </c>
      <c r="S27" s="67">
        <v>979</v>
      </c>
      <c r="T27" s="68">
        <f t="shared" si="12"/>
        <v>3050</v>
      </c>
      <c r="W27">
        <f t="shared" si="9"/>
        <v>1</v>
      </c>
      <c r="X27" s="3">
        <f>IF(K27&gt;0,F27/K27/W27*Conversion!$E$17,0)</f>
        <v>5430.0296805822099</v>
      </c>
      <c r="Y27" s="3">
        <f>IF(L27&gt;0,G27/L27/W27*Conversion!$E$17,0)</f>
        <v>0</v>
      </c>
      <c r="Z27" s="3">
        <f t="shared" si="10"/>
        <v>5430.0296805822099</v>
      </c>
      <c r="AA27" s="3">
        <f>(F27*T27)/365.26/Agriculture!$D$2</f>
        <v>4.8190250925545053</v>
      </c>
      <c r="AB27" s="4">
        <f>SUM(X27:Y27)*Conversion!$F$18</f>
        <v>1.3418146343686699</v>
      </c>
      <c r="AC27">
        <f t="shared" si="13"/>
        <v>14.8</v>
      </c>
      <c r="AD27" s="4">
        <f t="shared" si="4"/>
        <v>19.858856588656316</v>
      </c>
    </row>
    <row r="28" spans="1:30" ht="18">
      <c r="A28" t="s">
        <v>391</v>
      </c>
      <c r="B28">
        <v>3</v>
      </c>
      <c r="C28">
        <v>0.2</v>
      </c>
      <c r="D28">
        <f t="shared" si="11"/>
        <v>1.1542276100370221</v>
      </c>
      <c r="E28">
        <v>0.05</v>
      </c>
      <c r="F28" s="3">
        <f>IF(D28&gt;0,D28*Agriculture!$D$2+Agriculture!$E$16*E28,IF(E28&gt;0,0,Agriculture!$D$2*0.025))</f>
        <v>223818.01071510368</v>
      </c>
      <c r="G28" s="3">
        <f>L28*1/Agriculture!$C$49*Agriculture!$E$16</f>
        <v>94612.322006564282</v>
      </c>
      <c r="H28" t="s">
        <v>437</v>
      </c>
      <c r="I28" s="68">
        <v>2000</v>
      </c>
      <c r="J28" s="68"/>
      <c r="K28" s="54">
        <f>IF(I28&gt;0,I28,J28/2000*Conversion!$D$22)</f>
        <v>2000</v>
      </c>
      <c r="L28" s="68">
        <f>I28</f>
        <v>2000</v>
      </c>
      <c r="M28" s="68"/>
      <c r="N28" s="68"/>
      <c r="O28" s="67">
        <v>18.29</v>
      </c>
      <c r="P28" s="67">
        <v>42.16</v>
      </c>
      <c r="Q28" s="67">
        <v>68</v>
      </c>
      <c r="R28" s="67">
        <v>28.88</v>
      </c>
      <c r="S28" s="68">
        <v>1106</v>
      </c>
      <c r="T28" s="68">
        <f t="shared" si="12"/>
        <v>11801.199999999999</v>
      </c>
      <c r="W28">
        <f t="shared" si="9"/>
        <v>1</v>
      </c>
      <c r="X28" s="3">
        <f>IF(K28&gt;0,F28/K28/W28*Conversion!$E$17,0)</f>
        <v>1119090.0535755183</v>
      </c>
      <c r="Y28" s="3">
        <f>IF(L28&gt;0,G28/L28/W28*Conversion!$E$17,0)</f>
        <v>473061.61003282142</v>
      </c>
      <c r="Z28" s="3">
        <f t="shared" si="10"/>
        <v>1592151.6636083396</v>
      </c>
      <c r="AA28" s="3">
        <f>(F28*T28)/365.26/Agriculture!$D$2</f>
        <v>2305.9136132996759</v>
      </c>
      <c r="AB28" s="4">
        <f>SUM(X28:Y28)*Conversion!$F$18</f>
        <v>393.4365975942568</v>
      </c>
      <c r="AC28">
        <f t="shared" si="13"/>
        <v>14.8</v>
      </c>
      <c r="AD28" s="4">
        <f t="shared" si="4"/>
        <v>5822.8616443950004</v>
      </c>
    </row>
    <row r="29" spans="1:30" ht="18">
      <c r="A29" t="s">
        <v>392</v>
      </c>
      <c r="B29">
        <v>3</v>
      </c>
      <c r="C29">
        <v>0</v>
      </c>
      <c r="D29">
        <f t="shared" si="11"/>
        <v>0</v>
      </c>
      <c r="F29" s="3">
        <f>IF(D29&gt;0,D29*Agriculture!$D$2+Agriculture!$E$16*E29,IF(E29&gt;0,0,Agriculture!$D$2*0.025))</f>
        <v>78.400000000000006</v>
      </c>
      <c r="G29" s="3">
        <f>L29*1/Agriculture!$C$49*Agriculture!$E$16</f>
        <v>0</v>
      </c>
      <c r="H29" t="s">
        <v>437</v>
      </c>
      <c r="I29" s="68">
        <v>1071</v>
      </c>
      <c r="J29" s="68"/>
      <c r="K29" s="54">
        <f>IF(I29&gt;0,I29,J29/2000*Conversion!$D$22)</f>
        <v>1071</v>
      </c>
      <c r="L29" s="68"/>
      <c r="M29" s="68"/>
      <c r="N29" s="68"/>
      <c r="O29" s="67">
        <v>9</v>
      </c>
      <c r="P29" s="67">
        <v>1.8</v>
      </c>
      <c r="Q29" s="67"/>
      <c r="R29" s="67">
        <v>75</v>
      </c>
      <c r="S29" s="67">
        <v>366</v>
      </c>
      <c r="T29" s="68">
        <f t="shared" si="12"/>
        <v>3522</v>
      </c>
      <c r="W29">
        <f t="shared" si="9"/>
        <v>1</v>
      </c>
      <c r="X29" s="3">
        <f>IF(K29&gt;0,F29/K29/W29*Conversion!$E$17,0)</f>
        <v>732.02614379084969</v>
      </c>
      <c r="Y29" s="3">
        <f>IF(L29&gt;0,G29/L29/W29*Conversion!$E$17,0)</f>
        <v>0</v>
      </c>
      <c r="Z29" s="3">
        <f t="shared" si="10"/>
        <v>732.02614379084969</v>
      </c>
      <c r="AA29" s="3">
        <f>(F29*T29)/365.26/Agriculture!$D$2</f>
        <v>0.2410611619120627</v>
      </c>
      <c r="AB29" s="4">
        <f>SUM(X29:Y29)*Conversion!$F$18</f>
        <v>0.18089098039215684</v>
      </c>
      <c r="AC29">
        <f t="shared" si="13"/>
        <v>14.8</v>
      </c>
      <c r="AD29" s="4">
        <f t="shared" si="4"/>
        <v>2.6771865098039216</v>
      </c>
    </row>
    <row r="30" spans="1:30" ht="18">
      <c r="A30" t="s">
        <v>394</v>
      </c>
      <c r="B30">
        <v>3</v>
      </c>
      <c r="C30">
        <v>0.2</v>
      </c>
      <c r="D30">
        <f t="shared" si="11"/>
        <v>1.1542276100370221</v>
      </c>
      <c r="F30" s="3">
        <f>IF(D30&gt;0,D30*Agriculture!$D$2+Agriculture!$E$16*E30,IF(E30&gt;0,0,Agriculture!$D$2*0.025))</f>
        <v>3619.6577850761014</v>
      </c>
      <c r="G30" s="3">
        <f>L30*1/Agriculture!$C$49*Agriculture!$E$16</f>
        <v>0</v>
      </c>
      <c r="H30" t="s">
        <v>437</v>
      </c>
      <c r="I30" s="68">
        <v>2035</v>
      </c>
      <c r="J30" s="68"/>
      <c r="K30" s="54">
        <f>IF(I30&gt;0,I30,J30/2000*Conversion!$D$22)</f>
        <v>2035</v>
      </c>
      <c r="L30" s="68"/>
      <c r="M30" s="68"/>
      <c r="N30" s="68"/>
      <c r="O30" s="67">
        <v>25</v>
      </c>
      <c r="P30" s="67">
        <v>33</v>
      </c>
      <c r="Q30" s="67">
        <v>82</v>
      </c>
      <c r="R30" s="67">
        <v>30</v>
      </c>
      <c r="S30" s="67">
        <v>1022</v>
      </c>
      <c r="T30" s="68">
        <f t="shared" si="12"/>
        <v>12550</v>
      </c>
      <c r="W30">
        <f t="shared" si="9"/>
        <v>1</v>
      </c>
      <c r="X30" s="3">
        <f>IF(K30&gt;0,F30/K30/W30*Conversion!$E$17,0)</f>
        <v>17787.016142880104</v>
      </c>
      <c r="Y30" s="3">
        <f>IF(L30&gt;0,G30/L30/W30*Conversion!$E$17,0)</f>
        <v>0</v>
      </c>
      <c r="Z30" s="3">
        <f t="shared" si="10"/>
        <v>17787.016142880104</v>
      </c>
      <c r="AA30" s="3">
        <f>(F30*T30)/365.26/Agriculture!$D$2</f>
        <v>39.658206499382977</v>
      </c>
      <c r="AB30" s="4">
        <f>SUM(X30:Y30)*Conversion!$F$18</f>
        <v>4.3953495590671023</v>
      </c>
      <c r="AC30">
        <f t="shared" si="13"/>
        <v>14.8</v>
      </c>
      <c r="AD30" s="4">
        <f t="shared" si="4"/>
        <v>65.051173474193121</v>
      </c>
    </row>
    <row r="31" spans="1:30" ht="18">
      <c r="A31" t="s">
        <v>397</v>
      </c>
      <c r="B31">
        <v>3</v>
      </c>
      <c r="C31">
        <v>0.2</v>
      </c>
      <c r="D31">
        <f t="shared" si="11"/>
        <v>1.1542276100370221</v>
      </c>
      <c r="F31" s="3">
        <f>IF(D31&gt;0,D31*Agriculture!$D$2+Agriculture!$E$16*E31,IF(E31&gt;0,0,Agriculture!$D$2*0.025))</f>
        <v>3619.6577850761014</v>
      </c>
      <c r="G31" s="3">
        <f>L31*1/Agriculture!$C$49*Agriculture!$E$16</f>
        <v>45082.771436127885</v>
      </c>
      <c r="H31" t="s">
        <v>437</v>
      </c>
      <c r="I31">
        <v>953</v>
      </c>
      <c r="K31" s="54">
        <f>IF(I31&gt;0,I31,J31/2000*Conversion!$D$22)</f>
        <v>953</v>
      </c>
      <c r="L31">
        <f>I31</f>
        <v>953</v>
      </c>
      <c r="O31" s="67">
        <v>11.02</v>
      </c>
      <c r="P31" s="67">
        <v>4.22</v>
      </c>
      <c r="Q31" s="67">
        <v>50.57</v>
      </c>
      <c r="R31" s="67">
        <v>72.849999999999994</v>
      </c>
      <c r="S31" s="67">
        <v>345</v>
      </c>
      <c r="T31" s="68">
        <f t="shared" si="12"/>
        <v>8285.9</v>
      </c>
      <c r="W31">
        <f t="shared" si="9"/>
        <v>1</v>
      </c>
      <c r="X31" s="3">
        <f>IF(K31&gt;0,F31/K31/W31*Conversion!$E$17,0)</f>
        <v>37981.718626192043</v>
      </c>
      <c r="Y31" s="3">
        <f>IF(L31&gt;0,G31/L31/W31*Conversion!$E$17,0)</f>
        <v>473061.61003282148</v>
      </c>
      <c r="Z31" s="3">
        <f t="shared" si="10"/>
        <v>511043.3286590135</v>
      </c>
      <c r="AA31" s="3">
        <f>(F31*T31)/365.26/Agriculture!$D$2</f>
        <v>26.183580337309756</v>
      </c>
      <c r="AB31" s="4">
        <f>SUM(X31:Y31)*Conversion!$F$18</f>
        <v>126.28391694492882</v>
      </c>
      <c r="AC31">
        <f t="shared" si="13"/>
        <v>14.8</v>
      </c>
      <c r="AD31" s="4">
        <f t="shared" si="4"/>
        <v>1869.0019707849467</v>
      </c>
    </row>
    <row r="32" spans="1:30" ht="18">
      <c r="A32" t="s">
        <v>399</v>
      </c>
      <c r="B32">
        <v>3</v>
      </c>
      <c r="C32">
        <v>2</v>
      </c>
      <c r="D32">
        <f t="shared" si="11"/>
        <v>11.542276100370222</v>
      </c>
      <c r="F32" s="3">
        <f>IF(D32&gt;0,D32*Agriculture!$D$2+Agriculture!$E$16*E32,IF(E32&gt;0,0,Agriculture!$D$2*0.025))</f>
        <v>36196.577850761016</v>
      </c>
      <c r="G32" s="3">
        <f>L32*1/Agriculture!$C$49*Agriculture!$E$16</f>
        <v>0</v>
      </c>
      <c r="H32" t="s">
        <v>437</v>
      </c>
      <c r="I32">
        <v>2000</v>
      </c>
      <c r="K32" s="54">
        <f>IF(I32&gt;0,I32,J32/2000*Conversion!$D$22)</f>
        <v>2000</v>
      </c>
      <c r="N32">
        <v>1</v>
      </c>
      <c r="O32" s="67">
        <v>0</v>
      </c>
      <c r="P32" s="67">
        <v>100</v>
      </c>
      <c r="Q32" s="67">
        <v>8</v>
      </c>
      <c r="R32" s="67">
        <v>0</v>
      </c>
      <c r="S32" s="67">
        <v>1760</v>
      </c>
      <c r="T32" s="68">
        <f t="shared" si="12"/>
        <v>9720</v>
      </c>
      <c r="W32">
        <f t="shared" si="9"/>
        <v>1</v>
      </c>
      <c r="X32" s="3">
        <f>IF(K32&gt;0,F32/K32/W32*Conversion!$E$17,0)</f>
        <v>180982.88925380507</v>
      </c>
      <c r="Y32" s="3">
        <f>IF(L32&gt;0,G32/L32/W32*Conversion!$E$17,0)</f>
        <v>0</v>
      </c>
      <c r="Z32" s="3">
        <f t="shared" si="10"/>
        <v>180982.88925380507</v>
      </c>
      <c r="AA32" s="3">
        <f>(F32*T32)/365.26/Agriculture!$D$2</f>
        <v>307.15359934183476</v>
      </c>
      <c r="AB32" s="4">
        <f>SUM(X32:Y32)*Conversion!$F$18</f>
        <v>44.722681763507765</v>
      </c>
      <c r="AC32">
        <f t="shared" si="13"/>
        <v>14.8</v>
      </c>
      <c r="AD32" s="4">
        <f t="shared" si="4"/>
        <v>661.89569009991499</v>
      </c>
    </row>
    <row r="33" spans="1:30" ht="18">
      <c r="A33" t="s">
        <v>449</v>
      </c>
      <c r="B33">
        <v>3</v>
      </c>
      <c r="C33">
        <v>0</v>
      </c>
      <c r="D33">
        <f t="shared" si="11"/>
        <v>0</v>
      </c>
      <c r="F33" s="3">
        <f>IF(D33&gt;0,D33*Agriculture!$D$2+Agriculture!$E$16*E33,IF(E33&gt;0,0,Agriculture!$D$2*0.025))</f>
        <v>78.400000000000006</v>
      </c>
      <c r="G33" s="3">
        <f>L33*1/Agriculture!$C$49*Agriculture!$E$16</f>
        <v>0</v>
      </c>
      <c r="J33">
        <v>4320</v>
      </c>
      <c r="K33" s="54">
        <f>IF(I33&gt;0,I33,J33/2000*Conversion!$D$22)</f>
        <v>4842.0769896000002</v>
      </c>
      <c r="N33">
        <v>1</v>
      </c>
      <c r="O33" s="67"/>
      <c r="P33" s="67"/>
      <c r="Q33" s="67"/>
      <c r="R33" s="67"/>
      <c r="S33" s="67"/>
      <c r="T33" s="68">
        <f t="shared" si="12"/>
        <v>0</v>
      </c>
      <c r="W33">
        <f t="shared" si="9"/>
        <v>1</v>
      </c>
      <c r="X33" s="3">
        <f>IF(K33&gt;0,F33/K33/W33*Conversion!$E$17,0)</f>
        <v>161.91398891093749</v>
      </c>
      <c r="Y33" s="3">
        <f>IF(L33&gt;0,G33/L33/W33*Conversion!$E$17,0)</f>
        <v>0</v>
      </c>
      <c r="Z33" s="3">
        <f t="shared" si="10"/>
        <v>161.91398891093749</v>
      </c>
      <c r="AA33" s="3">
        <f>(F33*T33)/365.26/Agriculture!$D$2</f>
        <v>0</v>
      </c>
      <c r="AB33" s="4">
        <f>SUM(X33:Y33)*Conversion!$F$18</f>
        <v>4.001056579978176E-2</v>
      </c>
      <c r="AC33">
        <f t="shared" si="13"/>
        <v>14.8</v>
      </c>
      <c r="AD33" s="4">
        <f t="shared" si="4"/>
        <v>0.59215637383677011</v>
      </c>
    </row>
    <row r="34" spans="1:30" ht="18">
      <c r="A34" t="s">
        <v>401</v>
      </c>
      <c r="B34">
        <v>3</v>
      </c>
      <c r="C34">
        <v>0</v>
      </c>
      <c r="D34">
        <f t="shared" si="11"/>
        <v>0</v>
      </c>
      <c r="F34" s="3">
        <f>IF(D34&gt;0,D34*Agriculture!$D$2+Agriculture!$E$16*E34,IF(E34&gt;0,0,Agriculture!$D$2*0.025))</f>
        <v>78.400000000000006</v>
      </c>
      <c r="G34" s="3">
        <f>L34*1/Agriculture!$C$49*Agriculture!$E$16</f>
        <v>0</v>
      </c>
      <c r="H34" t="s">
        <v>437</v>
      </c>
      <c r="I34">
        <v>291</v>
      </c>
      <c r="K34" s="54">
        <f>IF(I34&gt;0,I34,J34/2000*Conversion!$D$22)</f>
        <v>291</v>
      </c>
      <c r="N34">
        <v>1</v>
      </c>
      <c r="O34" s="67"/>
      <c r="P34" s="67">
        <v>100</v>
      </c>
      <c r="Q34" s="67">
        <v>2.2999999999999998</v>
      </c>
      <c r="R34" s="67"/>
      <c r="S34" s="67">
        <v>256</v>
      </c>
      <c r="T34" s="68">
        <f t="shared" si="12"/>
        <v>9207</v>
      </c>
      <c r="W34">
        <f t="shared" si="9"/>
        <v>1</v>
      </c>
      <c r="X34" s="3">
        <f>IF(K34&gt;0,F34/K34/W34*Conversion!$E$17,0)</f>
        <v>2694.158075601375</v>
      </c>
      <c r="Y34" s="3">
        <f>IF(L34&gt;0,G34/L34/W34*Conversion!$E$17,0)</f>
        <v>0</v>
      </c>
      <c r="Z34" s="3">
        <f t="shared" si="10"/>
        <v>2694.158075601375</v>
      </c>
      <c r="AA34" s="3">
        <f>(F34*T34)/365.26/Agriculture!$D$2</f>
        <v>0.63016755188085205</v>
      </c>
      <c r="AB34" s="4">
        <f>SUM(X34:Y34)*Conversion!$F$18</f>
        <v>0.66575340206185574</v>
      </c>
      <c r="AC34">
        <f t="shared" si="13"/>
        <v>14.8</v>
      </c>
      <c r="AD34" s="4">
        <f t="shared" si="4"/>
        <v>9.853150350515465</v>
      </c>
    </row>
    <row r="35" spans="1:30" ht="18">
      <c r="A35" t="s">
        <v>400</v>
      </c>
      <c r="B35">
        <v>3</v>
      </c>
      <c r="C35">
        <v>0</v>
      </c>
      <c r="D35">
        <f t="shared" si="11"/>
        <v>0</v>
      </c>
      <c r="F35" s="3">
        <f>IF(D35&gt;0,D35*Agriculture!$D$2+Agriculture!$E$16*E35,IF(E35&gt;0,0,Agriculture!$D$2*0.025))</f>
        <v>78.400000000000006</v>
      </c>
      <c r="G35" s="3">
        <f>L35*1/Agriculture!$C$49*Agriculture!$E$16</f>
        <v>0</v>
      </c>
      <c r="H35" t="s">
        <v>437</v>
      </c>
      <c r="I35">
        <v>4000</v>
      </c>
      <c r="K35" s="54">
        <f>IF(I35&gt;0,I35,J35/2000*Conversion!$D$22)</f>
        <v>4000</v>
      </c>
      <c r="N35">
        <v>1</v>
      </c>
      <c r="O35" s="67">
        <v>0</v>
      </c>
      <c r="P35" s="67">
        <v>100</v>
      </c>
      <c r="Q35" s="67">
        <v>10.8</v>
      </c>
      <c r="R35" s="67">
        <v>0</v>
      </c>
      <c r="S35" s="67">
        <v>3520</v>
      </c>
      <c r="T35" s="68">
        <f t="shared" si="12"/>
        <v>9972</v>
      </c>
      <c r="W35">
        <f t="shared" si="9"/>
        <v>1</v>
      </c>
      <c r="X35" s="3">
        <f>IF(K35&gt;0,F35/K35/W35*Conversion!$E$17,0)</f>
        <v>196.00000000000003</v>
      </c>
      <c r="Y35" s="3">
        <f>IF(L35&gt;0,G35/L35/W35*Conversion!$E$17,0)</f>
        <v>0</v>
      </c>
      <c r="Z35" s="3">
        <f t="shared" si="10"/>
        <v>196.00000000000003</v>
      </c>
      <c r="AA35" s="3">
        <f>(F35*T35)/365.26/Agriculture!$D$2</f>
        <v>0.68252751464710082</v>
      </c>
      <c r="AB35" s="4">
        <f>SUM(X35:Y35)*Conversion!$F$18</f>
        <v>4.8433560000000001E-2</v>
      </c>
      <c r="AC35">
        <f t="shared" si="13"/>
        <v>14.8</v>
      </c>
      <c r="AD35" s="4">
        <f t="shared" si="4"/>
        <v>0.71681668800000009</v>
      </c>
    </row>
    <row r="36" spans="1:30" ht="18">
      <c r="A36" t="s">
        <v>440</v>
      </c>
      <c r="B36">
        <v>3</v>
      </c>
      <c r="C36">
        <v>0.1</v>
      </c>
      <c r="D36">
        <f t="shared" si="11"/>
        <v>0.57711380501851106</v>
      </c>
      <c r="F36" s="3">
        <f>IF(D36&gt;0,D36*Agriculture!$D$2+Agriculture!$E$16*E36,IF(E36&gt;0,0,Agriculture!$D$2*0.025))</f>
        <v>1809.8288925380507</v>
      </c>
      <c r="G36" s="3">
        <f>L36*1/Agriculture!$C$49*Agriculture!$E$16</f>
        <v>0</v>
      </c>
      <c r="J36">
        <v>962</v>
      </c>
      <c r="K36" s="54">
        <f>IF(I36&gt;0,I36,J36/2000*Conversion!$D$22)</f>
        <v>1078.2588111100001</v>
      </c>
      <c r="N36">
        <v>1</v>
      </c>
      <c r="O36" s="67"/>
      <c r="P36" s="67"/>
      <c r="Q36" s="67"/>
      <c r="R36" s="67"/>
      <c r="S36" s="67"/>
      <c r="T36" s="68">
        <f t="shared" si="12"/>
        <v>0</v>
      </c>
      <c r="W36">
        <f t="shared" si="9"/>
        <v>1</v>
      </c>
      <c r="X36" s="3">
        <f>IF(K36&gt;0,F36/K36/W36*Conversion!$E$17,0)</f>
        <v>16784.735481780528</v>
      </c>
      <c r="Y36" s="3">
        <f>IF(L36&gt;0,G36/L36/W36*Conversion!$E$17,0)</f>
        <v>0</v>
      </c>
      <c r="Z36" s="3">
        <f t="shared" si="10"/>
        <v>16784.735481780528</v>
      </c>
      <c r="AA36" s="3">
        <f>(F36*T36)/365.26/Agriculture!$D$2</f>
        <v>0</v>
      </c>
      <c r="AB36" s="4">
        <f>SUM(X36:Y36)*Conversion!$F$18</f>
        <v>4.1476759849027864</v>
      </c>
      <c r="AC36">
        <f t="shared" si="13"/>
        <v>14.8</v>
      </c>
      <c r="AD36" s="4">
        <f t="shared" si="4"/>
        <v>61.385604576561242</v>
      </c>
    </row>
    <row r="37" spans="1:30" ht="18">
      <c r="A37" t="s">
        <v>441</v>
      </c>
      <c r="B37">
        <v>3</v>
      </c>
      <c r="C37">
        <v>0.1</v>
      </c>
      <c r="D37">
        <f t="shared" si="11"/>
        <v>0.57711380501851106</v>
      </c>
      <c r="F37" s="3">
        <f>IF(D37&gt;0,D37*Agriculture!$D$2+Agriculture!$E$16*E37,IF(E37&gt;0,0,Agriculture!$D$2*0.025))</f>
        <v>1809.8288925380507</v>
      </c>
      <c r="G37" s="3">
        <f>L37*1/Agriculture!$C$49*Agriculture!$E$16</f>
        <v>0</v>
      </c>
      <c r="J37">
        <v>1490</v>
      </c>
      <c r="K37" s="54">
        <f>IF(I37&gt;0,I37,J37/2000*Conversion!$D$22)</f>
        <v>1670.0682209500001</v>
      </c>
      <c r="N37">
        <v>1</v>
      </c>
      <c r="O37" s="67"/>
      <c r="P37" s="67"/>
      <c r="Q37" s="67"/>
      <c r="R37" s="67"/>
      <c r="S37" s="67"/>
      <c r="T37" s="68">
        <f t="shared" si="12"/>
        <v>0</v>
      </c>
      <c r="W37">
        <f t="shared" si="9"/>
        <v>1</v>
      </c>
      <c r="X37" s="3">
        <f>IF(K37&gt;0,F37/K37/W37*Conversion!$E$17,0)</f>
        <v>10836.856062733468</v>
      </c>
      <c r="Y37" s="3">
        <f>IF(L37&gt;0,G37/L37/W37*Conversion!$E$17,0)</f>
        <v>0</v>
      </c>
      <c r="Z37" s="3">
        <f t="shared" si="10"/>
        <v>10836.856062733468</v>
      </c>
      <c r="AA37" s="3">
        <f>(F37*T37)/365.26/Agriculture!$D$2</f>
        <v>0</v>
      </c>
      <c r="AB37" s="4">
        <f>SUM(X37:Y37)*Conversion!$F$18</f>
        <v>2.6778955016620674</v>
      </c>
      <c r="AC37">
        <f t="shared" si="13"/>
        <v>14.8</v>
      </c>
      <c r="AD37" s="4">
        <f t="shared" si="4"/>
        <v>39.632853424598601</v>
      </c>
    </row>
    <row r="38" spans="1:30" ht="18">
      <c r="A38" t="s">
        <v>421</v>
      </c>
      <c r="B38">
        <v>3</v>
      </c>
      <c r="C38">
        <v>0.1</v>
      </c>
      <c r="D38">
        <f t="shared" si="11"/>
        <v>0.57711380501851106</v>
      </c>
      <c r="F38" s="3">
        <f>IF(D38&gt;0,D38*Agriculture!$D$2+Agriculture!$E$16*E38,IF(E38&gt;0,0,Agriculture!$D$2*0.025))</f>
        <v>1809.8288925380507</v>
      </c>
      <c r="G38" s="3">
        <f>L38*1/Agriculture!$C$49*Agriculture!$E$16</f>
        <v>0</v>
      </c>
      <c r="I38">
        <v>924</v>
      </c>
      <c r="K38" s="54">
        <f>IF(I38&gt;0,I38,J38/2000*Conversion!$D$22)</f>
        <v>924</v>
      </c>
      <c r="M38">
        <v>150</v>
      </c>
      <c r="O38" s="67">
        <v>30.23</v>
      </c>
      <c r="P38" s="67">
        <v>49</v>
      </c>
      <c r="Q38" s="67">
        <v>42</v>
      </c>
      <c r="R38" s="67">
        <v>11</v>
      </c>
      <c r="S38" s="67">
        <v>543</v>
      </c>
      <c r="T38" s="68">
        <f t="shared" si="12"/>
        <v>9839.2000000000007</v>
      </c>
      <c r="W38">
        <f t="shared" si="9"/>
        <v>2.4000000000000004</v>
      </c>
      <c r="X38" s="3">
        <f>IF(K38&gt;0,F38/K38/W38*Conversion!$E$17,0)</f>
        <v>8161.205323494094</v>
      </c>
      <c r="Y38" s="3">
        <f>IF(L38&gt;0,G38/L38/W38*Conversion!$E$17,0)</f>
        <v>0</v>
      </c>
      <c r="Z38" s="3">
        <f t="shared" si="10"/>
        <v>8161.205323494094</v>
      </c>
      <c r="AA38" s="3">
        <f>(F38*T38)/365.26/Agriculture!$D$2</f>
        <v>15.54601694775813</v>
      </c>
      <c r="AB38" s="4">
        <f>SUM(X38:Y38)*Conversion!$F$18</f>
        <v>2.0167154474886253</v>
      </c>
      <c r="AC38">
        <f t="shared" si="13"/>
        <v>14.8</v>
      </c>
      <c r="AD38" s="4">
        <f t="shared" si="4"/>
        <v>71.633732694795981</v>
      </c>
    </row>
    <row r="39" spans="1:30" ht="18">
      <c r="A39" t="s">
        <v>405</v>
      </c>
      <c r="B39">
        <v>3</v>
      </c>
      <c r="C39">
        <v>0.2</v>
      </c>
      <c r="D39">
        <f t="shared" si="11"/>
        <v>1.1542276100370221</v>
      </c>
      <c r="F39" s="3">
        <f>IF(D39&gt;0,D39*Agriculture!$D$2+Agriculture!$E$16*E39,IF(E39&gt;0,0,Agriculture!$D$2*0.025))</f>
        <v>3619.6577850761014</v>
      </c>
      <c r="G39" s="3">
        <f>L39*1/Agriculture!$C$49*Agriculture!$E$16</f>
        <v>451537.30677632807</v>
      </c>
      <c r="H39" t="s">
        <v>437</v>
      </c>
      <c r="I39">
        <v>1909</v>
      </c>
      <c r="K39" s="54">
        <f>IF(I39&gt;0,I39,J39/2000*Conversion!$D$22)</f>
        <v>1909</v>
      </c>
      <c r="L39">
        <f>I39*5</f>
        <v>9545</v>
      </c>
      <c r="O39" s="67">
        <v>0</v>
      </c>
      <c r="P39" s="67">
        <v>44</v>
      </c>
      <c r="Q39" s="67">
        <v>0</v>
      </c>
      <c r="R39" s="67">
        <v>0</v>
      </c>
      <c r="S39" s="67">
        <v>739</v>
      </c>
      <c r="T39" s="68">
        <f t="shared" si="12"/>
        <v>3960</v>
      </c>
      <c r="W39">
        <f t="shared" si="9"/>
        <v>1</v>
      </c>
      <c r="X39" s="3">
        <f>IF(K39&gt;0,F39/K39/W39*Conversion!$E$17,0)</f>
        <v>18961.015113023055</v>
      </c>
      <c r="Y39" s="3">
        <f>IF(L39&gt;0,G39/L39/W39*Conversion!$E$17,0)</f>
        <v>473061.61003282142</v>
      </c>
      <c r="Z39" s="3">
        <f t="shared" si="10"/>
        <v>492022.62514584447</v>
      </c>
      <c r="AA39" s="3">
        <f>(F39*T39)/365.26/Agriculture!$D$2</f>
        <v>12.513665158371046</v>
      </c>
      <c r="AB39" s="4">
        <f>SUM(X39:Y39)*Conversion!$F$18</f>
        <v>121.58371089978962</v>
      </c>
      <c r="AC39">
        <f t="shared" si="13"/>
        <v>14.8</v>
      </c>
      <c r="AD39" s="4">
        <f t="shared" si="4"/>
        <v>1799.4389213168865</v>
      </c>
    </row>
    <row r="40" spans="1:30" ht="18">
      <c r="A40" t="s">
        <v>409</v>
      </c>
      <c r="B40">
        <v>3</v>
      </c>
      <c r="C40">
        <v>0.2</v>
      </c>
      <c r="D40">
        <f t="shared" si="11"/>
        <v>1.1542276100370221</v>
      </c>
      <c r="F40" s="3">
        <f>IF(D40&gt;0,D40*Agriculture!$D$2+Agriculture!$E$16*E40,IF(E40&gt;0,0,Agriculture!$D$2*0.025))</f>
        <v>3619.6577850761014</v>
      </c>
      <c r="G40" s="3">
        <f>L40*1/Agriculture!$C$49*Agriculture!$E$16</f>
        <v>0</v>
      </c>
      <c r="H40" t="s">
        <v>437</v>
      </c>
      <c r="I40">
        <v>890</v>
      </c>
      <c r="K40" s="54">
        <f>IF(I40&gt;0,I40,J40/2000*Conversion!$D$22)</f>
        <v>890</v>
      </c>
      <c r="O40" s="67">
        <v>16.18</v>
      </c>
      <c r="P40" s="67">
        <v>38.450000000000003</v>
      </c>
      <c r="Q40" s="67">
        <v>73.400000000000006</v>
      </c>
      <c r="R40" s="67">
        <v>34.39</v>
      </c>
      <c r="S40" s="67">
        <v>475</v>
      </c>
      <c r="T40" s="68">
        <f t="shared" si="12"/>
        <v>12089.300000000001</v>
      </c>
      <c r="W40">
        <f t="shared" si="9"/>
        <v>1</v>
      </c>
      <c r="X40" s="3">
        <f>IF(K40&gt;0,F40/K40/W40*Conversion!$E$17,0)</f>
        <v>40670.312191866309</v>
      </c>
      <c r="Y40" s="3">
        <f>IF(L40&gt;0,G40/L40/W40*Conversion!$E$17,0)</f>
        <v>0</v>
      </c>
      <c r="Z40" s="3">
        <f t="shared" si="10"/>
        <v>40670.312191866309</v>
      </c>
      <c r="AA40" s="3">
        <f>(F40*T40)/365.26/Agriculture!$D$2</f>
        <v>38.202386918963406</v>
      </c>
      <c r="AB40" s="4">
        <f>SUM(X40:Y40)*Conversion!$F$18</f>
        <v>10.050040845732083</v>
      </c>
      <c r="AC40">
        <f t="shared" si="13"/>
        <v>14.8</v>
      </c>
      <c r="AD40" s="4">
        <f t="shared" si="4"/>
        <v>148.74060451683482</v>
      </c>
    </row>
    <row r="41" spans="1:30" ht="18">
      <c r="A41" t="s">
        <v>410</v>
      </c>
      <c r="B41">
        <v>3</v>
      </c>
      <c r="C41">
        <v>0.1</v>
      </c>
      <c r="D41">
        <f t="shared" si="11"/>
        <v>0.57711380501851106</v>
      </c>
      <c r="F41" s="3">
        <f>IF(D41&gt;0,D41*Agriculture!$D$2+Agriculture!$E$16*E41,IF(E41&gt;0,0,Agriculture!$D$2*0.025))</f>
        <v>1809.8288925380507</v>
      </c>
      <c r="G41" s="3">
        <f>L41*1/Agriculture!$C$49*Agriculture!$E$16</f>
        <v>0</v>
      </c>
      <c r="H41" t="s">
        <v>437</v>
      </c>
      <c r="I41">
        <v>478</v>
      </c>
      <c r="K41" s="54">
        <f>IF(I41&gt;0,I41,J41/2000*Conversion!$D$22)</f>
        <v>478</v>
      </c>
      <c r="O41" s="67">
        <v>17.73</v>
      </c>
      <c r="P41" s="67">
        <v>49.67</v>
      </c>
      <c r="Q41" s="67">
        <v>44</v>
      </c>
      <c r="R41" s="67">
        <v>23.45</v>
      </c>
      <c r="S41" s="67">
        <v>285</v>
      </c>
      <c r="T41" s="68">
        <f t="shared" si="12"/>
        <v>10077.5</v>
      </c>
      <c r="W41">
        <f t="shared" si="9"/>
        <v>1</v>
      </c>
      <c r="X41" s="3">
        <f>IF(K41&gt;0,F41/K41/W41*Conversion!$E$17,0)</f>
        <v>37862.529132595198</v>
      </c>
      <c r="Y41" s="3">
        <f>IF(L41&gt;0,G41/L41/W41*Conversion!$E$17,0)</f>
        <v>0</v>
      </c>
      <c r="Z41" s="3">
        <f t="shared" si="10"/>
        <v>37862.529132595198</v>
      </c>
      <c r="AA41" s="3">
        <f>(F41*T41)/365.26/Agriculture!$D$2</f>
        <v>15.922532908268206</v>
      </c>
      <c r="AB41" s="4">
        <f>SUM(X41:Y41)*Conversion!$F$18</f>
        <v>9.3562095739555993</v>
      </c>
      <c r="AC41">
        <f t="shared" si="13"/>
        <v>14.8</v>
      </c>
      <c r="AD41" s="4">
        <f t="shared" si="4"/>
        <v>138.47190169454288</v>
      </c>
    </row>
    <row r="42" spans="1:30" ht="18">
      <c r="A42" t="s">
        <v>414</v>
      </c>
      <c r="B42">
        <v>3</v>
      </c>
      <c r="C42">
        <v>0.1</v>
      </c>
      <c r="D42">
        <f t="shared" si="11"/>
        <v>0.57711380501851106</v>
      </c>
      <c r="F42" s="3">
        <f>IF(D42&gt;0,D42*Agriculture!$D$2+Agriculture!$E$16*E42,IF(E42&gt;0,0,Agriculture!$D$2*0.025))</f>
        <v>1809.8288925380507</v>
      </c>
      <c r="G42" s="3">
        <f>L42*1/Agriculture!$C$49*Agriculture!$E$16</f>
        <v>0</v>
      </c>
      <c r="H42" t="s">
        <v>437</v>
      </c>
      <c r="I42">
        <v>1424</v>
      </c>
      <c r="K42" s="54">
        <f>IF(I42&gt;0,I42,J42/2000*Conversion!$D$22)</f>
        <v>1424</v>
      </c>
      <c r="O42" s="67">
        <v>20.78</v>
      </c>
      <c r="P42" s="67">
        <v>51.64</v>
      </c>
      <c r="Q42" s="67">
        <v>45</v>
      </c>
      <c r="R42" s="67">
        <v>20</v>
      </c>
      <c r="S42" s="67">
        <v>868</v>
      </c>
      <c r="T42" s="68">
        <f t="shared" si="12"/>
        <v>10328.800000000001</v>
      </c>
      <c r="W42">
        <f t="shared" si="9"/>
        <v>1</v>
      </c>
      <c r="X42" s="3">
        <f>IF(K42&gt;0,F42/K42/W42*Conversion!$E$17,0)</f>
        <v>12709.472559958222</v>
      </c>
      <c r="Y42" s="3">
        <f>IF(L42&gt;0,G42/L42/W42*Conversion!$E$17,0)</f>
        <v>0</v>
      </c>
      <c r="Z42" s="3">
        <f t="shared" si="10"/>
        <v>12709.472559958222</v>
      </c>
      <c r="AA42" s="3">
        <f>(F42*T42)/365.26/Agriculture!$D$2</f>
        <v>16.319588975730159</v>
      </c>
      <c r="AB42" s="4">
        <f>SUM(X42:Y42)*Conversion!$F$18</f>
        <v>3.1406377642912759</v>
      </c>
      <c r="AC42">
        <f t="shared" si="13"/>
        <v>14.8</v>
      </c>
      <c r="AD42" s="4">
        <f t="shared" si="4"/>
        <v>46.481438911510885</v>
      </c>
    </row>
    <row r="43" spans="1:30" ht="18">
      <c r="A43" t="s">
        <v>442</v>
      </c>
      <c r="B43">
        <v>3</v>
      </c>
      <c r="C43">
        <v>0.1</v>
      </c>
      <c r="D43">
        <f t="shared" si="11"/>
        <v>0.57711380501851106</v>
      </c>
      <c r="F43" s="3">
        <f>IF(D43&gt;0,D43*Agriculture!$D$2+Agriculture!$E$16*E43,IF(E43&gt;0,0,Agriculture!$D$2*0.025))</f>
        <v>1809.8288925380507</v>
      </c>
      <c r="G43" s="3">
        <f>L43*1/Agriculture!$C$49*Agriculture!$E$16</f>
        <v>0</v>
      </c>
      <c r="J43">
        <v>2760</v>
      </c>
      <c r="K43" s="54">
        <f>IF(I43&gt;0,I43,J43/2000*Conversion!$D$22)</f>
        <v>3093.5491877999998</v>
      </c>
      <c r="T43" s="68">
        <f t="shared" si="12"/>
        <v>0</v>
      </c>
      <c r="W43">
        <f t="shared" si="9"/>
        <v>1</v>
      </c>
      <c r="X43" s="3">
        <f>IF(K43&gt;0,F43/K43/W43*Conversion!$E$17,0)</f>
        <v>5850.331715026402</v>
      </c>
      <c r="Y43" s="3">
        <f>IF(L43&gt;0,G43/L43/W43*Conversion!$E$17,0)</f>
        <v>0</v>
      </c>
      <c r="Z43" s="3">
        <f t="shared" si="10"/>
        <v>5850.331715026402</v>
      </c>
      <c r="AA43" s="3">
        <f>(F43*T43)/365.26/Agriculture!$D$2</f>
        <v>0</v>
      </c>
      <c r="AB43" s="4">
        <f>SUM(X43:Y43)*Conversion!$F$18</f>
        <v>1.4456754701001742</v>
      </c>
      <c r="AC43">
        <f t="shared" si="13"/>
        <v>14.8</v>
      </c>
      <c r="AD43" s="4">
        <f t="shared" si="4"/>
        <v>21.395996957482577</v>
      </c>
    </row>
    <row r="44" spans="1:30" ht="18">
      <c r="F44" s="3"/>
      <c r="G44" s="3"/>
      <c r="K44" s="54"/>
      <c r="T44" s="68"/>
      <c r="X44" s="3"/>
      <c r="Y44" s="3"/>
      <c r="Z44" s="3"/>
      <c r="AA44" s="3"/>
      <c r="AB44" s="4">
        <f>SUM(X44:Y44)*Conversion!$F$18</f>
        <v>0</v>
      </c>
      <c r="AC44">
        <f t="shared" si="13"/>
        <v>14.8</v>
      </c>
      <c r="AD44" s="4">
        <f t="shared" si="4"/>
        <v>0</v>
      </c>
    </row>
    <row r="45" spans="1:30" ht="18">
      <c r="A45" t="str">
        <f>Agriculture!B29</f>
        <v>Fruits &amp; Vegetables</v>
      </c>
      <c r="B45">
        <f>COUNT(B46:B81)</f>
        <v>36</v>
      </c>
      <c r="C45">
        <f>SUM(C46:C81)</f>
        <v>35.400000000000006</v>
      </c>
      <c r="D45">
        <f>Agriculture!G29</f>
        <v>128.35857489878543</v>
      </c>
      <c r="F45" s="3"/>
      <c r="G45" s="3"/>
      <c r="K45" s="54"/>
      <c r="T45" s="68"/>
      <c r="X45" s="3"/>
      <c r="Y45" s="3"/>
      <c r="Z45" s="3"/>
      <c r="AA45" s="3"/>
      <c r="AB45" s="4">
        <f>SUM(X45:Y45)*Conversion!$F$18</f>
        <v>0</v>
      </c>
      <c r="AC45">
        <f t="shared" si="13"/>
        <v>14.8</v>
      </c>
      <c r="AD45" s="4">
        <f t="shared" si="4"/>
        <v>0</v>
      </c>
    </row>
    <row r="46" spans="1:30" ht="18">
      <c r="A46" t="s">
        <v>124</v>
      </c>
      <c r="B46">
        <v>6</v>
      </c>
      <c r="C46">
        <v>1</v>
      </c>
      <c r="D46">
        <f>$D$45*C46/$C$45</f>
        <v>3.6259484434685145</v>
      </c>
      <c r="F46" s="3">
        <f>IF(D46&gt;0,D46*Agriculture!$D$2+Agriculture!$E$16*E46,IF(E46&gt;0,0,Agriculture!$D$2*0.025))</f>
        <v>11370.974318717261</v>
      </c>
      <c r="G46" s="3">
        <f>L46*1/Agriculture!$C$49*Agriculture!$E$16</f>
        <v>0</v>
      </c>
      <c r="J46">
        <v>25400</v>
      </c>
      <c r="K46" s="54">
        <f>IF(I46&gt;0,I46,J46/2000*Conversion!$D$22)</f>
        <v>28469.619337</v>
      </c>
      <c r="N46">
        <v>1</v>
      </c>
      <c r="R46">
        <v>98</v>
      </c>
      <c r="T46" s="68">
        <f t="shared" ref="T46:T81" si="14">(O46*4+R46*4+P46*9+Q46*9)*10</f>
        <v>3920</v>
      </c>
      <c r="W46">
        <f t="shared" ref="W46:W81" si="15">IF(N46&gt;0,1,IF(M46&gt;0,FLOOR(365.26/M46,0.1),1))</f>
        <v>1</v>
      </c>
      <c r="X46" s="3">
        <f>IF(K46&gt;0,F46/K46/W46*Conversion!$E$17,0)</f>
        <v>3994.073185214384</v>
      </c>
      <c r="Y46" s="3">
        <f>IF(L46&gt;0,G46/L46/W46*Conversion!$E$17,0)</f>
        <v>0</v>
      </c>
      <c r="Z46" s="3">
        <f t="shared" ref="Z46:Z81" si="16">(X46+Y46)*IF(U46&gt;0,U46,1)</f>
        <v>3994.073185214384</v>
      </c>
      <c r="AA46" s="3">
        <f>(F46*T46)/365.26/Agriculture!$D$2</f>
        <v>38.913973329673588</v>
      </c>
      <c r="AB46" s="4">
        <f>SUM(X46:Y46)*Conversion!$F$18</f>
        <v>0.98697542479832634</v>
      </c>
      <c r="AC46">
        <f t="shared" si="13"/>
        <v>14.8</v>
      </c>
      <c r="AD46" s="4">
        <f t="shared" si="4"/>
        <v>14.60723628701523</v>
      </c>
    </row>
    <row r="47" spans="1:30" ht="18">
      <c r="A47" t="s">
        <v>443</v>
      </c>
      <c r="B47">
        <v>6</v>
      </c>
      <c r="C47">
        <v>1</v>
      </c>
      <c r="D47">
        <f t="shared" ref="D47:D81" si="17">$D$45*C47/$C$45</f>
        <v>3.6259484434685145</v>
      </c>
      <c r="F47" s="3">
        <f>IF(D47&gt;0,D47*Agriculture!$D$2+Agriculture!$E$16*E47,IF(E47&gt;0,0,Agriculture!$D$2*0.025))</f>
        <v>11370.974318717261</v>
      </c>
      <c r="G47" s="3">
        <f>L47*1/Agriculture!$C$49*Agriculture!$E$16</f>
        <v>0</v>
      </c>
      <c r="J47">
        <v>11260</v>
      </c>
      <c r="K47" s="54">
        <f>IF(I47&gt;0,I47,J47/2000*Conversion!$D$22)</f>
        <v>12620.7840053</v>
      </c>
      <c r="N47">
        <v>1</v>
      </c>
      <c r="R47">
        <v>98</v>
      </c>
      <c r="T47" s="68">
        <f t="shared" si="14"/>
        <v>3920</v>
      </c>
      <c r="W47">
        <f t="shared" si="15"/>
        <v>1</v>
      </c>
      <c r="X47" s="3">
        <f>IF(K47&gt;0,F47/K47/W47*Conversion!$E$17,0)</f>
        <v>9009.7210394711674</v>
      </c>
      <c r="Y47" s="3">
        <f>IF(L47&gt;0,G47/L47/W47*Conversion!$E$17,0)</f>
        <v>0</v>
      </c>
      <c r="Z47" s="3">
        <f t="shared" si="16"/>
        <v>9009.7210394711674</v>
      </c>
      <c r="AA47" s="3">
        <f>(F47*T47)/365.26/Agriculture!$D$2</f>
        <v>38.913973329673588</v>
      </c>
      <c r="AB47" s="4">
        <f>SUM(X47:Y47)*Conversion!$F$18</f>
        <v>2.2263921660637198</v>
      </c>
      <c r="AC47">
        <f t="shared" si="13"/>
        <v>14.8</v>
      </c>
      <c r="AD47" s="4">
        <f t="shared" si="4"/>
        <v>32.950604057743057</v>
      </c>
    </row>
    <row r="48" spans="1:30" ht="18">
      <c r="A48" t="s">
        <v>465</v>
      </c>
      <c r="B48">
        <v>6</v>
      </c>
      <c r="C48">
        <v>0.1</v>
      </c>
      <c r="D48">
        <f t="shared" si="17"/>
        <v>0.36259484434685146</v>
      </c>
      <c r="F48" s="3">
        <f>IF(D48&gt;0,D48*Agriculture!$D$2+Agriculture!$E$16*E48,IF(E48&gt;0,0,Agriculture!$D$2*0.025))</f>
        <v>1137.0974318717263</v>
      </c>
      <c r="G48" s="3">
        <f>L48*1/Agriculture!$C$49*Agriculture!$E$16</f>
        <v>0</v>
      </c>
      <c r="J48">
        <v>4400</v>
      </c>
      <c r="K48" s="54">
        <f>IF(I48&gt;0,I48,J48/2000*Conversion!$D$22)</f>
        <v>4931.7450820000004</v>
      </c>
      <c r="N48">
        <v>1</v>
      </c>
      <c r="T48" s="68">
        <f t="shared" si="14"/>
        <v>0</v>
      </c>
      <c r="W48">
        <f t="shared" si="15"/>
        <v>1</v>
      </c>
      <c r="X48" s="3">
        <f>IF(K48&gt;0,F48/K48/W48*Conversion!$E$17,0)</f>
        <v>2305.6695205555761</v>
      </c>
      <c r="Y48" s="3">
        <f>IF(L48&gt;0,G48/L48/W48*Conversion!$E$17,0)</f>
        <v>0</v>
      </c>
      <c r="Z48" s="3">
        <f t="shared" si="16"/>
        <v>2305.6695205555761</v>
      </c>
      <c r="AA48" s="3">
        <f>(F48*T48)/365.26/Agriculture!$D$2</f>
        <v>0</v>
      </c>
      <c r="AB48" s="4">
        <f>SUM(X48:Y48)*Conversion!$F$18</f>
        <v>0.56975399522448833</v>
      </c>
      <c r="AC48">
        <f t="shared" si="13"/>
        <v>14.8</v>
      </c>
      <c r="AD48" s="4">
        <f t="shared" si="4"/>
        <v>8.4323591293224283</v>
      </c>
    </row>
    <row r="49" spans="1:30" ht="18">
      <c r="A49" t="s">
        <v>463</v>
      </c>
      <c r="B49">
        <v>6</v>
      </c>
      <c r="C49">
        <v>0.1</v>
      </c>
      <c r="D49">
        <f t="shared" si="17"/>
        <v>0.36259484434685146</v>
      </c>
      <c r="F49" s="3">
        <f>IF(D49&gt;0,D49*Agriculture!$D$2+Agriculture!$E$16*E49,IF(E49&gt;0,0,Agriculture!$D$2*0.025))</f>
        <v>1137.0974318717263</v>
      </c>
      <c r="G49" s="3">
        <f>L49*1/Agriculture!$C$49*Agriculture!$E$16</f>
        <v>0</v>
      </c>
      <c r="J49">
        <v>10800</v>
      </c>
      <c r="K49" s="54">
        <f>IF(I49&gt;0,I49,J49/2000*Conversion!$D$22)</f>
        <v>12105.192474000001</v>
      </c>
      <c r="M49">
        <v>60</v>
      </c>
      <c r="O49" s="67"/>
      <c r="R49" s="67"/>
      <c r="S49" s="67"/>
      <c r="T49" s="68">
        <f t="shared" si="14"/>
        <v>0</v>
      </c>
      <c r="W49">
        <f t="shared" si="15"/>
        <v>6</v>
      </c>
      <c r="X49" s="3">
        <f>IF(K49&gt;0,F49/K49/W49*Conversion!$E$17,0)</f>
        <v>156.55780695130457</v>
      </c>
      <c r="Y49" s="3">
        <f>IF(L49&gt;0,G49/L49/W49*Conversion!$E$17,0)</f>
        <v>0</v>
      </c>
      <c r="Z49" s="3">
        <f t="shared" si="16"/>
        <v>156.55780695130457</v>
      </c>
      <c r="AA49" s="3">
        <f>(F49*T49)/365.26/Agriculture!$D$2</f>
        <v>0</v>
      </c>
      <c r="AB49" s="4">
        <f>SUM(X49:Y49)*Conversion!$F$18</f>
        <v>3.8686999675736869E-2</v>
      </c>
      <c r="AC49">
        <f t="shared" si="13"/>
        <v>14.8</v>
      </c>
      <c r="AD49" s="4">
        <f t="shared" si="4"/>
        <v>3.4354055712054343</v>
      </c>
    </row>
    <row r="50" spans="1:30" ht="18">
      <c r="A50" t="s">
        <v>380</v>
      </c>
      <c r="B50">
        <v>6</v>
      </c>
      <c r="C50">
        <v>2</v>
      </c>
      <c r="D50">
        <f t="shared" si="17"/>
        <v>7.2518968869370291</v>
      </c>
      <c r="F50" s="3">
        <f>IF(D50&gt;0,D50*Agriculture!$D$2+Agriculture!$E$16*E50,IF(E50&gt;0,0,Agriculture!$D$2*0.025))</f>
        <v>22741.948637434522</v>
      </c>
      <c r="G50" s="3">
        <f>L50*1/Agriculture!$C$49*Agriculture!$E$16</f>
        <v>0</v>
      </c>
      <c r="H50" t="s">
        <v>437</v>
      </c>
      <c r="I50">
        <v>16951</v>
      </c>
      <c r="J50">
        <v>7300</v>
      </c>
      <c r="K50" s="54">
        <f>IF(I50&gt;0,I50,J50/2000*Conversion!$D$22)</f>
        <v>16951</v>
      </c>
      <c r="M50">
        <v>150</v>
      </c>
      <c r="O50" s="67">
        <v>2.82</v>
      </c>
      <c r="P50" s="67">
        <v>0.37</v>
      </c>
      <c r="R50" s="67">
        <v>6.64</v>
      </c>
      <c r="S50" s="67">
        <v>675</v>
      </c>
      <c r="T50" s="68">
        <f t="shared" si="14"/>
        <v>411.69999999999993</v>
      </c>
      <c r="W50">
        <f t="shared" si="15"/>
        <v>2.4000000000000004</v>
      </c>
      <c r="X50" s="3">
        <f>IF(K50&gt;0,F50/K50/W50*Conversion!$E$17,0)</f>
        <v>5590.1197169868337</v>
      </c>
      <c r="Y50" s="3">
        <f>IF(L50&gt;0,G50/L50/W50*Conversion!$E$17,0)</f>
        <v>0</v>
      </c>
      <c r="Z50" s="3">
        <f t="shared" si="16"/>
        <v>5590.1197169868337</v>
      </c>
      <c r="AA50" s="3">
        <f>(F50*T50)/365.26/Agriculture!$D$2</f>
        <v>8.1739198060339859</v>
      </c>
      <c r="AB50" s="4">
        <f>SUM(X50:Y50)*Conversion!$F$18</f>
        <v>1.3813744832646164</v>
      </c>
      <c r="AC50">
        <f t="shared" si="13"/>
        <v>14.8</v>
      </c>
      <c r="AD50" s="4">
        <f t="shared" si="4"/>
        <v>49.066421645559188</v>
      </c>
    </row>
    <row r="51" spans="1:30" ht="18">
      <c r="A51" t="s">
        <v>386</v>
      </c>
      <c r="B51">
        <v>6</v>
      </c>
      <c r="C51">
        <v>1</v>
      </c>
      <c r="D51">
        <f t="shared" si="17"/>
        <v>3.6259484434685145</v>
      </c>
      <c r="F51" s="3">
        <f>IF(D51&gt;0,D51*Agriculture!$D$2+Agriculture!$E$16*E51,IF(E51&gt;0,0,Agriculture!$D$2*0.025))</f>
        <v>11370.974318717261</v>
      </c>
      <c r="G51" s="3">
        <f>L51*1/Agriculture!$C$49*Agriculture!$E$16</f>
        <v>0</v>
      </c>
      <c r="H51" t="s">
        <v>437</v>
      </c>
      <c r="I51" s="68">
        <v>22422</v>
      </c>
      <c r="J51" s="68">
        <v>13700</v>
      </c>
      <c r="K51" s="54">
        <f>IF(I51&gt;0,I51,J51/2000*Conversion!$D$22)</f>
        <v>22422</v>
      </c>
      <c r="L51" s="68"/>
      <c r="M51" s="68">
        <v>150</v>
      </c>
      <c r="N51" s="68"/>
      <c r="O51" s="67">
        <v>1.28</v>
      </c>
      <c r="P51" s="67">
        <v>0.1</v>
      </c>
      <c r="R51" s="67">
        <v>5.8</v>
      </c>
      <c r="S51" s="67">
        <v>635</v>
      </c>
      <c r="T51" s="68">
        <f t="shared" si="14"/>
        <v>292.2</v>
      </c>
      <c r="W51">
        <f t="shared" si="15"/>
        <v>2.4000000000000004</v>
      </c>
      <c r="X51" s="3">
        <f>IF(K51&gt;0,F51/K51/W51*Conversion!$E$17,0)</f>
        <v>2113.0612639961605</v>
      </c>
      <c r="Y51" s="3">
        <f>IF(L51&gt;0,G51/L51/W51*Conversion!$E$17,0)</f>
        <v>0</v>
      </c>
      <c r="Z51" s="3">
        <f t="shared" si="16"/>
        <v>2113.0612639961605</v>
      </c>
      <c r="AA51" s="3">
        <f>(F51*T51)/365.26/Agriculture!$D$2</f>
        <v>2.9006793385027101</v>
      </c>
      <c r="AB51" s="4">
        <f>SUM(X51:Y51)*Conversion!$F$18</f>
        <v>0.52215856894609114</v>
      </c>
      <c r="AC51">
        <f t="shared" si="13"/>
        <v>14.8</v>
      </c>
      <c r="AD51" s="4">
        <f t="shared" si="4"/>
        <v>18.547072368965161</v>
      </c>
    </row>
    <row r="52" spans="1:30" ht="18">
      <c r="A52" t="s">
        <v>464</v>
      </c>
      <c r="B52">
        <v>6</v>
      </c>
      <c r="C52">
        <v>1</v>
      </c>
      <c r="D52">
        <f t="shared" si="17"/>
        <v>3.6259484434685145</v>
      </c>
      <c r="F52" s="3">
        <f>IF(D52&gt;0,D52*Agriculture!$D$2+Agriculture!$E$16*E52,IF(E52&gt;0,0,Agriculture!$D$2*0.025))</f>
        <v>11370.974318717261</v>
      </c>
      <c r="G52" s="3">
        <f>L52*1/Agriculture!$C$49*Agriculture!$E$16</f>
        <v>0</v>
      </c>
      <c r="I52" s="68"/>
      <c r="J52" s="68">
        <v>9800</v>
      </c>
      <c r="K52" s="54">
        <f>IF(I52&gt;0,I52,J52/2000*Conversion!$D$22)</f>
        <v>10984.341319000001</v>
      </c>
      <c r="L52" s="68"/>
      <c r="M52" s="68">
        <v>150</v>
      </c>
      <c r="N52" s="68"/>
      <c r="O52" s="67"/>
      <c r="P52" s="67"/>
      <c r="Q52" s="67"/>
      <c r="R52" s="67"/>
      <c r="S52" s="68"/>
      <c r="T52" s="68">
        <f t="shared" si="14"/>
        <v>0</v>
      </c>
      <c r="W52">
        <f t="shared" si="15"/>
        <v>2.4000000000000004</v>
      </c>
      <c r="X52" s="3">
        <f>IF(K52&gt;0,F52/K52/W52*Conversion!$E$17,0)</f>
        <v>4313.3273343726751</v>
      </c>
      <c r="Y52" s="3">
        <f>IF(L52&gt;0,G52/L52/W52*Conversion!$E$17,0)</f>
        <v>0</v>
      </c>
      <c r="Z52" s="3">
        <f t="shared" si="16"/>
        <v>4313.3273343726751</v>
      </c>
      <c r="AA52" s="3">
        <f>(F52*T52)/365.26/Agriculture!$D$2</f>
        <v>0</v>
      </c>
      <c r="AB52" s="4">
        <f>SUM(X52:Y52)*Conversion!$F$18</f>
        <v>1.0658663175968317</v>
      </c>
      <c r="AC52">
        <f t="shared" si="13"/>
        <v>14.8</v>
      </c>
      <c r="AD52" s="4">
        <f t="shared" si="4"/>
        <v>37.85957160103947</v>
      </c>
    </row>
    <row r="53" spans="1:30" ht="18">
      <c r="A53" t="s">
        <v>454</v>
      </c>
      <c r="B53">
        <v>6</v>
      </c>
      <c r="C53">
        <v>2</v>
      </c>
      <c r="D53">
        <f t="shared" si="17"/>
        <v>7.2518968869370291</v>
      </c>
      <c r="F53" s="3">
        <f>IF(D53&gt;0,D53*Agriculture!$D$2+Agriculture!$E$16*E53,IF(E53&gt;0,0,Agriculture!$D$2*0.025))</f>
        <v>22741.948637434522</v>
      </c>
      <c r="G53" s="3">
        <f>L53*1/Agriculture!$C$49*Agriculture!$E$16</f>
        <v>0</v>
      </c>
      <c r="I53" s="68"/>
      <c r="J53" s="68">
        <v>19400</v>
      </c>
      <c r="K53" s="54">
        <f>IF(I53&gt;0,I53,J53/2000*Conversion!$D$22)</f>
        <v>21744.512406999998</v>
      </c>
      <c r="L53" s="68"/>
      <c r="M53" s="68">
        <v>150</v>
      </c>
      <c r="N53" s="68"/>
      <c r="O53" s="67"/>
      <c r="P53" s="67"/>
      <c r="Q53" s="67"/>
      <c r="R53" s="67"/>
      <c r="S53" s="68"/>
      <c r="T53" s="68">
        <f t="shared" si="14"/>
        <v>0</v>
      </c>
      <c r="W53">
        <f t="shared" si="15"/>
        <v>2.4000000000000004</v>
      </c>
      <c r="X53" s="3">
        <f>IF(K53&gt;0,F53/K53/W53*Conversion!$E$17,0)</f>
        <v>4357.794626479611</v>
      </c>
      <c r="Y53" s="3">
        <f>IF(L53&gt;0,G53/L53/W53*Conversion!$E$17,0)</f>
        <v>0</v>
      </c>
      <c r="Z53" s="3">
        <f t="shared" si="16"/>
        <v>4357.794626479611</v>
      </c>
      <c r="AA53" s="3">
        <f>(F53*T53)/365.26/Agriculture!$D$2</f>
        <v>0</v>
      </c>
      <c r="AB53" s="4">
        <f>SUM(X53:Y53)*Conversion!$F$18</f>
        <v>1.0768546301493767</v>
      </c>
      <c r="AC53">
        <f t="shared" si="13"/>
        <v>14.8</v>
      </c>
      <c r="AD53" s="4">
        <f t="shared" si="4"/>
        <v>38.249876462905867</v>
      </c>
    </row>
    <row r="54" spans="1:30" ht="18">
      <c r="A54" t="s">
        <v>459</v>
      </c>
      <c r="B54">
        <v>6</v>
      </c>
      <c r="C54">
        <v>1</v>
      </c>
      <c r="D54">
        <f t="shared" si="17"/>
        <v>3.6259484434685145</v>
      </c>
      <c r="F54" s="3">
        <f>IF(D54&gt;0,D54*Agriculture!$D$2+Agriculture!$E$16*E54,IF(E54&gt;0,0,Agriculture!$D$2*0.025))</f>
        <v>11370.974318717261</v>
      </c>
      <c r="G54" s="3">
        <f>L54*1/Agriculture!$C$49*Agriculture!$E$16</f>
        <v>0</v>
      </c>
      <c r="I54" s="68"/>
      <c r="J54" s="68">
        <v>10800</v>
      </c>
      <c r="K54" s="54">
        <f>IF(I54&gt;0,I54,J54/2000*Conversion!$D$22)</f>
        <v>12105.192474000001</v>
      </c>
      <c r="L54" s="68"/>
      <c r="M54" s="68">
        <v>150</v>
      </c>
      <c r="N54" s="68"/>
      <c r="O54" s="67"/>
      <c r="P54" s="67"/>
      <c r="Q54" s="67"/>
      <c r="R54" s="67"/>
      <c r="S54" s="68"/>
      <c r="T54" s="68">
        <f t="shared" si="14"/>
        <v>0</v>
      </c>
      <c r="W54">
        <f t="shared" si="15"/>
        <v>2.4000000000000004</v>
      </c>
      <c r="X54" s="3">
        <f>IF(K54&gt;0,F54/K54/W54*Conversion!$E$17,0)</f>
        <v>3913.945173782613</v>
      </c>
      <c r="Y54" s="3">
        <f>IF(L54&gt;0,G54/L54/W54*Conversion!$E$17,0)</f>
        <v>0</v>
      </c>
      <c r="Z54" s="3">
        <f t="shared" si="16"/>
        <v>3913.945173782613</v>
      </c>
      <c r="AA54" s="3">
        <f>(F54*T54)/365.26/Agriculture!$D$2</f>
        <v>0</v>
      </c>
      <c r="AB54" s="4">
        <f>SUM(X54:Y54)*Conversion!$F$18</f>
        <v>0.96717499189342138</v>
      </c>
      <c r="AC54">
        <f t="shared" si="13"/>
        <v>14.8</v>
      </c>
      <c r="AD54" s="4">
        <f t="shared" si="4"/>
        <v>34.354055712054333</v>
      </c>
    </row>
    <row r="55" spans="1:30" ht="18">
      <c r="A55" t="s">
        <v>456</v>
      </c>
      <c r="B55">
        <v>6</v>
      </c>
      <c r="C55">
        <v>2</v>
      </c>
      <c r="D55">
        <f t="shared" si="17"/>
        <v>7.2518968869370291</v>
      </c>
      <c r="F55" s="3">
        <f>IF(D55&gt;0,D55*Agriculture!$D$2+Agriculture!$E$16*E55,IF(E55&gt;0,0,Agriculture!$D$2*0.025))</f>
        <v>22741.948637434522</v>
      </c>
      <c r="G55" s="3">
        <f>L55*1/Agriculture!$C$49*Agriculture!$E$16</f>
        <v>0</v>
      </c>
      <c r="I55" s="68"/>
      <c r="J55" s="68">
        <v>32000</v>
      </c>
      <c r="K55" s="54">
        <f>IF(I55&gt;0,I55,J55/2000*Conversion!$D$22)</f>
        <v>35867.236960000002</v>
      </c>
      <c r="L55" s="68"/>
      <c r="M55" s="68"/>
      <c r="N55" s="68"/>
      <c r="O55" s="67"/>
      <c r="P55" s="67"/>
      <c r="Q55" s="67"/>
      <c r="R55" s="67"/>
      <c r="S55" s="68"/>
      <c r="T55" s="68">
        <f t="shared" si="14"/>
        <v>0</v>
      </c>
      <c r="W55">
        <f t="shared" si="15"/>
        <v>1</v>
      </c>
      <c r="X55" s="3">
        <f>IF(K55&gt;0,F55/K55/W55*Conversion!$E$17,0)</f>
        <v>6340.5911815278341</v>
      </c>
      <c r="Y55" s="3">
        <f>IF(L55&gt;0,G55/L55/W55*Conversion!$E$17,0)</f>
        <v>0</v>
      </c>
      <c r="Z55" s="3">
        <f t="shared" si="16"/>
        <v>6340.5911815278341</v>
      </c>
      <c r="AA55" s="3">
        <f>(F55*T55)/365.26/Agriculture!$D$2</f>
        <v>0</v>
      </c>
      <c r="AB55" s="4">
        <f>SUM(X55:Y55)*Conversion!$F$18</f>
        <v>1.566823486867343</v>
      </c>
      <c r="AC55">
        <f t="shared" si="13"/>
        <v>14.8</v>
      </c>
      <c r="AD55" s="4">
        <f t="shared" si="4"/>
        <v>23.188987605636676</v>
      </c>
    </row>
    <row r="56" spans="1:30" ht="18">
      <c r="A56" t="s">
        <v>444</v>
      </c>
      <c r="B56">
        <v>6</v>
      </c>
      <c r="C56">
        <v>1</v>
      </c>
      <c r="D56">
        <f t="shared" si="17"/>
        <v>3.6259484434685145</v>
      </c>
      <c r="F56" s="3">
        <f>IF(D56&gt;0,D56*Agriculture!$D$2+Agriculture!$E$16*E56,IF(E56&gt;0,0,Agriculture!$D$2*0.025))</f>
        <v>11370.974318717261</v>
      </c>
      <c r="G56" s="3">
        <f>L56*1/Agriculture!$C$49*Agriculture!$E$16</f>
        <v>0</v>
      </c>
      <c r="I56" s="68"/>
      <c r="J56" s="68">
        <v>6660</v>
      </c>
      <c r="K56" s="54">
        <f>IF(I56&gt;0,I56,J56/2000*Conversion!$D$22)</f>
        <v>7464.8686923000005</v>
      </c>
      <c r="L56" s="68"/>
      <c r="M56" s="68"/>
      <c r="N56" s="68">
        <v>1</v>
      </c>
      <c r="O56" s="67"/>
      <c r="P56" s="67"/>
      <c r="Q56" s="67"/>
      <c r="R56" s="67"/>
      <c r="S56" s="68"/>
      <c r="T56" s="68">
        <f t="shared" si="14"/>
        <v>0</v>
      </c>
      <c r="W56">
        <f t="shared" si="15"/>
        <v>1</v>
      </c>
      <c r="X56" s="3">
        <f>IF(K56&gt;0,F56/K56/W56*Conversion!$E$17,0)</f>
        <v>15232.651487153957</v>
      </c>
      <c r="Y56" s="3">
        <f>IF(L56&gt;0,G56/L56/W56*Conversion!$E$17,0)</f>
        <v>0</v>
      </c>
      <c r="Z56" s="3">
        <f t="shared" si="16"/>
        <v>15232.651487153957</v>
      </c>
      <c r="AA56" s="3">
        <f>(F56*T56)/365.26/Agriculture!$D$2</f>
        <v>0</v>
      </c>
      <c r="AB56" s="4">
        <f>SUM(X56:Y56)*Conversion!$F$18</f>
        <v>3.7641405089906139</v>
      </c>
      <c r="AC56">
        <f t="shared" si="13"/>
        <v>14.8</v>
      </c>
      <c r="AD56" s="4">
        <f t="shared" si="4"/>
        <v>55.709279533061085</v>
      </c>
    </row>
    <row r="57" spans="1:30" ht="18">
      <c r="A57" t="s">
        <v>466</v>
      </c>
      <c r="B57">
        <v>6</v>
      </c>
      <c r="C57">
        <v>2</v>
      </c>
      <c r="D57">
        <f t="shared" si="17"/>
        <v>7.2518968869370291</v>
      </c>
      <c r="F57" s="3">
        <f>IF(D57&gt;0,D57*Agriculture!$D$2+Agriculture!$E$16*E57,IF(E57&gt;0,0,Agriculture!$D$2*0.025))</f>
        <v>22741.948637434522</v>
      </c>
      <c r="G57" s="3">
        <f>L57*1/Agriculture!$C$49*Agriculture!$E$16</f>
        <v>0</v>
      </c>
      <c r="J57">
        <v>8400</v>
      </c>
      <c r="K57" s="54">
        <f>IF(I57&gt;0,I57,J57/2000*Conversion!$D$22)</f>
        <v>9415.1497020000006</v>
      </c>
      <c r="M57">
        <v>150</v>
      </c>
      <c r="T57" s="68">
        <f t="shared" si="14"/>
        <v>0</v>
      </c>
      <c r="W57">
        <f t="shared" si="15"/>
        <v>2.4000000000000004</v>
      </c>
      <c r="X57" s="3">
        <f>IF(K57&gt;0,F57/K57/W57*Conversion!$E$17,0)</f>
        <v>10064.430446869577</v>
      </c>
      <c r="Y57" s="3">
        <f>IF(L57&gt;0,G57/L57/W57*Conversion!$E$17,0)</f>
        <v>0</v>
      </c>
      <c r="Z57" s="3">
        <f t="shared" si="16"/>
        <v>10064.430446869577</v>
      </c>
      <c r="AA57" s="3">
        <f>(F57*T57)/365.26/Agriculture!$D$2</f>
        <v>0</v>
      </c>
      <c r="AB57" s="4">
        <f>SUM(X57:Y57)*Conversion!$F$18</f>
        <v>2.4870214077259409</v>
      </c>
      <c r="AC57">
        <f t="shared" si="13"/>
        <v>14.8</v>
      </c>
      <c r="AD57" s="4">
        <f t="shared" si="4"/>
        <v>88.339000402425441</v>
      </c>
    </row>
    <row r="58" spans="1:30" ht="18">
      <c r="A58" t="s">
        <v>445</v>
      </c>
      <c r="B58">
        <v>6</v>
      </c>
      <c r="C58">
        <v>0</v>
      </c>
      <c r="D58">
        <f t="shared" si="17"/>
        <v>0</v>
      </c>
      <c r="F58" s="3">
        <f>IF(D58&gt;0,D58*Agriculture!$D$2+Agriculture!$E$16*E58,IF(E58&gt;0,0,Agriculture!$D$2*0.025))</f>
        <v>78.400000000000006</v>
      </c>
      <c r="G58" s="3">
        <f>L58*1/Agriculture!$C$49*Agriculture!$E$16</f>
        <v>0</v>
      </c>
      <c r="J58">
        <v>9420</v>
      </c>
      <c r="K58" s="54">
        <f>IF(I58&gt;0,I58,J58/2000*Conversion!$D$22)</f>
        <v>10558.4178801</v>
      </c>
      <c r="T58" s="68">
        <f t="shared" si="14"/>
        <v>0</v>
      </c>
      <c r="W58">
        <f t="shared" si="15"/>
        <v>1</v>
      </c>
      <c r="X58" s="3">
        <f>IF(K58&gt;0,F58/K58/W58*Conversion!$E$17,0)</f>
        <v>74.253549054697459</v>
      </c>
      <c r="Y58" s="3">
        <f>IF(L58&gt;0,G58/L58/W58*Conversion!$E$17,0)</f>
        <v>0</v>
      </c>
      <c r="Z58" s="3">
        <f t="shared" si="16"/>
        <v>74.253549054697459</v>
      </c>
      <c r="AA58" s="3">
        <f>(F58*T58)/365.26/Agriculture!$D$2</f>
        <v>0</v>
      </c>
      <c r="AB58" s="4">
        <f>SUM(X58:Y58)*Conversion!$F$18</f>
        <v>1.8348794506906289E-2</v>
      </c>
      <c r="AC58">
        <f t="shared" si="13"/>
        <v>14.8</v>
      </c>
      <c r="AD58" s="4">
        <f t="shared" si="4"/>
        <v>0.27156215870221312</v>
      </c>
    </row>
    <row r="59" spans="1:30" ht="18">
      <c r="A59" t="s">
        <v>446</v>
      </c>
      <c r="B59">
        <v>6</v>
      </c>
      <c r="C59">
        <v>0</v>
      </c>
      <c r="D59">
        <f t="shared" si="17"/>
        <v>0</v>
      </c>
      <c r="F59" s="3">
        <f>IF(D59&gt;0,D59*Agriculture!$D$2+Agriculture!$E$16*E59,IF(E59&gt;0,0,Agriculture!$D$2*0.025))</f>
        <v>78.400000000000006</v>
      </c>
      <c r="G59" s="3">
        <f>L59*1/Agriculture!$C$49*Agriculture!$E$16</f>
        <v>0</v>
      </c>
      <c r="I59" s="68"/>
      <c r="J59" s="68">
        <v>4620</v>
      </c>
      <c r="K59" s="54">
        <f>IF(I59&gt;0,I59,J59/2000*Conversion!$D$22)</f>
        <v>5178.3323361000002</v>
      </c>
      <c r="L59" s="68"/>
      <c r="M59" s="68"/>
      <c r="N59" s="68">
        <v>1</v>
      </c>
      <c r="O59" s="67"/>
      <c r="P59" s="67"/>
      <c r="Q59" s="67"/>
      <c r="R59" s="67"/>
      <c r="S59" s="67"/>
      <c r="T59" s="68">
        <f t="shared" si="14"/>
        <v>0</v>
      </c>
      <c r="W59">
        <f t="shared" si="15"/>
        <v>1</v>
      </c>
      <c r="X59" s="3">
        <f>IF(K59&gt;0,F59/K59/W59*Conversion!$E$17,0)</f>
        <v>151.40009352711039</v>
      </c>
      <c r="Y59" s="3">
        <f>IF(L59&gt;0,G59/L59/W59*Conversion!$E$17,0)</f>
        <v>0</v>
      </c>
      <c r="Z59" s="3">
        <f t="shared" si="16"/>
        <v>151.40009352711039</v>
      </c>
      <c r="AA59" s="3">
        <f>(F59*T59)/365.26/Agriculture!$D$2</f>
        <v>0</v>
      </c>
      <c r="AB59" s="4">
        <f>SUM(X59:Y59)*Conversion!$F$18</f>
        <v>3.7412477111484245E-2</v>
      </c>
      <c r="AC59">
        <f t="shared" si="13"/>
        <v>14.8</v>
      </c>
      <c r="AD59" s="4">
        <f t="shared" si="4"/>
        <v>0.55370466124996687</v>
      </c>
    </row>
    <row r="60" spans="1:30" ht="18">
      <c r="A60" t="s">
        <v>131</v>
      </c>
      <c r="B60">
        <v>6</v>
      </c>
      <c r="C60">
        <v>1</v>
      </c>
      <c r="D60">
        <f t="shared" si="17"/>
        <v>3.6259484434685145</v>
      </c>
      <c r="F60" s="3">
        <f>IF(D60&gt;0,D60*Agriculture!$D$2+Agriculture!$E$16*E60,IF(E60&gt;0,0,Agriculture!$D$2*0.025))</f>
        <v>11370.974318717261</v>
      </c>
      <c r="G60" s="3">
        <f>L60*1/Agriculture!$C$49*Agriculture!$E$16</f>
        <v>0</v>
      </c>
      <c r="I60">
        <v>4000</v>
      </c>
      <c r="K60" s="54">
        <f>IF(I60&gt;0,I60,J60/2000*Conversion!$D$22)</f>
        <v>4000</v>
      </c>
      <c r="T60" s="68">
        <f t="shared" si="14"/>
        <v>0</v>
      </c>
      <c r="U60">
        <v>0.5</v>
      </c>
      <c r="V60">
        <v>1</v>
      </c>
      <c r="W60">
        <f t="shared" si="15"/>
        <v>1</v>
      </c>
      <c r="X60" s="3">
        <f>IF(K60&gt;0,F60/K60/W60*Conversion!$E$17,0)</f>
        <v>28427.435796793154</v>
      </c>
      <c r="Y60" s="3">
        <f>IF(L60&gt;0,G60/L60/W60*Conversion!$E$17,0)</f>
        <v>0</v>
      </c>
      <c r="Z60" s="3">
        <f t="shared" si="16"/>
        <v>14213.717898396577</v>
      </c>
      <c r="AA60" s="3">
        <f>(F60*T60)/365.26/Agriculture!$D$2</f>
        <v>0</v>
      </c>
      <c r="AB60" s="4">
        <f>SUM(X60:Y60)*Conversion!$F$18</f>
        <v>7.0247036597455557</v>
      </c>
      <c r="AC60">
        <f t="shared" si="13"/>
        <v>14.8</v>
      </c>
      <c r="AD60" s="4">
        <f t="shared" si="4"/>
        <v>103.96561416423422</v>
      </c>
    </row>
    <row r="61" spans="1:30" ht="18">
      <c r="A61" t="s">
        <v>141</v>
      </c>
      <c r="B61">
        <v>6</v>
      </c>
      <c r="C61">
        <v>1</v>
      </c>
      <c r="D61">
        <f t="shared" si="17"/>
        <v>3.6259484434685145</v>
      </c>
      <c r="F61" s="3">
        <f>IF(D61&gt;0,D61*Agriculture!$D$2+Agriculture!$E$16*E61,IF(E61&gt;0,0,Agriculture!$D$2*0.025))</f>
        <v>11370.974318717261</v>
      </c>
      <c r="G61" s="3">
        <f>L61*1/Agriculture!$C$49*Agriculture!$E$16</f>
        <v>0</v>
      </c>
      <c r="I61">
        <v>2000</v>
      </c>
      <c r="J61">
        <v>14770</v>
      </c>
      <c r="K61" s="54">
        <f>IF(I61&gt;0,I61,J61/2000*Conversion!$D$22)</f>
        <v>2000</v>
      </c>
      <c r="N61">
        <v>1</v>
      </c>
      <c r="R61" s="67">
        <v>98</v>
      </c>
      <c r="T61" s="68">
        <f t="shared" si="14"/>
        <v>3920</v>
      </c>
      <c r="U61">
        <v>2</v>
      </c>
      <c r="W61">
        <f t="shared" si="15"/>
        <v>1</v>
      </c>
      <c r="X61" s="3">
        <f>IF(K61&gt;0,F61/K61/W61*Conversion!$E$17,0)</f>
        <v>56854.871593586307</v>
      </c>
      <c r="Y61" s="3">
        <f>IF(L61&gt;0,G61/L61/W61*Conversion!$E$17,0)</f>
        <v>0</v>
      </c>
      <c r="Z61" s="3">
        <f t="shared" si="16"/>
        <v>113709.74318717261</v>
      </c>
      <c r="AA61" s="3">
        <f>(F61*T61)/365.26/Agriculture!$D$2</f>
        <v>38.913973329673588</v>
      </c>
      <c r="AB61" s="4">
        <f>SUM(X61:Y61)*Conversion!$F$18</f>
        <v>14.049407319491111</v>
      </c>
      <c r="AC61">
        <f t="shared" si="13"/>
        <v>14.8</v>
      </c>
      <c r="AD61" s="4">
        <f t="shared" si="4"/>
        <v>207.93122832846845</v>
      </c>
    </row>
    <row r="62" spans="1:30" ht="18">
      <c r="A62" t="s">
        <v>447</v>
      </c>
      <c r="B62">
        <v>6</v>
      </c>
      <c r="C62">
        <v>0</v>
      </c>
      <c r="D62">
        <f t="shared" si="17"/>
        <v>0</v>
      </c>
      <c r="F62" s="3">
        <f>IF(D62&gt;0,D62*Agriculture!$D$2+Agriculture!$E$16*E62,IF(E62&gt;0,0,Agriculture!$D$2*0.025))</f>
        <v>78.400000000000006</v>
      </c>
      <c r="G62" s="3">
        <f>L62*1/Agriculture!$C$49*Agriculture!$E$16</f>
        <v>0</v>
      </c>
      <c r="I62" s="68"/>
      <c r="J62" s="68">
        <v>7860</v>
      </c>
      <c r="K62" s="54">
        <f>IF(I62&gt;0,I62,J62/2000*Conversion!$D$22)</f>
        <v>8809.8900783000008</v>
      </c>
      <c r="L62" s="68"/>
      <c r="M62" s="68"/>
      <c r="N62" s="68">
        <v>1</v>
      </c>
      <c r="O62" s="67"/>
      <c r="P62" s="67"/>
      <c r="Q62" s="67"/>
      <c r="R62" s="67"/>
      <c r="S62" s="67"/>
      <c r="T62" s="68">
        <f t="shared" si="14"/>
        <v>0</v>
      </c>
      <c r="W62">
        <f t="shared" si="15"/>
        <v>1</v>
      </c>
      <c r="X62" s="3">
        <f>IF(K62&gt;0,F62/K62/W62*Conversion!$E$17,0)</f>
        <v>88.990894668606856</v>
      </c>
      <c r="Y62" s="3">
        <f>IF(L62&gt;0,G62/L62/W62*Conversion!$E$17,0)</f>
        <v>0</v>
      </c>
      <c r="Z62" s="3">
        <f t="shared" si="16"/>
        <v>88.990894668606856</v>
      </c>
      <c r="AA62" s="3">
        <f>(F62*T62)/365.26/Agriculture!$D$2</f>
        <v>0</v>
      </c>
      <c r="AB62" s="4">
        <f>SUM(X62:Y62)*Conversion!$F$18</f>
        <v>2.1990539981559438E-2</v>
      </c>
      <c r="AC62">
        <f t="shared" si="13"/>
        <v>14.8</v>
      </c>
      <c r="AD62" s="4">
        <f t="shared" si="4"/>
        <v>0.32545999172707968</v>
      </c>
    </row>
    <row r="63" spans="1:30" ht="18">
      <c r="A63" t="s">
        <v>481</v>
      </c>
      <c r="B63">
        <v>6</v>
      </c>
      <c r="C63">
        <v>1</v>
      </c>
      <c r="D63">
        <f t="shared" si="17"/>
        <v>3.6259484434685145</v>
      </c>
      <c r="F63" s="3">
        <f>IF(D63&gt;0,D63*Agriculture!$D$2+Agriculture!$E$16*E63,IF(E63&gt;0,0,Agriculture!$D$2*0.025))</f>
        <v>11370.974318717261</v>
      </c>
      <c r="G63" s="3">
        <f>L63*1/Agriculture!$C$49*Agriculture!$E$16</f>
        <v>0</v>
      </c>
      <c r="I63" s="68"/>
      <c r="J63" s="68"/>
      <c r="K63" s="68">
        <f>320*50</f>
        <v>16000</v>
      </c>
      <c r="M63" s="68"/>
      <c r="N63" s="68"/>
      <c r="O63" s="67"/>
      <c r="P63" s="67"/>
      <c r="Q63" s="67"/>
      <c r="R63" s="67"/>
      <c r="S63" s="67"/>
      <c r="T63" s="68">
        <f t="shared" si="14"/>
        <v>0</v>
      </c>
      <c r="W63">
        <f t="shared" si="15"/>
        <v>1</v>
      </c>
      <c r="X63" s="3">
        <f>IF(K63&gt;0,F63/K63/W63*Conversion!$E$17,0)</f>
        <v>7106.8589491982884</v>
      </c>
      <c r="Y63" s="3">
        <f>IF(L63&gt;0,G63/L63/W63*Conversion!$E$17,0)</f>
        <v>0</v>
      </c>
      <c r="Z63" s="3">
        <f t="shared" si="16"/>
        <v>7106.8589491982884</v>
      </c>
      <c r="AA63" s="3">
        <f>(F63*T63)/365.26/Agriculture!$D$2</f>
        <v>0</v>
      </c>
      <c r="AB63" s="4">
        <f>SUM(X63:Y63)*Conversion!$F$18</f>
        <v>1.7561759149363889</v>
      </c>
      <c r="AC63">
        <f t="shared" si="13"/>
        <v>14.8</v>
      </c>
      <c r="AD63" s="4">
        <f t="shared" si="4"/>
        <v>25.991403541058556</v>
      </c>
    </row>
    <row r="64" spans="1:30" ht="18">
      <c r="A64" t="s">
        <v>458</v>
      </c>
      <c r="B64">
        <v>6</v>
      </c>
      <c r="C64">
        <v>2</v>
      </c>
      <c r="D64">
        <f t="shared" si="17"/>
        <v>7.2518968869370291</v>
      </c>
      <c r="F64" s="3">
        <f>IF(D64&gt;0,D64*Agriculture!$D$2+Agriculture!$E$16*E64,IF(E64&gt;0,0,Agriculture!$D$2*0.025))</f>
        <v>22741.948637434522</v>
      </c>
      <c r="G64" s="3">
        <f>L64*1/Agriculture!$C$49*Agriculture!$E$16</f>
        <v>0</v>
      </c>
      <c r="I64" s="67"/>
      <c r="J64" s="67">
        <v>9100</v>
      </c>
      <c r="K64" s="54">
        <f>IF(I64&gt;0,I64,J64/2000*Conversion!$D$22)</f>
        <v>10199.745510500001</v>
      </c>
      <c r="L64" s="67"/>
      <c r="M64" s="67">
        <v>150</v>
      </c>
      <c r="N64" s="67"/>
      <c r="O64" s="67"/>
      <c r="P64" s="67"/>
      <c r="Q64" s="67"/>
      <c r="R64" s="67"/>
      <c r="S64" s="67"/>
      <c r="T64" s="68">
        <f t="shared" si="14"/>
        <v>0</v>
      </c>
      <c r="W64">
        <f t="shared" si="15"/>
        <v>2.4000000000000004</v>
      </c>
      <c r="X64" s="3">
        <f>IF(K64&gt;0,F64/K64/W64*Conversion!$E$17,0)</f>
        <v>9290.2434894180715</v>
      </c>
      <c r="Y64" s="3">
        <f>IF(L64&gt;0,G64/L64/W64*Conversion!$E$17,0)</f>
        <v>0</v>
      </c>
      <c r="Z64" s="3">
        <f t="shared" si="16"/>
        <v>9290.2434894180715</v>
      </c>
      <c r="AA64" s="3">
        <f>(F64*T64)/365.26/Agriculture!$D$2</f>
        <v>0</v>
      </c>
      <c r="AB64" s="4">
        <f>SUM(X64:Y64)*Conversion!$F$18</f>
        <v>2.2957120686700994</v>
      </c>
      <c r="AC64">
        <f t="shared" si="13"/>
        <v>14.8</v>
      </c>
      <c r="AD64" s="4">
        <f t="shared" si="4"/>
        <v>81.54369267916195</v>
      </c>
    </row>
    <row r="65" spans="1:30" ht="18">
      <c r="A65" t="s">
        <v>482</v>
      </c>
      <c r="B65">
        <v>6</v>
      </c>
      <c r="C65">
        <v>1</v>
      </c>
      <c r="D65">
        <f t="shared" si="17"/>
        <v>3.6259484434685145</v>
      </c>
      <c r="F65" s="3">
        <f>IF(D65&gt;0,D65*Agriculture!$D$2+Agriculture!$E$16*E65,IF(E65&gt;0,0,Agriculture!$D$2*0.025))</f>
        <v>11370.974318717261</v>
      </c>
      <c r="G65" s="3">
        <f>L65*1/Agriculture!$C$49*Agriculture!$E$16</f>
        <v>0</v>
      </c>
      <c r="I65" s="68"/>
      <c r="J65" s="68"/>
      <c r="K65" s="68">
        <f>K64</f>
        <v>10199.745510500001</v>
      </c>
      <c r="M65" s="68"/>
      <c r="N65" s="68"/>
      <c r="O65" s="67"/>
      <c r="P65" s="67"/>
      <c r="Q65" s="67"/>
      <c r="R65" s="67"/>
      <c r="S65" s="67"/>
      <c r="T65" s="68">
        <f t="shared" si="14"/>
        <v>0</v>
      </c>
      <c r="W65">
        <f t="shared" si="15"/>
        <v>1</v>
      </c>
      <c r="X65" s="3">
        <f>IF(K65&gt;0,F65/K65/W65*Conversion!$E$17,0)</f>
        <v>11148.292187301688</v>
      </c>
      <c r="Y65" s="3">
        <f>IF(L65&gt;0,G65/L65/W65*Conversion!$E$17,0)</f>
        <v>0</v>
      </c>
      <c r="Z65" s="3">
        <f t="shared" si="16"/>
        <v>11148.292187301688</v>
      </c>
      <c r="AA65" s="3">
        <f>(F65*T65)/365.26/Agriculture!$D$2</f>
        <v>0</v>
      </c>
      <c r="AB65" s="4">
        <f>SUM(X65:Y65)*Conversion!$F$18</f>
        <v>2.7548544824041197</v>
      </c>
      <c r="AC65">
        <f t="shared" si="13"/>
        <v>14.8</v>
      </c>
      <c r="AD65" s="4">
        <f t="shared" si="4"/>
        <v>40.771846339580975</v>
      </c>
    </row>
    <row r="66" spans="1:30" ht="18">
      <c r="A66" t="s">
        <v>448</v>
      </c>
      <c r="B66">
        <v>6</v>
      </c>
      <c r="C66">
        <v>1</v>
      </c>
      <c r="D66">
        <f t="shared" si="17"/>
        <v>3.6259484434685145</v>
      </c>
      <c r="F66" s="3">
        <f>IF(D66&gt;0,D66*Agriculture!$D$2+Agriculture!$E$16*E66,IF(E66&gt;0,0,Agriculture!$D$2*0.025))</f>
        <v>11370.974318717261</v>
      </c>
      <c r="G66" s="3">
        <f>L66*1/Agriculture!$C$49*Agriculture!$E$16</f>
        <v>0</v>
      </c>
      <c r="J66">
        <v>16080</v>
      </c>
      <c r="K66" s="54">
        <f>IF(I66&gt;0,I66,J66/2000*Conversion!$D$22)</f>
        <v>18023.2865724</v>
      </c>
      <c r="N66">
        <v>1</v>
      </c>
      <c r="O66" s="67"/>
      <c r="P66" s="67"/>
      <c r="Q66" s="67"/>
      <c r="R66" s="67"/>
      <c r="S66" s="67"/>
      <c r="T66" s="68">
        <f t="shared" si="14"/>
        <v>0</v>
      </c>
      <c r="W66">
        <f t="shared" si="15"/>
        <v>1</v>
      </c>
      <c r="X66" s="3">
        <f>IF(K66&gt;0,F66/K66/W66*Conversion!$E$17,0)</f>
        <v>6309.0459517689887</v>
      </c>
      <c r="Y66" s="3">
        <f>IF(L66&gt;0,G66/L66/W66*Conversion!$E$17,0)</f>
        <v>0</v>
      </c>
      <c r="Z66" s="3">
        <f t="shared" si="16"/>
        <v>6309.0459517689887</v>
      </c>
      <c r="AA66" s="3">
        <f>(F66*T66)/365.26/Agriculture!$D$2</f>
        <v>0</v>
      </c>
      <c r="AB66" s="4">
        <f>SUM(X66:Y66)*Conversion!$F$18</f>
        <v>1.5590283451416347</v>
      </c>
      <c r="AC66">
        <f t="shared" si="13"/>
        <v>14.8</v>
      </c>
      <c r="AD66" s="4">
        <f t="shared" si="4"/>
        <v>23.073619508096193</v>
      </c>
    </row>
    <row r="67" spans="1:30" ht="18">
      <c r="A67" t="s">
        <v>455</v>
      </c>
      <c r="B67">
        <v>6</v>
      </c>
      <c r="C67">
        <v>2</v>
      </c>
      <c r="D67">
        <f t="shared" si="17"/>
        <v>7.2518968869370291</v>
      </c>
      <c r="F67" s="3">
        <f>IF(D67&gt;0,D67*Agriculture!$D$2+Agriculture!$E$16*E67,IF(E67&gt;0,0,Agriculture!$D$2*0.025))</f>
        <v>22741.948637434522</v>
      </c>
      <c r="G67" s="3">
        <f>L67*1/Agriculture!$C$49*Agriculture!$E$16</f>
        <v>0</v>
      </c>
      <c r="J67">
        <v>19800</v>
      </c>
      <c r="K67" s="54">
        <f>IF(I67&gt;0,I67,J67/2000*Conversion!$D$22)</f>
        <v>22192.852869000002</v>
      </c>
      <c r="M67">
        <v>30</v>
      </c>
      <c r="O67" s="67"/>
      <c r="P67" s="67"/>
      <c r="Q67" s="67"/>
      <c r="R67" s="67"/>
      <c r="S67" s="67"/>
      <c r="T67" s="68">
        <f t="shared" si="14"/>
        <v>0</v>
      </c>
      <c r="W67">
        <f t="shared" si="15"/>
        <v>12.100000000000001</v>
      </c>
      <c r="X67" s="3">
        <f>IF(K67&gt;0,F67/K67/W67*Conversion!$E$17,0)</f>
        <v>846.89422242629041</v>
      </c>
      <c r="Y67" s="3">
        <f>IF(L67&gt;0,G67/L67/W67*Conversion!$E$17,0)</f>
        <v>0</v>
      </c>
      <c r="Z67" s="3">
        <f t="shared" si="16"/>
        <v>846.89422242629041</v>
      </c>
      <c r="AA67" s="3">
        <f>(F67*T67)/365.26/Agriculture!$D$2</f>
        <v>0</v>
      </c>
      <c r="AB67" s="4">
        <f>SUM(X67:Y67)*Conversion!$F$18</f>
        <v>0.2092760313037606</v>
      </c>
      <c r="AC67">
        <f t="shared" si="13"/>
        <v>14.8</v>
      </c>
      <c r="AD67" s="4">
        <f t="shared" si="4"/>
        <v>37.477151685877452</v>
      </c>
    </row>
    <row r="68" spans="1:30" ht="18">
      <c r="A68" t="s">
        <v>480</v>
      </c>
      <c r="B68">
        <v>6</v>
      </c>
      <c r="C68">
        <v>1</v>
      </c>
      <c r="D68">
        <f t="shared" si="17"/>
        <v>3.6259484434685145</v>
      </c>
      <c r="F68" s="3">
        <f>IF(D68&gt;0,D68*Agriculture!$D$2+Agriculture!$E$16*E68,IF(E68&gt;0,0,Agriculture!$D$2*0.025))</f>
        <v>11370.974318717261</v>
      </c>
      <c r="G68" s="3">
        <f>L68*1/Agriculture!$C$49*Agriculture!$E$16</f>
        <v>0</v>
      </c>
      <c r="K68" s="54">
        <v>40000</v>
      </c>
      <c r="O68" s="67"/>
      <c r="P68" s="67"/>
      <c r="Q68" s="67"/>
      <c r="R68" s="67"/>
      <c r="S68" s="67"/>
      <c r="T68" s="68">
        <f t="shared" si="14"/>
        <v>0</v>
      </c>
      <c r="W68">
        <f t="shared" si="15"/>
        <v>1</v>
      </c>
      <c r="X68" s="3">
        <f>IF(K68&gt;0,F68/K68/W68*Conversion!$E$17,0)</f>
        <v>2842.7435796793156</v>
      </c>
      <c r="Y68" s="3">
        <f>IF(L68&gt;0,G68/L68/W68*Conversion!$E$17,0)</f>
        <v>0</v>
      </c>
      <c r="Z68" s="3">
        <f t="shared" si="16"/>
        <v>2842.7435796793156</v>
      </c>
      <c r="AA68" s="3">
        <f>(F68*T68)/365.26/Agriculture!$D$2</f>
        <v>0</v>
      </c>
      <c r="AB68" s="4">
        <f>SUM(X68:Y68)*Conversion!$F$18</f>
        <v>0.70247036597455559</v>
      </c>
      <c r="AC68">
        <f t="shared" si="13"/>
        <v>14.8</v>
      </c>
      <c r="AD68" s="4">
        <f t="shared" si="4"/>
        <v>10.396561416423424</v>
      </c>
    </row>
    <row r="69" spans="1:30" ht="18">
      <c r="A69" t="s">
        <v>125</v>
      </c>
      <c r="B69">
        <v>6</v>
      </c>
      <c r="C69">
        <v>0</v>
      </c>
      <c r="D69">
        <f t="shared" si="17"/>
        <v>0</v>
      </c>
      <c r="F69" s="3">
        <f>IF(D69&gt;0,D69*Agriculture!$D$2+Agriculture!$E$16*E69,IF(E69&gt;0,0,Agriculture!$D$2*0.025))</f>
        <v>78.400000000000006</v>
      </c>
      <c r="G69" s="3">
        <f>L69*1/Agriculture!$C$49*Agriculture!$E$16</f>
        <v>0</v>
      </c>
      <c r="I69">
        <v>40000</v>
      </c>
      <c r="K69" s="54">
        <f>IF(I69&gt;0,I69,J69/2000*Conversion!$D$22)</f>
        <v>40000</v>
      </c>
      <c r="P69">
        <v>1</v>
      </c>
      <c r="Q69">
        <v>1</v>
      </c>
      <c r="R69">
        <v>98</v>
      </c>
      <c r="T69" s="68">
        <f t="shared" si="14"/>
        <v>4100</v>
      </c>
      <c r="U69">
        <v>4</v>
      </c>
      <c r="W69">
        <f t="shared" si="15"/>
        <v>1</v>
      </c>
      <c r="X69" s="3">
        <f>IF(K69&gt;0,F69/K69/W69*Conversion!$E$17,0)</f>
        <v>19.599999999999998</v>
      </c>
      <c r="Y69" s="3">
        <f>IF(L69&gt;0,G69/L69/W69*Conversion!$E$17,0)</f>
        <v>0</v>
      </c>
      <c r="Z69" s="3">
        <f t="shared" si="16"/>
        <v>78.399999999999991</v>
      </c>
      <c r="AA69" s="3">
        <f>(F69*T69)/365.26/Agriculture!$D$2</f>
        <v>0.28062202266878389</v>
      </c>
      <c r="AB69" s="4">
        <f>SUM(X69:Y69)*Conversion!$F$18</f>
        <v>4.8433559999999992E-3</v>
      </c>
      <c r="AC69">
        <f t="shared" si="13"/>
        <v>14.8</v>
      </c>
      <c r="AD69" s="4">
        <f t="shared" si="4"/>
        <v>7.1681668799999987E-2</v>
      </c>
    </row>
    <row r="70" spans="1:30" ht="18">
      <c r="A70" t="s">
        <v>496</v>
      </c>
      <c r="B70">
        <v>6</v>
      </c>
      <c r="C70">
        <v>0</v>
      </c>
      <c r="D70">
        <f t="shared" si="17"/>
        <v>0</v>
      </c>
      <c r="F70" s="3">
        <f>IF(D70&gt;0,D70*Agriculture!$D$2+Agriculture!$E$16*E70,IF(E70&gt;0,0,Agriculture!$D$2*0.025))</f>
        <v>78.400000000000006</v>
      </c>
      <c r="G70" s="3">
        <f>L70*1/Agriculture!$C$49*Agriculture!$E$16</f>
        <v>0</v>
      </c>
      <c r="I70">
        <v>1000</v>
      </c>
      <c r="K70" s="54">
        <f>IF(I70&gt;0,I70,J70/2000*Conversion!$D$22)</f>
        <v>1000</v>
      </c>
      <c r="P70">
        <v>18</v>
      </c>
      <c r="Q70">
        <v>2</v>
      </c>
      <c r="R70">
        <v>80</v>
      </c>
      <c r="T70" s="68">
        <f t="shared" si="14"/>
        <v>5000</v>
      </c>
      <c r="U70">
        <v>1</v>
      </c>
      <c r="V70">
        <v>1</v>
      </c>
      <c r="W70">
        <f t="shared" si="15"/>
        <v>1</v>
      </c>
      <c r="X70" s="3">
        <f>IF(K70&gt;0,F70/K70/W70*Conversion!$E$17,0)</f>
        <v>784.00000000000011</v>
      </c>
      <c r="Y70" s="3">
        <f>IF(L70&gt;0,G70/L70/W70*Conversion!$E$17,0)</f>
        <v>0</v>
      </c>
      <c r="Z70" s="3">
        <f t="shared" si="16"/>
        <v>784.00000000000011</v>
      </c>
      <c r="AA70" s="3">
        <f>(F70*T70)/365.26/Agriculture!$D$2</f>
        <v>0.34222197886437061</v>
      </c>
      <c r="AB70" s="4">
        <f>SUM(X70:Y70)*Conversion!$F$18</f>
        <v>0.19373424</v>
      </c>
      <c r="AC70">
        <f t="shared" si="13"/>
        <v>14.8</v>
      </c>
      <c r="AD70" s="4">
        <f t="shared" si="4"/>
        <v>2.8672667520000004</v>
      </c>
    </row>
    <row r="71" spans="1:30" ht="18">
      <c r="A71" t="s">
        <v>450</v>
      </c>
      <c r="B71">
        <v>6</v>
      </c>
      <c r="C71">
        <v>1</v>
      </c>
      <c r="D71">
        <f t="shared" si="17"/>
        <v>3.6259484434685145</v>
      </c>
      <c r="F71" s="3">
        <f>IF(D71&gt;0,D71*Agriculture!$D$2+Agriculture!$E$16*E71,IF(E71&gt;0,0,Agriculture!$D$2*0.025))</f>
        <v>11370.974318717261</v>
      </c>
      <c r="G71" s="3">
        <f>L71*1/Agriculture!$C$49*Agriculture!$E$16</f>
        <v>0</v>
      </c>
      <c r="J71">
        <v>31400</v>
      </c>
      <c r="K71" s="54">
        <f>IF(I71&gt;0,I71,J71/2000*Conversion!$D$22)</f>
        <v>35194.726266999998</v>
      </c>
      <c r="N71">
        <v>1</v>
      </c>
      <c r="O71" s="67"/>
      <c r="P71" s="67"/>
      <c r="Q71" s="67"/>
      <c r="R71" s="67">
        <v>98</v>
      </c>
      <c r="S71" s="67"/>
      <c r="T71" s="68">
        <f t="shared" si="14"/>
        <v>3920</v>
      </c>
      <c r="W71">
        <f t="shared" si="15"/>
        <v>1</v>
      </c>
      <c r="X71" s="3">
        <f>IF(K71&gt;0,F71/K71/W71*Conversion!$E$17,0)</f>
        <v>3230.8744874027184</v>
      </c>
      <c r="Y71" s="3">
        <f>IF(L71&gt;0,G71/L71/W71*Conversion!$E$17,0)</f>
        <v>0</v>
      </c>
      <c r="Z71" s="3">
        <f t="shared" si="16"/>
        <v>3230.8744874027184</v>
      </c>
      <c r="AA71" s="3">
        <f>(F71*T71)/365.26/Agriculture!$D$2</f>
        <v>38.913973329673588</v>
      </c>
      <c r="AB71" s="4">
        <f>SUM(X71:Y71)*Conversion!$F$18</f>
        <v>0.79838139458208568</v>
      </c>
      <c r="AC71">
        <f t="shared" si="13"/>
        <v>14.8</v>
      </c>
      <c r="AD71" s="4">
        <f t="shared" ref="AD71:AD119" si="18">W71*AB71*AC71</f>
        <v>11.816044639814869</v>
      </c>
    </row>
    <row r="72" spans="1:30" ht="18">
      <c r="A72" t="s">
        <v>451</v>
      </c>
      <c r="B72">
        <v>6</v>
      </c>
      <c r="C72">
        <v>1</v>
      </c>
      <c r="D72">
        <f t="shared" si="17"/>
        <v>3.6259484434685145</v>
      </c>
      <c r="F72" s="3">
        <f>IF(D72&gt;0,D72*Agriculture!$D$2+Agriculture!$E$16*E72,IF(E72&gt;0,0,Agriculture!$D$2*0.025))</f>
        <v>11370.974318717261</v>
      </c>
      <c r="G72" s="3">
        <f>L72*1/Agriculture!$C$49*Agriculture!$E$16</f>
        <v>0</v>
      </c>
      <c r="J72">
        <v>28200</v>
      </c>
      <c r="K72" s="54">
        <f>IF(I72&gt;0,I72,J72/2000*Conversion!$D$22)</f>
        <v>31608.002571000001</v>
      </c>
      <c r="N72">
        <v>1</v>
      </c>
      <c r="O72" s="67"/>
      <c r="P72" s="67"/>
      <c r="Q72" s="67"/>
      <c r="R72" s="67">
        <v>89</v>
      </c>
      <c r="S72" s="67"/>
      <c r="T72" s="68">
        <f t="shared" si="14"/>
        <v>3560</v>
      </c>
      <c r="W72">
        <f t="shared" si="15"/>
        <v>1</v>
      </c>
      <c r="X72" s="3">
        <f>IF(K72&gt;0,F72/K72/W72*Conversion!$E$17,0)</f>
        <v>3597.4985427108281</v>
      </c>
      <c r="Y72" s="3">
        <f>IF(L72&gt;0,G72/L72/W72*Conversion!$E$17,0)</f>
        <v>0</v>
      </c>
      <c r="Z72" s="3">
        <f t="shared" si="16"/>
        <v>3597.4985427108281</v>
      </c>
      <c r="AA72" s="3">
        <f>(F72*T72)/365.26/Agriculture!$D$2</f>
        <v>35.340241085111735</v>
      </c>
      <c r="AB72" s="4">
        <f>SUM(X72:Y72)*Conversion!$F$18</f>
        <v>0.88897786488927266</v>
      </c>
      <c r="AC72">
        <f t="shared" si="13"/>
        <v>14.8</v>
      </c>
      <c r="AD72" s="4">
        <f t="shared" si="18"/>
        <v>13.156872400361236</v>
      </c>
    </row>
    <row r="73" spans="1:30" ht="18">
      <c r="A73" t="s">
        <v>460</v>
      </c>
      <c r="B73">
        <v>6</v>
      </c>
      <c r="C73">
        <v>2</v>
      </c>
      <c r="D73">
        <f t="shared" si="17"/>
        <v>7.2518968869370291</v>
      </c>
      <c r="F73" s="3">
        <f>IF(D73&gt;0,D73*Agriculture!$D$2+Agriculture!$E$16*E73,IF(E73&gt;0,0,Agriculture!$D$2*0.025))</f>
        <v>22741.948637434522</v>
      </c>
      <c r="G73" s="3">
        <f>L73*1/Agriculture!$C$49*Agriculture!$E$16</f>
        <v>0</v>
      </c>
      <c r="J73">
        <v>6900</v>
      </c>
      <c r="K73" s="54">
        <f>IF(I73&gt;0,I73,J73/2000*Conversion!$D$22)</f>
        <v>7733.8729695000011</v>
      </c>
      <c r="M73">
        <v>150</v>
      </c>
      <c r="O73" s="67"/>
      <c r="R73" s="67"/>
      <c r="S73" s="67"/>
      <c r="T73" s="68">
        <f t="shared" si="14"/>
        <v>0</v>
      </c>
      <c r="W73">
        <f t="shared" si="15"/>
        <v>2.4000000000000004</v>
      </c>
      <c r="X73" s="3">
        <f>IF(K73&gt;0,F73/K73/W73*Conversion!$E$17,0)</f>
        <v>12252.350109232528</v>
      </c>
      <c r="Y73" s="3">
        <f>IF(L73&gt;0,G73/L73/W73*Conversion!$E$17,0)</f>
        <v>0</v>
      </c>
      <c r="Z73" s="3">
        <f t="shared" si="16"/>
        <v>12252.350109232528</v>
      </c>
      <c r="AA73" s="3">
        <f>(F73*T73)/365.26/Agriculture!$D$2</f>
        <v>0</v>
      </c>
      <c r="AB73" s="4">
        <f>SUM(X73:Y73)*Conversion!$F$18</f>
        <v>3.0276782354924499</v>
      </c>
      <c r="AC73">
        <f t="shared" si="13"/>
        <v>14.8</v>
      </c>
      <c r="AD73" s="4">
        <f t="shared" si="18"/>
        <v>107.54313092469184</v>
      </c>
    </row>
    <row r="74" spans="1:30" ht="18">
      <c r="A74" t="s">
        <v>404</v>
      </c>
      <c r="B74">
        <v>6</v>
      </c>
      <c r="C74">
        <v>1</v>
      </c>
      <c r="D74">
        <f t="shared" si="17"/>
        <v>3.6259484434685145</v>
      </c>
      <c r="F74" s="3">
        <f>IF(D74&gt;0,D74*Agriculture!$D$2+Agriculture!$E$16*E74,IF(E74&gt;0,0,Agriculture!$D$2*0.025))</f>
        <v>11370.974318717261</v>
      </c>
      <c r="G74" s="3">
        <f>L74*1/Agriculture!$C$49*Agriculture!$E$16</f>
        <v>0</v>
      </c>
      <c r="H74" t="s">
        <v>437</v>
      </c>
      <c r="I74">
        <v>6368</v>
      </c>
      <c r="K74" s="54">
        <f>IF(I74&gt;0,I74,J74/2000*Conversion!$D$22)</f>
        <v>6368</v>
      </c>
      <c r="N74">
        <v>1</v>
      </c>
      <c r="O74" s="67">
        <v>1.3</v>
      </c>
      <c r="P74" s="67">
        <v>0.37</v>
      </c>
      <c r="Q74" s="67">
        <v>0</v>
      </c>
      <c r="R74" s="67">
        <v>31.98</v>
      </c>
      <c r="S74" s="67">
        <v>842</v>
      </c>
      <c r="T74" s="68">
        <f t="shared" si="14"/>
        <v>1364.5000000000002</v>
      </c>
      <c r="W74">
        <f t="shared" si="15"/>
        <v>1</v>
      </c>
      <c r="X74" s="3">
        <f>IF(K74&gt;0,F74/K74/W74*Conversion!$E$17,0)</f>
        <v>17856.429520598715</v>
      </c>
      <c r="Y74" s="3">
        <f>IF(L74&gt;0,G74/L74/W74*Conversion!$E$17,0)</f>
        <v>0</v>
      </c>
      <c r="Z74" s="3">
        <f t="shared" si="16"/>
        <v>17856.429520598715</v>
      </c>
      <c r="AA74" s="3">
        <f>(F74*T74)/365.26/Agriculture!$D$2</f>
        <v>13.545437910290721</v>
      </c>
      <c r="AB74" s="4">
        <f>SUM(X74:Y74)*Conversion!$F$18</f>
        <v>4.4125022988351477</v>
      </c>
      <c r="AC74">
        <f t="shared" si="13"/>
        <v>14.8</v>
      </c>
      <c r="AD74" s="4">
        <f t="shared" si="18"/>
        <v>65.305034022760182</v>
      </c>
    </row>
    <row r="75" spans="1:30" ht="18">
      <c r="A75" t="s">
        <v>452</v>
      </c>
      <c r="B75">
        <v>6</v>
      </c>
      <c r="C75">
        <v>1</v>
      </c>
      <c r="D75">
        <f t="shared" si="17"/>
        <v>3.6259484434685145</v>
      </c>
      <c r="F75" s="3">
        <f>IF(D75&gt;0,D75*Agriculture!$D$2+Agriculture!$E$16*E75,IF(E75&gt;0,0,Agriculture!$D$2*0.025))</f>
        <v>11370.974318717261</v>
      </c>
      <c r="G75" s="3">
        <f>L75*1/Agriculture!$C$49*Agriculture!$E$16</f>
        <v>0</v>
      </c>
      <c r="J75">
        <v>10400</v>
      </c>
      <c r="K75" s="54">
        <f>IF(I75&gt;0,I75,J75/2000*Conversion!$D$22)</f>
        <v>11656.852012000001</v>
      </c>
      <c r="N75">
        <v>1</v>
      </c>
      <c r="O75" s="67"/>
      <c r="P75" s="67"/>
      <c r="Q75" s="67"/>
      <c r="R75" s="67">
        <v>98</v>
      </c>
      <c r="S75" s="67"/>
      <c r="T75" s="68">
        <f t="shared" si="14"/>
        <v>3920</v>
      </c>
      <c r="W75">
        <f t="shared" si="15"/>
        <v>1</v>
      </c>
      <c r="X75" s="3">
        <f>IF(K75&gt;0,F75/K75/W75*Conversion!$E$17,0)</f>
        <v>9754.7556638889746</v>
      </c>
      <c r="Y75" s="3">
        <f>IF(L75&gt;0,G75/L75/W75*Conversion!$E$17,0)</f>
        <v>0</v>
      </c>
      <c r="Z75" s="3">
        <f t="shared" si="16"/>
        <v>9754.7556638889746</v>
      </c>
      <c r="AA75" s="3">
        <f>(F75*T75)/365.26/Agriculture!$D$2</f>
        <v>38.913973329673588</v>
      </c>
      <c r="AB75" s="4">
        <f>SUM(X75:Y75)*Conversion!$F$18</f>
        <v>2.4104976721036042</v>
      </c>
      <c r="AC75">
        <f t="shared" si="13"/>
        <v>14.8</v>
      </c>
      <c r="AD75" s="4">
        <f t="shared" si="18"/>
        <v>35.675365547133346</v>
      </c>
    </row>
    <row r="76" spans="1:30" ht="18">
      <c r="A76" t="s">
        <v>420</v>
      </c>
      <c r="B76">
        <v>6</v>
      </c>
      <c r="C76">
        <v>0.1</v>
      </c>
      <c r="D76">
        <f t="shared" si="17"/>
        <v>0.36259484434685146</v>
      </c>
      <c r="F76" s="3">
        <f>IF(D76&gt;0,D76*Agriculture!$D$2+Agriculture!$E$16*E76,IF(E76&gt;0,0,Agriculture!$D$2*0.025))</f>
        <v>1137.0974318717263</v>
      </c>
      <c r="G76" s="3">
        <f>L76*1/Agriculture!$C$49*Agriculture!$E$16</f>
        <v>0</v>
      </c>
      <c r="I76">
        <v>42368</v>
      </c>
      <c r="K76" s="54">
        <f>IF(I76&gt;0,I76,J76/2000*Conversion!$D$22)</f>
        <v>42368</v>
      </c>
      <c r="M76">
        <v>150</v>
      </c>
      <c r="O76" s="67">
        <v>1</v>
      </c>
      <c r="P76" s="67">
        <v>0.1</v>
      </c>
      <c r="Q76" s="67">
        <v>0</v>
      </c>
      <c r="R76" s="67">
        <v>6.5</v>
      </c>
      <c r="S76" s="67">
        <v>1270</v>
      </c>
      <c r="T76" s="68">
        <f t="shared" si="14"/>
        <v>309</v>
      </c>
      <c r="W76">
        <f t="shared" si="15"/>
        <v>2.4000000000000004</v>
      </c>
      <c r="X76" s="3">
        <f>IF(K76&gt;0,F76/K76/W76*Conversion!$E$17,0)</f>
        <v>111.82746332449472</v>
      </c>
      <c r="Y76" s="3">
        <f>IF(L76&gt;0,G76/L76/W76*Conversion!$E$17,0)</f>
        <v>0</v>
      </c>
      <c r="Z76" s="3">
        <f t="shared" si="16"/>
        <v>111.82746332449472</v>
      </c>
      <c r="AA76" s="3">
        <f>(F76*T76)/365.26/Agriculture!$D$2</f>
        <v>0.30674535099155975</v>
      </c>
      <c r="AB76" s="4">
        <f>SUM(X76:Y76)*Conversion!$F$18</f>
        <v>2.7633684462115886E-2</v>
      </c>
      <c r="AC76">
        <f t="shared" si="13"/>
        <v>14.8</v>
      </c>
      <c r="AD76" s="4">
        <f t="shared" si="18"/>
        <v>0.98154847209435647</v>
      </c>
    </row>
    <row r="77" spans="1:30" ht="18">
      <c r="A77" t="s">
        <v>467</v>
      </c>
      <c r="B77">
        <v>6</v>
      </c>
      <c r="C77">
        <v>0.1</v>
      </c>
      <c r="D77">
        <f t="shared" si="17"/>
        <v>0.36259484434685146</v>
      </c>
      <c r="F77" s="3">
        <f>IF(D77&gt;0,D77*Agriculture!$D$2+Agriculture!$E$16*E77,IF(E77&gt;0,0,Agriculture!$D$2*0.025))</f>
        <v>1137.0974318717263</v>
      </c>
      <c r="G77" s="3">
        <f>L77*1/Agriculture!$C$49*Agriculture!$E$16</f>
        <v>0</v>
      </c>
      <c r="J77">
        <v>12000</v>
      </c>
      <c r="K77" s="54">
        <f>IF(I77&gt;0,I77,J77/2000*Conversion!$D$22)</f>
        <v>13450.21386</v>
      </c>
      <c r="O77" s="67"/>
      <c r="P77" s="67"/>
      <c r="Q77" s="67"/>
      <c r="R77" s="67"/>
      <c r="S77" s="67"/>
      <c r="T77" s="68">
        <f t="shared" si="14"/>
        <v>0</v>
      </c>
      <c r="W77">
        <f t="shared" si="15"/>
        <v>1</v>
      </c>
      <c r="X77" s="3">
        <f>IF(K77&gt;0,F77/K77/W77*Conversion!$E$17,0)</f>
        <v>845.41215753704478</v>
      </c>
      <c r="Y77" s="3">
        <f>IF(L77&gt;0,G77/L77/W77*Conversion!$E$17,0)</f>
        <v>0</v>
      </c>
      <c r="Z77" s="3">
        <f t="shared" si="16"/>
        <v>845.41215753704478</v>
      </c>
      <c r="AA77" s="3">
        <f>(F77*T77)/365.26/Agriculture!$D$2</f>
        <v>0</v>
      </c>
      <c r="AB77" s="4">
        <f>SUM(X77:Y77)*Conversion!$F$18</f>
        <v>0.20890979824897912</v>
      </c>
      <c r="AC77">
        <f t="shared" si="13"/>
        <v>14.8</v>
      </c>
      <c r="AD77" s="4">
        <f t="shared" si="18"/>
        <v>3.0918650140848913</v>
      </c>
    </row>
    <row r="78" spans="1:30" ht="18">
      <c r="A78" t="s">
        <v>453</v>
      </c>
      <c r="B78">
        <v>6</v>
      </c>
      <c r="C78">
        <v>1</v>
      </c>
      <c r="D78">
        <f t="shared" si="17"/>
        <v>3.6259484434685145</v>
      </c>
      <c r="F78" s="3">
        <f>IF(D78&gt;0,D78*Agriculture!$D$2+Agriculture!$E$16*E78,IF(E78&gt;0,0,Agriculture!$D$2*0.025))</f>
        <v>11370.974318717261</v>
      </c>
      <c r="G78" s="3">
        <f>L78*1/Agriculture!$C$49*Agriculture!$E$16</f>
        <v>0</v>
      </c>
      <c r="J78">
        <v>11000</v>
      </c>
      <c r="K78" s="54">
        <f>IF(I78&gt;0,I78,J78/2000*Conversion!$D$22)</f>
        <v>12329.362705000001</v>
      </c>
      <c r="M78">
        <v>150</v>
      </c>
      <c r="O78" s="67"/>
      <c r="P78" s="67"/>
      <c r="Q78" s="67"/>
      <c r="R78" s="67"/>
      <c r="S78" s="67"/>
      <c r="T78" s="68">
        <f t="shared" si="14"/>
        <v>0</v>
      </c>
      <c r="W78">
        <f t="shared" si="15"/>
        <v>2.4000000000000004</v>
      </c>
      <c r="X78" s="3">
        <f>IF(K78&gt;0,F78/K78/W78*Conversion!$E$17,0)</f>
        <v>3842.7825342592932</v>
      </c>
      <c r="Y78" s="3">
        <f>IF(L78&gt;0,G78/L78/W78*Conversion!$E$17,0)</f>
        <v>0</v>
      </c>
      <c r="Z78" s="3">
        <f t="shared" si="16"/>
        <v>3842.7825342592932</v>
      </c>
      <c r="AA78" s="3">
        <f>(F78*T78)/365.26/Agriculture!$D$2</f>
        <v>0</v>
      </c>
      <c r="AB78" s="4">
        <f>SUM(X78:Y78)*Conversion!$F$18</f>
        <v>0.94958999204081385</v>
      </c>
      <c r="AC78">
        <f t="shared" si="13"/>
        <v>14.8</v>
      </c>
      <c r="AD78" s="4">
        <f t="shared" si="18"/>
        <v>33.72943651728972</v>
      </c>
    </row>
    <row r="79" spans="1:30" ht="18">
      <c r="A79" t="s">
        <v>462</v>
      </c>
      <c r="B79">
        <v>6</v>
      </c>
      <c r="C79">
        <v>1</v>
      </c>
      <c r="D79">
        <f t="shared" si="17"/>
        <v>3.6259484434685145</v>
      </c>
      <c r="F79" s="3">
        <f>IF(D79&gt;0,D79*Agriculture!$D$2+Agriculture!$E$16*E79,IF(E79&gt;0,0,Agriculture!$D$2*0.025))</f>
        <v>11370.974318717261</v>
      </c>
      <c r="G79" s="3">
        <f>L79*1/Agriculture!$C$49*Agriculture!$E$16</f>
        <v>0</v>
      </c>
      <c r="J79">
        <v>9700</v>
      </c>
      <c r="K79" s="54">
        <f>IF(I79&gt;0,I79,J79/2000*Conversion!$D$22)</f>
        <v>10872.256203499999</v>
      </c>
      <c r="O79" s="67"/>
      <c r="P79" s="67"/>
      <c r="Q79" s="67"/>
      <c r="R79" s="67"/>
      <c r="S79" s="67"/>
      <c r="T79" s="68">
        <f t="shared" si="14"/>
        <v>0</v>
      </c>
      <c r="W79">
        <f t="shared" si="15"/>
        <v>1</v>
      </c>
      <c r="X79" s="3">
        <f>IF(K79&gt;0,F79/K79/W79*Conversion!$E$17,0)</f>
        <v>10458.707103551069</v>
      </c>
      <c r="Y79" s="3">
        <f>IF(L79&gt;0,G79/L79/W79*Conversion!$E$17,0)</f>
        <v>0</v>
      </c>
      <c r="Z79" s="3">
        <f t="shared" si="16"/>
        <v>10458.707103551069</v>
      </c>
      <c r="AA79" s="3">
        <f>(F79*T79)/365.26/Agriculture!$D$2</f>
        <v>0</v>
      </c>
      <c r="AB79" s="4">
        <f>SUM(X79:Y79)*Conversion!$F$18</f>
        <v>2.5844511123585043</v>
      </c>
      <c r="AC79">
        <f t="shared" si="13"/>
        <v>14.8</v>
      </c>
      <c r="AD79" s="4">
        <f t="shared" si="18"/>
        <v>38.249876462905867</v>
      </c>
    </row>
    <row r="80" spans="1:30" ht="18">
      <c r="A80" t="s">
        <v>457</v>
      </c>
      <c r="B80">
        <v>6</v>
      </c>
      <c r="C80">
        <v>2</v>
      </c>
      <c r="D80">
        <f t="shared" si="17"/>
        <v>7.2518968869370291</v>
      </c>
      <c r="F80" s="3">
        <f>IF(D80&gt;0,D80*Agriculture!$D$2+Agriculture!$E$16*E80,IF(E80&gt;0,0,Agriculture!$D$2*0.025))</f>
        <v>22741.948637434522</v>
      </c>
      <c r="G80" s="3">
        <f>L80*1/Agriculture!$C$49*Agriculture!$E$16</f>
        <v>0</v>
      </c>
      <c r="J80">
        <v>11000</v>
      </c>
      <c r="K80" s="54">
        <f>IF(I80&gt;0,I80,J80/2000*Conversion!$D$22)</f>
        <v>12329.362705000001</v>
      </c>
      <c r="M80">
        <v>150</v>
      </c>
      <c r="O80" s="67"/>
      <c r="P80" s="67"/>
      <c r="Q80" s="67"/>
      <c r="R80" s="67"/>
      <c r="S80" s="67"/>
      <c r="T80" s="68">
        <f t="shared" si="14"/>
        <v>0</v>
      </c>
      <c r="W80">
        <f t="shared" si="15"/>
        <v>2.4000000000000004</v>
      </c>
      <c r="X80" s="3">
        <f>IF(K80&gt;0,F80/K80/W80*Conversion!$E$17,0)</f>
        <v>7685.5650685185865</v>
      </c>
      <c r="Y80" s="3">
        <f>IF(L80&gt;0,G80/L80/W80*Conversion!$E$17,0)</f>
        <v>0</v>
      </c>
      <c r="Z80" s="3">
        <f t="shared" si="16"/>
        <v>7685.5650685185865</v>
      </c>
      <c r="AA80" s="3">
        <f>(F80*T80)/365.26/Agriculture!$D$2</f>
        <v>0</v>
      </c>
      <c r="AB80" s="4">
        <f>SUM(X80:Y80)*Conversion!$F$18</f>
        <v>1.8991799840816277</v>
      </c>
      <c r="AC80">
        <f t="shared" si="13"/>
        <v>14.8</v>
      </c>
      <c r="AD80" s="4">
        <f t="shared" si="18"/>
        <v>67.45887303457944</v>
      </c>
    </row>
    <row r="81" spans="1:30" ht="18">
      <c r="A81" t="s">
        <v>468</v>
      </c>
      <c r="B81">
        <v>6</v>
      </c>
      <c r="C81">
        <v>1</v>
      </c>
      <c r="D81">
        <f t="shared" si="17"/>
        <v>3.6259484434685145</v>
      </c>
      <c r="F81" s="3">
        <f>IF(D81&gt;0,D81*Agriculture!$D$2+Agriculture!$E$16*E81,IF(E81&gt;0,0,Agriculture!$D$2*0.025))</f>
        <v>11370.974318717261</v>
      </c>
      <c r="G81" s="3">
        <f>L81*1/Agriculture!$C$49*Agriculture!$E$16</f>
        <v>0</v>
      </c>
      <c r="J81">
        <v>10300</v>
      </c>
      <c r="K81" s="54">
        <f>IF(I81&gt;0,I81,J81/2000*Conversion!$D$22)</f>
        <v>11544.766896500001</v>
      </c>
      <c r="M81">
        <v>150</v>
      </c>
      <c r="T81" s="68">
        <f t="shared" si="14"/>
        <v>0</v>
      </c>
      <c r="W81">
        <f t="shared" si="15"/>
        <v>2.4000000000000004</v>
      </c>
      <c r="X81" s="3">
        <f>IF(K81&gt;0,F81/K81/W81*Conversion!$E$17,0)</f>
        <v>4103.9425123157498</v>
      </c>
      <c r="Y81" s="3">
        <f>IF(L81&gt;0,G81/L81/W81*Conversion!$E$17,0)</f>
        <v>0</v>
      </c>
      <c r="Z81" s="3">
        <f t="shared" si="16"/>
        <v>4103.9425123157498</v>
      </c>
      <c r="AA81" s="3">
        <f>(F81*T81)/365.26/Agriculture!$D$2</f>
        <v>0</v>
      </c>
      <c r="AB81" s="4">
        <f>SUM(X81:Y81)*Conversion!$F$18</f>
        <v>1.0141252342183449</v>
      </c>
      <c r="AC81">
        <f t="shared" si="13"/>
        <v>14.8</v>
      </c>
      <c r="AD81" s="4">
        <f t="shared" si="18"/>
        <v>36.021728319435617</v>
      </c>
    </row>
    <row r="82" spans="1:30" ht="18">
      <c r="F82" s="3"/>
      <c r="G82" s="3"/>
      <c r="K82" s="54"/>
      <c r="O82" s="67"/>
      <c r="P82" s="67"/>
      <c r="Q82" s="67"/>
      <c r="R82" s="67"/>
      <c r="S82" s="67"/>
      <c r="T82" s="68"/>
      <c r="X82" s="3"/>
      <c r="Y82" s="3"/>
      <c r="Z82" s="3"/>
      <c r="AA82" s="3"/>
      <c r="AB82" s="4">
        <f>SUM(X82:Y82)*Conversion!$F$18</f>
        <v>0</v>
      </c>
      <c r="AC82">
        <f t="shared" si="13"/>
        <v>14.8</v>
      </c>
      <c r="AD82" s="4">
        <f t="shared" si="18"/>
        <v>0</v>
      </c>
    </row>
    <row r="83" spans="1:30" ht="18">
      <c r="A83" t="str">
        <f>Agriculture!B30</f>
        <v>Starchy Root</v>
      </c>
      <c r="B83">
        <f>COUNT(B84:B86)</f>
        <v>3</v>
      </c>
      <c r="C83">
        <f>SUM(C84:C86)</f>
        <v>2</v>
      </c>
      <c r="D83">
        <f>Agriculture!G30</f>
        <v>53.609219638242898</v>
      </c>
      <c r="F83" s="3"/>
      <c r="G83" s="3"/>
      <c r="K83" s="54"/>
      <c r="O83" s="67"/>
      <c r="P83" s="67"/>
      <c r="Q83" s="67"/>
      <c r="R83" s="67"/>
      <c r="S83" s="67"/>
      <c r="T83" s="68"/>
      <c r="X83" s="3"/>
      <c r="Y83" s="3"/>
      <c r="Z83" s="3"/>
      <c r="AA83" s="3"/>
      <c r="AB83" s="4">
        <f>SUM(X83:Y83)*Conversion!$F$18</f>
        <v>0</v>
      </c>
      <c r="AC83">
        <f t="shared" si="13"/>
        <v>14.8</v>
      </c>
      <c r="AD83" s="4">
        <f t="shared" si="18"/>
        <v>0</v>
      </c>
    </row>
    <row r="84" spans="1:30" ht="18">
      <c r="A84" t="s">
        <v>119</v>
      </c>
      <c r="B84">
        <v>7</v>
      </c>
      <c r="C84">
        <v>1</v>
      </c>
      <c r="D84">
        <f>$D$83*C84/$C$83</f>
        <v>26.804609819121449</v>
      </c>
      <c r="F84" s="3">
        <f>IF(D84&gt;0,D84*Agriculture!$D$2+Agriculture!$E$16*E84,IF(E84&gt;0,0,Agriculture!$D$2*0.025))</f>
        <v>84059.256392764859</v>
      </c>
      <c r="G84" s="3">
        <f>L84*1/Agriculture!$C$49*Agriculture!$E$16</f>
        <v>0</v>
      </c>
      <c r="H84" t="s">
        <v>437</v>
      </c>
      <c r="I84">
        <v>17268</v>
      </c>
      <c r="J84">
        <v>15200</v>
      </c>
      <c r="K84" s="54">
        <f>IF(I84&gt;0,I84,J84/2000*Conversion!$D$22)</f>
        <v>17268</v>
      </c>
      <c r="M84">
        <v>150</v>
      </c>
      <c r="O84" s="67">
        <v>2</v>
      </c>
      <c r="P84" s="67">
        <v>0.09</v>
      </c>
      <c r="Q84" s="67">
        <v>0</v>
      </c>
      <c r="R84" s="67">
        <v>17.47</v>
      </c>
      <c r="S84" s="67">
        <v>1318</v>
      </c>
      <c r="T84" s="68">
        <f>(O84*4+R84*4+P84*9+Q84*9)*10</f>
        <v>786.9</v>
      </c>
      <c r="U84">
        <v>0.5</v>
      </c>
      <c r="V84">
        <v>1</v>
      </c>
      <c r="W84">
        <f>IF(N84&gt;0,1,IF(M84&gt;0,FLOOR(365.26/M84,0.1),1))</f>
        <v>2.4000000000000004</v>
      </c>
      <c r="X84" s="3">
        <f>IF(K84&gt;0,F84/K84/W84*Conversion!$E$17,0)</f>
        <v>20283.003337764661</v>
      </c>
      <c r="Y84" s="3">
        <f>IF(L84&gt;0,G84/L84/W84*Conversion!$E$17,0)</f>
        <v>0</v>
      </c>
      <c r="Z84" s="3">
        <f>(X84+Y84)*IF(U84&gt;0,U84,1)</f>
        <v>10141.501668882331</v>
      </c>
      <c r="AA84" s="3">
        <f>(F84*T84)/365.26/Agriculture!$D$2</f>
        <v>57.746666666666663</v>
      </c>
      <c r="AB84" s="4">
        <f>SUM(X84:Y84)*Conversion!$F$18</f>
        <v>5.0121329547950255</v>
      </c>
      <c r="AC84">
        <f t="shared" si="13"/>
        <v>14.8</v>
      </c>
      <c r="AD84" s="4">
        <f t="shared" si="18"/>
        <v>178.03096255431933</v>
      </c>
    </row>
    <row r="85" spans="1:30" ht="18">
      <c r="A85" t="s">
        <v>415</v>
      </c>
      <c r="B85">
        <v>7</v>
      </c>
      <c r="C85">
        <v>1</v>
      </c>
      <c r="D85">
        <f t="shared" ref="D85:D86" si="19">$D$83*C85/$C$83</f>
        <v>26.804609819121449</v>
      </c>
      <c r="F85" s="3">
        <f>IF(D85&gt;0,D85*Agriculture!$D$2+Agriculture!$E$16*E85,IF(E85&gt;0,0,Agriculture!$D$2*0.025))</f>
        <v>84059.256392764859</v>
      </c>
      <c r="G85" s="3">
        <f>L85*1/Agriculture!$C$49*Agriculture!$E$16</f>
        <v>0</v>
      </c>
      <c r="H85" t="s">
        <v>437</v>
      </c>
      <c r="I85">
        <v>13467</v>
      </c>
      <c r="J85">
        <v>6000</v>
      </c>
      <c r="K85" s="54">
        <f>IF(I85&gt;0,I85,J85/2000*Conversion!$D$22)</f>
        <v>13467</v>
      </c>
      <c r="M85">
        <v>150</v>
      </c>
      <c r="O85" s="67">
        <v>1.57</v>
      </c>
      <c r="P85" s="67">
        <v>0.05</v>
      </c>
      <c r="Q85" s="67">
        <v>0</v>
      </c>
      <c r="R85" s="67">
        <v>20.12</v>
      </c>
      <c r="S85" s="67">
        <v>1140</v>
      </c>
      <c r="T85" s="68">
        <f>(O85*4+R85*4+P85*9+Q85*9)*10</f>
        <v>872.10000000000014</v>
      </c>
      <c r="W85">
        <f>IF(N85&gt;0,1,IF(M85&gt;0,FLOOR(365.26/M85,0.1),1))</f>
        <v>2.4000000000000004</v>
      </c>
      <c r="X85" s="3">
        <f>IF(K85&gt;0,F85/K85/W85*Conversion!$E$17,0)</f>
        <v>26007.789532673956</v>
      </c>
      <c r="Y85" s="3">
        <f>IF(L85&gt;0,G85/L85/W85*Conversion!$E$17,0)</f>
        <v>0</v>
      </c>
      <c r="Z85" s="3">
        <f>(X85+Y85)*IF(U85&gt;0,U85,1)</f>
        <v>26007.789532673956</v>
      </c>
      <c r="AA85" s="3">
        <f>(F85*T85)/365.26/Agriculture!$D$2</f>
        <v>63.999069767441874</v>
      </c>
      <c r="AB85" s="4">
        <f>SUM(X85:Y85)*Conversion!$F$18</f>
        <v>6.426784871419061</v>
      </c>
      <c r="AC85">
        <f t="shared" si="13"/>
        <v>14.8</v>
      </c>
      <c r="AD85" s="4">
        <f t="shared" si="18"/>
        <v>228.27939863280508</v>
      </c>
    </row>
    <row r="86" spans="1:30" ht="18">
      <c r="A86" t="s">
        <v>419</v>
      </c>
      <c r="B86">
        <v>7</v>
      </c>
      <c r="C86">
        <v>0</v>
      </c>
      <c r="D86">
        <f t="shared" si="19"/>
        <v>0</v>
      </c>
      <c r="F86" s="3">
        <f>IF(D86&gt;0,D86*Agriculture!$D$2+Agriculture!$E$16*E86,IF(E86&gt;0,0,Agriculture!$D$2*0.025))</f>
        <v>78.400000000000006</v>
      </c>
      <c r="G86" s="3">
        <f>L86*1/Agriculture!$C$49*Agriculture!$E$16</f>
        <v>0</v>
      </c>
      <c r="I86">
        <v>10497</v>
      </c>
      <c r="K86" s="54">
        <f>IF(I86&gt;0,I86,J86/2000*Conversion!$D$22)</f>
        <v>10497</v>
      </c>
      <c r="M86">
        <v>150</v>
      </c>
      <c r="O86" s="67">
        <v>1.53</v>
      </c>
      <c r="P86" s="67">
        <v>0.17</v>
      </c>
      <c r="Q86" s="67">
        <v>0</v>
      </c>
      <c r="R86" s="67">
        <v>27.88</v>
      </c>
      <c r="S86" s="67">
        <v>1215</v>
      </c>
      <c r="T86" s="68">
        <f>(O86*4+R86*4+P86*9+Q86*9)*10</f>
        <v>1191.7</v>
      </c>
      <c r="W86">
        <f>IF(N86&gt;0,1,IF(M86&gt;0,FLOOR(365.26/M86,0.1),1))</f>
        <v>2.4000000000000004</v>
      </c>
      <c r="X86" s="3">
        <f>IF(K86&gt;0,F86/K86/W86*Conversion!$E$17,0)</f>
        <v>31.120002540408368</v>
      </c>
      <c r="Y86" s="3">
        <f>IF(L86&gt;0,G86/L86/W86*Conversion!$E$17,0)</f>
        <v>0</v>
      </c>
      <c r="Z86" s="3">
        <f>(X86+Y86)*IF(U86&gt;0,U86,1)</f>
        <v>31.120002540408368</v>
      </c>
      <c r="AA86" s="3">
        <f>(F86*T86)/365.26/Agriculture!$D$2</f>
        <v>8.1565186442534091E-2</v>
      </c>
      <c r="AB86" s="4">
        <f>SUM(X86:Y86)*Conversion!$F$18</f>
        <v>7.6900638277603113E-3</v>
      </c>
      <c r="AC86">
        <f t="shared" ref="AC86:AC119" si="20">1.5+9.4+3.9</f>
        <v>14.8</v>
      </c>
      <c r="AD86" s="4">
        <f t="shared" si="18"/>
        <v>0.27315106716204629</v>
      </c>
    </row>
    <row r="87" spans="1:30" ht="18">
      <c r="F87" s="3"/>
      <c r="G87" s="3"/>
      <c r="K87" s="54"/>
      <c r="O87" s="67"/>
      <c r="P87" s="67"/>
      <c r="Q87" s="67"/>
      <c r="R87" s="67"/>
      <c r="S87" s="67"/>
      <c r="T87" s="68"/>
      <c r="X87" s="3"/>
      <c r="Y87" s="3"/>
      <c r="Z87" s="3"/>
      <c r="AA87" s="3"/>
      <c r="AB87" s="4">
        <f>SUM(X87:Y87)*Conversion!$F$18</f>
        <v>0</v>
      </c>
      <c r="AC87">
        <f t="shared" si="20"/>
        <v>14.8</v>
      </c>
      <c r="AD87" s="4">
        <f t="shared" si="18"/>
        <v>0</v>
      </c>
    </row>
    <row r="88" spans="1:30" ht="18">
      <c r="A88" t="str">
        <f>Agriculture!B31</f>
        <v>Pulses</v>
      </c>
      <c r="B88">
        <f>COUNT(B89:B98)</f>
        <v>10</v>
      </c>
      <c r="C88">
        <f>SUM(C89:C98)</f>
        <v>2.5</v>
      </c>
      <c r="D88">
        <f>Agriculture!G31</f>
        <v>19.916440329218108</v>
      </c>
      <c r="F88" s="3"/>
      <c r="G88" s="3"/>
      <c r="K88" s="54"/>
      <c r="O88" s="67"/>
      <c r="P88" s="67"/>
      <c r="Q88" s="67"/>
      <c r="R88" s="67"/>
      <c r="S88" s="67"/>
      <c r="T88" s="68"/>
      <c r="X88" s="3"/>
      <c r="Y88" s="3"/>
      <c r="Z88" s="3"/>
      <c r="AA88" s="3"/>
      <c r="AB88" s="4">
        <f>SUM(X88:Y88)*Conversion!$F$18</f>
        <v>0</v>
      </c>
      <c r="AC88">
        <f t="shared" si="20"/>
        <v>14.8</v>
      </c>
      <c r="AD88" s="4">
        <f t="shared" si="18"/>
        <v>0</v>
      </c>
    </row>
    <row r="89" spans="1:30" ht="18">
      <c r="A89" t="s">
        <v>472</v>
      </c>
      <c r="B89">
        <v>8</v>
      </c>
      <c r="C89">
        <v>1</v>
      </c>
      <c r="D89">
        <f>$D$88*C89/$C$88</f>
        <v>7.9665761316872432</v>
      </c>
      <c r="F89" s="3">
        <f>IF(D89&gt;0,D89*Agriculture!$D$2+Agriculture!$E$16*E89,IF(E89&gt;0,0,Agriculture!$D$2*0.025))</f>
        <v>24983.182748971194</v>
      </c>
      <c r="G89" s="3">
        <f>L89*1/Agriculture!$C$49*Agriculture!$E$16</f>
        <v>0</v>
      </c>
      <c r="H89" t="s">
        <v>437</v>
      </c>
      <c r="I89">
        <v>729</v>
      </c>
      <c r="K89" s="54">
        <f>IF(I89&gt;0,I89,J89/2000*Conversion!$D$22)</f>
        <v>729</v>
      </c>
      <c r="M89">
        <v>60</v>
      </c>
      <c r="O89" s="67">
        <v>22</v>
      </c>
      <c r="P89">
        <v>0.81</v>
      </c>
      <c r="R89" s="67">
        <v>57.45</v>
      </c>
      <c r="S89" s="67">
        <v>229</v>
      </c>
      <c r="T89" s="68">
        <f t="shared" ref="T89:T98" si="21">(O89*4+R89*4+P89*9+Q89*9)*10</f>
        <v>3250.9000000000005</v>
      </c>
      <c r="W89">
        <f t="shared" ref="W89:W98" si="22">IF(N89&gt;0,1,IF(M89&gt;0,FLOOR(365.26/M89,0.1),1))</f>
        <v>6</v>
      </c>
      <c r="X89" s="3">
        <f>IF(K89&gt;0,F89/K89/W89*Conversion!$E$17,0)</f>
        <v>57117.473134364867</v>
      </c>
      <c r="Y89" s="3">
        <f>IF(L89&gt;0,G89/L89/W89*Conversion!$E$17,0)</f>
        <v>0</v>
      </c>
      <c r="Z89" s="3">
        <f t="shared" ref="Z89:Z98" si="23">(X89+Y89)*IF(U89&gt;0,U89,1)</f>
        <v>57117.473134364867</v>
      </c>
      <c r="AA89" s="3">
        <f>(F89*T89)/365.26/Agriculture!$D$2</f>
        <v>70.904403292181073</v>
      </c>
      <c r="AB89" s="4">
        <f>SUM(X89:Y89)*Conversion!$F$18</f>
        <v>14.114298786232901</v>
      </c>
      <c r="AC89">
        <f t="shared" ref="AC89:AC98" si="24">24.4+12+4.7+9.4+6</f>
        <v>56.5</v>
      </c>
      <c r="AD89" s="4">
        <f t="shared" si="18"/>
        <v>4784.7472885329535</v>
      </c>
    </row>
    <row r="90" spans="1:30" ht="18">
      <c r="A90" t="s">
        <v>469</v>
      </c>
      <c r="B90">
        <v>8</v>
      </c>
      <c r="C90">
        <v>0</v>
      </c>
      <c r="D90">
        <f t="shared" ref="D90:D98" si="25">$D$88*C90/$C$88</f>
        <v>0</v>
      </c>
      <c r="F90" s="3">
        <f>IF(D90&gt;0,D90*Agriculture!$D$2+Agriculture!$E$16*E90,IF(E90&gt;0,0,Agriculture!$D$2*0.025))</f>
        <v>78.400000000000006</v>
      </c>
      <c r="G90" s="3">
        <f>L90*1/Agriculture!$C$49*Agriculture!$E$16</f>
        <v>0</v>
      </c>
      <c r="J90">
        <v>1400</v>
      </c>
      <c r="K90" s="54">
        <f>IF(I90&gt;0,I90,J90/2000*Conversion!$D$22)</f>
        <v>1569.191617</v>
      </c>
      <c r="M90">
        <v>60</v>
      </c>
      <c r="O90" s="67"/>
      <c r="R90" s="67"/>
      <c r="S90" s="67"/>
      <c r="T90" s="68">
        <f t="shared" si="21"/>
        <v>0</v>
      </c>
      <c r="W90">
        <f t="shared" si="22"/>
        <v>6</v>
      </c>
      <c r="X90" s="3">
        <f>IF(K90&gt;0,F90/K90/W90*Conversion!$E$17,0)</f>
        <v>83.270051439910731</v>
      </c>
      <c r="Y90" s="3">
        <f>IF(L90&gt;0,G90/L90/W90*Conversion!$E$17,0)</f>
        <v>0</v>
      </c>
      <c r="Z90" s="3">
        <f t="shared" si="23"/>
        <v>83.270051439910731</v>
      </c>
      <c r="AA90" s="3">
        <f>(F90*T90)/365.26/Agriculture!$D$2</f>
        <v>0</v>
      </c>
      <c r="AB90" s="4">
        <f>SUM(X90:Y90)*Conversion!$F$18</f>
        <v>2.057686241131634E-2</v>
      </c>
      <c r="AC90">
        <f t="shared" si="24"/>
        <v>56.5</v>
      </c>
      <c r="AD90" s="4">
        <f t="shared" si="18"/>
        <v>6.9755563574362389</v>
      </c>
    </row>
    <row r="91" spans="1:30" ht="18">
      <c r="A91" t="s">
        <v>470</v>
      </c>
      <c r="B91">
        <v>8</v>
      </c>
      <c r="D91">
        <f t="shared" si="25"/>
        <v>0</v>
      </c>
      <c r="F91" s="3">
        <f>IF(D91&gt;0,D91*Agriculture!$D$2+Agriculture!$E$16*E91,IF(E91&gt;0,0,Agriculture!$D$2*0.025))</f>
        <v>78.400000000000006</v>
      </c>
      <c r="G91" s="3">
        <f>L91*1/Agriculture!$C$49*Agriculture!$E$16</f>
        <v>0</v>
      </c>
      <c r="J91">
        <v>4600</v>
      </c>
      <c r="K91" s="54">
        <f>IF(I91&gt;0,I91,J91/2000*Conversion!$D$22)</f>
        <v>5155.9153129999995</v>
      </c>
      <c r="M91">
        <v>60</v>
      </c>
      <c r="O91" s="67"/>
      <c r="R91" s="67"/>
      <c r="S91" s="67"/>
      <c r="T91" s="68">
        <f t="shared" si="21"/>
        <v>0</v>
      </c>
      <c r="W91">
        <f t="shared" si="22"/>
        <v>6</v>
      </c>
      <c r="X91" s="3">
        <f>IF(K91&gt;0,F91/K91/W91*Conversion!$E$17,0)</f>
        <v>25.34305913388587</v>
      </c>
      <c r="Y91" s="3">
        <f>IF(L91&gt;0,G91/L91/W91*Conversion!$E$17,0)</f>
        <v>0</v>
      </c>
      <c r="Z91" s="3">
        <f t="shared" si="23"/>
        <v>25.34305913388587</v>
      </c>
      <c r="AA91" s="3">
        <f>(F91*T91)/365.26/Agriculture!$D$2</f>
        <v>0</v>
      </c>
      <c r="AB91" s="4">
        <f>SUM(X91:Y91)*Conversion!$F$18</f>
        <v>6.2625233425745372E-3</v>
      </c>
      <c r="AC91">
        <f t="shared" si="24"/>
        <v>56.5</v>
      </c>
      <c r="AD91" s="4">
        <f t="shared" si="18"/>
        <v>2.122995413132768</v>
      </c>
    </row>
    <row r="92" spans="1:30" ht="18">
      <c r="A92" t="s">
        <v>471</v>
      </c>
      <c r="B92">
        <v>8</v>
      </c>
      <c r="C92">
        <v>0</v>
      </c>
      <c r="D92">
        <f t="shared" si="25"/>
        <v>0</v>
      </c>
      <c r="F92" s="3">
        <f>IF(D92&gt;0,D92*Agriculture!$D$2+Agriculture!$E$16*E92,IF(E92&gt;0,0,Agriculture!$D$2*0.025))</f>
        <v>78.400000000000006</v>
      </c>
      <c r="G92" s="3">
        <f>L92*1/Agriculture!$C$49*Agriculture!$E$16</f>
        <v>0</v>
      </c>
      <c r="H92" t="s">
        <v>437</v>
      </c>
      <c r="I92">
        <v>6918</v>
      </c>
      <c r="K92" s="54">
        <f>IF(I92&gt;0,I92,J92/2000*Conversion!$D$22)</f>
        <v>6918</v>
      </c>
      <c r="M92">
        <v>60</v>
      </c>
      <c r="O92" s="67">
        <v>1.83</v>
      </c>
      <c r="P92">
        <v>0.22</v>
      </c>
      <c r="R92" s="67">
        <v>6.97</v>
      </c>
      <c r="S92" s="67">
        <v>249</v>
      </c>
      <c r="T92" s="68">
        <f t="shared" si="21"/>
        <v>371.8</v>
      </c>
      <c r="W92">
        <f t="shared" si="22"/>
        <v>6</v>
      </c>
      <c r="X92" s="3">
        <f>IF(K92&gt;0,F92/K92/W92*Conversion!$E$17,0)</f>
        <v>18.887925219234848</v>
      </c>
      <c r="Y92" s="3">
        <f>IF(L92&gt;0,G92/L92/W92*Conversion!$E$17,0)</f>
        <v>0</v>
      </c>
      <c r="Z92" s="3">
        <f t="shared" si="23"/>
        <v>18.887925219234848</v>
      </c>
      <c r="AA92" s="3">
        <f>(F92*T92)/365.26/Agriculture!$D$2</f>
        <v>2.54476263483546E-2</v>
      </c>
      <c r="AB92" s="4">
        <f>SUM(X92:Y92)*Conversion!$F$18</f>
        <v>4.6673952009251233E-3</v>
      </c>
      <c r="AC92">
        <f t="shared" si="24"/>
        <v>56.5</v>
      </c>
      <c r="AD92" s="4">
        <f t="shared" si="18"/>
        <v>1.5822469731136168</v>
      </c>
    </row>
    <row r="93" spans="1:30" ht="18">
      <c r="A93" t="s">
        <v>395</v>
      </c>
      <c r="B93">
        <v>8</v>
      </c>
      <c r="C93">
        <v>0.5</v>
      </c>
      <c r="D93">
        <f t="shared" si="25"/>
        <v>3.9832880658436216</v>
      </c>
      <c r="F93" s="3">
        <f>IF(D93&gt;0,D93*Agriculture!$D$2+Agriculture!$E$16*E93,IF(E93&gt;0,0,Agriculture!$D$2*0.025))</f>
        <v>12491.591374485597</v>
      </c>
      <c r="G93" s="3">
        <f>L93*1/Agriculture!$C$49*Agriculture!$E$16</f>
        <v>0</v>
      </c>
      <c r="H93" t="s">
        <v>437</v>
      </c>
      <c r="I93" s="67">
        <v>944</v>
      </c>
      <c r="J93" s="67"/>
      <c r="K93" s="54">
        <f>IF(I93&gt;0,I93,J93/2000*Conversion!$D$22)</f>
        <v>944</v>
      </c>
      <c r="L93" s="67"/>
      <c r="M93" s="67"/>
      <c r="N93" s="67"/>
      <c r="O93" s="67">
        <v>25.8</v>
      </c>
      <c r="P93" s="67">
        <v>1.06</v>
      </c>
      <c r="Q93" s="67">
        <v>48.7</v>
      </c>
      <c r="R93" s="67">
        <v>60.08</v>
      </c>
      <c r="S93" s="67">
        <v>322</v>
      </c>
      <c r="T93" s="68">
        <f t="shared" si="21"/>
        <v>7913.6</v>
      </c>
      <c r="W93">
        <f t="shared" si="22"/>
        <v>1</v>
      </c>
      <c r="X93" s="3">
        <f>IF(K93&gt;0,F93/K93/W93*Conversion!$E$17,0)</f>
        <v>132326.17981446607</v>
      </c>
      <c r="Y93" s="3">
        <f>IF(L93&gt;0,G93/L93/W93*Conversion!$E$17,0)</f>
        <v>0</v>
      </c>
      <c r="Z93" s="3">
        <f t="shared" si="23"/>
        <v>132326.17981446607</v>
      </c>
      <c r="AA93" s="3">
        <f>(F93*T93)/365.26/Agriculture!$D$2</f>
        <v>86.300576131687251</v>
      </c>
      <c r="AB93" s="4">
        <f>SUM(X93:Y93)*Conversion!$F$18</f>
        <v>32.699122293952712</v>
      </c>
      <c r="AC93">
        <f t="shared" si="24"/>
        <v>56.5</v>
      </c>
      <c r="AD93" s="4">
        <f t="shared" si="18"/>
        <v>1847.5004096083283</v>
      </c>
    </row>
    <row r="94" spans="1:30" ht="18">
      <c r="A94" t="s">
        <v>402</v>
      </c>
      <c r="B94">
        <v>8</v>
      </c>
      <c r="D94">
        <f t="shared" si="25"/>
        <v>0</v>
      </c>
      <c r="F94" s="3">
        <f>IF(D94&gt;0,D94*Agriculture!$D$2+Agriculture!$E$16*E94,IF(E94&gt;0,0,Agriculture!$D$2*0.025))</f>
        <v>78.400000000000006</v>
      </c>
      <c r="G94" s="3">
        <f>L94*1/Agriculture!$C$49*Agriculture!$E$16</f>
        <v>0</v>
      </c>
      <c r="H94" t="s">
        <v>437</v>
      </c>
      <c r="I94">
        <v>1658</v>
      </c>
      <c r="K94" s="54">
        <f>IF(I94&gt;0,I94,J94/2000*Conversion!$D$22)</f>
        <v>1658</v>
      </c>
      <c r="O94" s="67">
        <v>17.399999999999999</v>
      </c>
      <c r="P94" s="67">
        <v>1.3</v>
      </c>
      <c r="Q94" s="67">
        <v>0</v>
      </c>
      <c r="R94" s="67">
        <v>46.4</v>
      </c>
      <c r="S94" s="67">
        <v>428</v>
      </c>
      <c r="T94" s="68">
        <f t="shared" si="21"/>
        <v>2669</v>
      </c>
      <c r="W94">
        <f t="shared" si="22"/>
        <v>1</v>
      </c>
      <c r="X94" s="3">
        <f>IF(K94&gt;0,F94/K94/W94*Conversion!$E$17,0)</f>
        <v>472.85886610373944</v>
      </c>
      <c r="Y94" s="3">
        <f>IF(L94&gt;0,G94/L94/W94*Conversion!$E$17,0)</f>
        <v>0</v>
      </c>
      <c r="Z94" s="3">
        <f t="shared" si="23"/>
        <v>472.85886610373944</v>
      </c>
      <c r="AA94" s="3">
        <f>(F94*T94)/365.26/Agriculture!$D$2</f>
        <v>0.18267809231780102</v>
      </c>
      <c r="AB94" s="4">
        <f>SUM(X94:Y94)*Conversion!$F$18</f>
        <v>0.11684815440289505</v>
      </c>
      <c r="AC94">
        <f t="shared" si="24"/>
        <v>56.5</v>
      </c>
      <c r="AD94" s="4">
        <f t="shared" si="18"/>
        <v>6.6019207237635698</v>
      </c>
    </row>
    <row r="95" spans="1:30" ht="18">
      <c r="A95" t="s">
        <v>403</v>
      </c>
      <c r="B95">
        <v>8</v>
      </c>
      <c r="C95">
        <v>1</v>
      </c>
      <c r="D95">
        <f t="shared" si="25"/>
        <v>7.9665761316872432</v>
      </c>
      <c r="F95" s="3">
        <f>IF(D95&gt;0,D95*Agriculture!$D$2+Agriculture!$E$16*E95,IF(E95&gt;0,0,Agriculture!$D$2*0.025))</f>
        <v>24983.182748971194</v>
      </c>
      <c r="G95" s="3">
        <f>L95*1/Agriculture!$C$49*Agriculture!$E$16</f>
        <v>0</v>
      </c>
      <c r="H95" t="s">
        <v>437</v>
      </c>
      <c r="I95">
        <v>7388</v>
      </c>
      <c r="J95">
        <v>2200</v>
      </c>
      <c r="K95" s="54">
        <f>IF(I95&gt;0,I95,J95/2000*Conversion!$D$22)</f>
        <v>7388</v>
      </c>
      <c r="O95" s="67">
        <v>5.42</v>
      </c>
      <c r="P95" s="67">
        <v>0.4</v>
      </c>
      <c r="Q95" s="67">
        <v>0</v>
      </c>
      <c r="R95" s="67">
        <v>14.45</v>
      </c>
      <c r="S95" s="67">
        <v>593</v>
      </c>
      <c r="T95" s="68">
        <f t="shared" si="21"/>
        <v>830.79999999999984</v>
      </c>
      <c r="W95">
        <f t="shared" si="22"/>
        <v>1</v>
      </c>
      <c r="X95" s="3">
        <f>IF(K95&gt;0,F95/K95/W95*Conversion!$E$17,0)</f>
        <v>33815.894354319425</v>
      </c>
      <c r="Y95" s="3">
        <f>IF(L95&gt;0,G95/L95/W95*Conversion!$E$17,0)</f>
        <v>0</v>
      </c>
      <c r="Z95" s="3">
        <f t="shared" si="23"/>
        <v>33815.894354319425</v>
      </c>
      <c r="AA95" s="3">
        <f>(F95*T95)/365.26/Agriculture!$D$2</f>
        <v>18.120329218106992</v>
      </c>
      <c r="AB95" s="4">
        <f>SUM(X95:Y95)*Conversion!$F$18</f>
        <v>8.356245653895872</v>
      </c>
      <c r="AC95">
        <f t="shared" si="24"/>
        <v>56.5</v>
      </c>
      <c r="AD95" s="4">
        <f t="shared" si="18"/>
        <v>472.12787944511678</v>
      </c>
    </row>
    <row r="96" spans="1:30" ht="18">
      <c r="A96" t="s">
        <v>423</v>
      </c>
      <c r="B96">
        <v>8</v>
      </c>
      <c r="D96">
        <f t="shared" si="25"/>
        <v>0</v>
      </c>
      <c r="F96" s="3">
        <f>IF(D96&gt;0,D96*Agriculture!$D$2+Agriculture!$E$16*E96,IF(E96&gt;0,0,Agriculture!$D$2*0.025))</f>
        <v>78.400000000000006</v>
      </c>
      <c r="G96" s="3">
        <f>L96*1/Agriculture!$C$49*Agriculture!$E$16</f>
        <v>0</v>
      </c>
      <c r="I96">
        <v>10000</v>
      </c>
      <c r="K96" s="54">
        <f>IF(I96&gt;0,I96,J96/2000*Conversion!$D$22)</f>
        <v>10000</v>
      </c>
      <c r="O96" s="67">
        <v>6.95</v>
      </c>
      <c r="P96" s="67">
        <v>0.87</v>
      </c>
      <c r="Q96" s="67">
        <v>0</v>
      </c>
      <c r="R96" s="67">
        <v>4.3099999999999996</v>
      </c>
      <c r="S96" s="67">
        <v>508</v>
      </c>
      <c r="T96" s="68">
        <f t="shared" si="21"/>
        <v>528.69999999999993</v>
      </c>
      <c r="W96">
        <f t="shared" si="22"/>
        <v>1</v>
      </c>
      <c r="X96" s="3">
        <f>IF(K96&gt;0,F96/K96/W96*Conversion!$E$17,0)</f>
        <v>78.399999999999991</v>
      </c>
      <c r="Y96" s="3">
        <f>IF(L96&gt;0,G96/L96/W96*Conversion!$E$17,0)</f>
        <v>0</v>
      </c>
      <c r="Z96" s="3">
        <f t="shared" si="23"/>
        <v>78.399999999999991</v>
      </c>
      <c r="AA96" s="3">
        <f>(F96*T96)/365.26/Agriculture!$D$2</f>
        <v>3.6186552045118538E-2</v>
      </c>
      <c r="AB96" s="4">
        <f>SUM(X96:Y96)*Conversion!$F$18</f>
        <v>1.9373423999999997E-2</v>
      </c>
      <c r="AC96">
        <f t="shared" si="24"/>
        <v>56.5</v>
      </c>
      <c r="AD96" s="4">
        <f t="shared" si="18"/>
        <v>1.0945984559999997</v>
      </c>
    </row>
    <row r="97" spans="1:30" ht="18">
      <c r="A97" t="s">
        <v>422</v>
      </c>
      <c r="B97">
        <v>8</v>
      </c>
      <c r="D97">
        <f t="shared" si="25"/>
        <v>0</v>
      </c>
      <c r="F97" s="3">
        <f>IF(D97&gt;0,D97*Agriculture!$D$2+Agriculture!$E$16*E97,IF(E97&gt;0,0,Agriculture!$D$2*0.025))</f>
        <v>78.400000000000006</v>
      </c>
      <c r="G97" s="3">
        <f>L97*1/Agriculture!$C$49*Agriculture!$E$16</f>
        <v>0</v>
      </c>
      <c r="I97">
        <v>729</v>
      </c>
      <c r="K97" s="54">
        <f>IF(I97&gt;0,I97,J97/2000*Conversion!$D$22)</f>
        <v>729</v>
      </c>
      <c r="O97" s="67">
        <v>29.65</v>
      </c>
      <c r="P97" s="67">
        <v>16.32</v>
      </c>
      <c r="Q97" s="67">
        <v>26.53</v>
      </c>
      <c r="R97" s="67">
        <v>41.71</v>
      </c>
      <c r="S97" s="67">
        <v>305</v>
      </c>
      <c r="T97" s="68">
        <f t="shared" si="21"/>
        <v>6710.9000000000005</v>
      </c>
      <c r="W97">
        <f t="shared" si="22"/>
        <v>1</v>
      </c>
      <c r="X97" s="3">
        <f>IF(K97&gt;0,F97/K97/W97*Conversion!$E$17,0)</f>
        <v>1075.4458161865571</v>
      </c>
      <c r="Y97" s="3">
        <f>IF(L97&gt;0,G97/L97/W97*Conversion!$E$17,0)</f>
        <v>0</v>
      </c>
      <c r="Z97" s="3">
        <f t="shared" si="23"/>
        <v>1075.4458161865571</v>
      </c>
      <c r="AA97" s="3">
        <f>(F97*T97)/365.26/Agriculture!$D$2</f>
        <v>0.459323495592181</v>
      </c>
      <c r="AB97" s="4">
        <f>SUM(X97:Y97)*Conversion!$F$18</f>
        <v>0.26575341563786009</v>
      </c>
      <c r="AC97">
        <f t="shared" si="24"/>
        <v>56.5</v>
      </c>
      <c r="AD97" s="4">
        <f t="shared" si="18"/>
        <v>15.015067983539096</v>
      </c>
    </row>
    <row r="98" spans="1:30" ht="18">
      <c r="A98" t="s">
        <v>424</v>
      </c>
      <c r="B98">
        <v>8</v>
      </c>
      <c r="D98">
        <f t="shared" si="25"/>
        <v>0</v>
      </c>
      <c r="F98" s="3">
        <f>IF(D98&gt;0,D98*Agriculture!$D$2+Agriculture!$E$16*E98,IF(E98&gt;0,0,Agriculture!$D$2*0.025))</f>
        <v>78.400000000000006</v>
      </c>
      <c r="G98" s="3">
        <f>L98*1/Agriculture!$C$49*Agriculture!$E$16</f>
        <v>0</v>
      </c>
      <c r="I98">
        <v>5000</v>
      </c>
      <c r="K98" s="54">
        <f>IF(I98&gt;0,I98,J98/2000*Conversion!$D$22)</f>
        <v>5000</v>
      </c>
      <c r="O98" s="67">
        <v>11.6</v>
      </c>
      <c r="P98" s="67">
        <v>0.9</v>
      </c>
      <c r="Q98" s="67">
        <v>0</v>
      </c>
      <c r="R98" s="67">
        <v>28.1</v>
      </c>
      <c r="S98" s="67">
        <v>807</v>
      </c>
      <c r="T98" s="68">
        <f t="shared" si="21"/>
        <v>1669</v>
      </c>
      <c r="W98">
        <f t="shared" si="22"/>
        <v>1</v>
      </c>
      <c r="X98" s="3">
        <f>IF(K98&gt;0,F98/K98/W98*Conversion!$E$17,0)</f>
        <v>156.79999999999998</v>
      </c>
      <c r="Y98" s="3">
        <f>IF(L98&gt;0,G98/L98/W98*Conversion!$E$17,0)</f>
        <v>0</v>
      </c>
      <c r="Z98" s="3">
        <f t="shared" si="23"/>
        <v>156.79999999999998</v>
      </c>
      <c r="AA98" s="3">
        <f>(F98*T98)/365.26/Agriculture!$D$2</f>
        <v>0.11423369654492692</v>
      </c>
      <c r="AB98" s="4">
        <f>SUM(X98:Y98)*Conversion!$F$18</f>
        <v>3.8746847999999993E-2</v>
      </c>
      <c r="AC98">
        <f t="shared" si="24"/>
        <v>56.5</v>
      </c>
      <c r="AD98" s="4">
        <f t="shared" si="18"/>
        <v>2.1891969119999994</v>
      </c>
    </row>
    <row r="99" spans="1:30" ht="18">
      <c r="F99" s="3"/>
      <c r="G99" s="3"/>
      <c r="K99" s="54"/>
      <c r="O99" s="67"/>
      <c r="P99" s="67"/>
      <c r="Q99" s="67"/>
      <c r="R99" s="67"/>
      <c r="S99" s="67"/>
      <c r="T99" s="68"/>
      <c r="X99" s="3"/>
      <c r="Y99" s="3"/>
      <c r="Z99" s="3"/>
      <c r="AA99" s="3"/>
      <c r="AB99" s="4">
        <f>SUM(X99:Y99)*Conversion!$F$18</f>
        <v>0</v>
      </c>
      <c r="AC99">
        <f t="shared" si="20"/>
        <v>14.8</v>
      </c>
      <c r="AD99" s="4">
        <f t="shared" si="18"/>
        <v>0</v>
      </c>
    </row>
    <row r="100" spans="1:30" ht="18">
      <c r="A100" t="str">
        <f>Agriculture!B32</f>
        <v>Cereals &amp; Grains</v>
      </c>
      <c r="B100">
        <f>COUNT(B101:B112)</f>
        <v>12</v>
      </c>
      <c r="C100">
        <f>SUM(C101:C112)</f>
        <v>6.5</v>
      </c>
      <c r="D100">
        <f>Agriculture!G32</f>
        <v>293.05744186046513</v>
      </c>
      <c r="F100" s="3"/>
      <c r="G100" s="3"/>
      <c r="K100" s="54"/>
      <c r="O100" s="67"/>
      <c r="P100" s="67"/>
      <c r="Q100" s="67"/>
      <c r="R100" s="67"/>
      <c r="S100" s="67"/>
      <c r="T100" s="68"/>
      <c r="X100" s="3"/>
      <c r="Y100" s="3"/>
      <c r="Z100" s="3"/>
      <c r="AA100" s="3"/>
      <c r="AB100" s="4">
        <f>SUM(X100:Y100)*Conversion!$F$18</f>
        <v>0</v>
      </c>
      <c r="AC100">
        <f t="shared" si="20"/>
        <v>14.8</v>
      </c>
      <c r="AD100" s="4">
        <f t="shared" si="18"/>
        <v>0</v>
      </c>
    </row>
    <row r="101" spans="1:30" ht="18">
      <c r="A101" t="s">
        <v>120</v>
      </c>
      <c r="B101">
        <v>9</v>
      </c>
      <c r="C101">
        <v>1</v>
      </c>
      <c r="D101">
        <f>$D$100*C101/$C$100</f>
        <v>45.085760286225408</v>
      </c>
      <c r="E101">
        <v>0.05</v>
      </c>
      <c r="F101" s="3">
        <f>IF(D101&gt;0,D101*Agriculture!$D$2+Agriculture!$E$16*E101,IF(E101&gt;0,0,Agriculture!$D$2*0.025))</f>
        <v>361587.29718763044</v>
      </c>
      <c r="G101" s="3">
        <f>L101*1/Agriculture!$C$49*Agriculture!$E$16</f>
        <v>131369.20910611452</v>
      </c>
      <c r="H101" t="s">
        <v>437</v>
      </c>
      <c r="I101">
        <v>2777</v>
      </c>
      <c r="K101" s="54">
        <f>IF(I101&gt;0,I101,J101/2000*Conversion!$D$22)</f>
        <v>2777</v>
      </c>
      <c r="L101">
        <f>I101</f>
        <v>2777</v>
      </c>
      <c r="O101" s="67">
        <v>12.48</v>
      </c>
      <c r="P101" s="67">
        <v>2.2999999999999998</v>
      </c>
      <c r="R101" s="67">
        <v>73.48</v>
      </c>
      <c r="S101" s="67">
        <v>982</v>
      </c>
      <c r="T101" s="68">
        <f t="shared" ref="T101:T112" si="26">(O101*4+R101*4+P101*9+Q101*9)*10</f>
        <v>3645.4</v>
      </c>
      <c r="U101">
        <v>1.5</v>
      </c>
      <c r="V101">
        <v>1</v>
      </c>
      <c r="W101">
        <f t="shared" ref="W101:W112" si="27">IF(N101&gt;0,1,IF(M101&gt;0,FLOOR(365.26/M101,0.1),1))</f>
        <v>1</v>
      </c>
      <c r="X101" s="3">
        <f>IF(K101&gt;0,F101/K101/W101*Conversion!$E$17,0)</f>
        <v>1302078.8519540168</v>
      </c>
      <c r="Y101" s="3">
        <f>IF(L101&gt;0,G101/L101/W101*Conversion!$E$17,0)</f>
        <v>473061.61003282148</v>
      </c>
      <c r="Z101" s="3">
        <f t="shared" ref="Z101:Z112" si="28">(X101+Y101)*IF(U101&gt;0,U101,1)</f>
        <v>2662710.6929802578</v>
      </c>
      <c r="AA101" s="3">
        <f>(F101*T101)/365.26/Agriculture!$D$2</f>
        <v>1150.7478852495728</v>
      </c>
      <c r="AB101" s="4">
        <f>SUM(X101:Y101)*Conversion!$F$18</f>
        <v>438.65495956156758</v>
      </c>
      <c r="AC101">
        <f>24.4+11+4.7+9.4+6</f>
        <v>55.5</v>
      </c>
      <c r="AD101" s="4">
        <f t="shared" si="18"/>
        <v>24345.350255666999</v>
      </c>
    </row>
    <row r="102" spans="1:30" ht="18">
      <c r="A102" t="s">
        <v>396</v>
      </c>
      <c r="B102">
        <v>9</v>
      </c>
      <c r="C102">
        <v>1</v>
      </c>
      <c r="D102">
        <f t="shared" ref="D102:D112" si="29">$D$100*C102/$C$100</f>
        <v>45.085760286225408</v>
      </c>
      <c r="F102" s="3">
        <f>IF(D102&gt;0,D102*Agriculture!$D$2+Agriculture!$E$16*E102,IF(E102&gt;0,0,Agriculture!$D$2*0.025))</f>
        <v>141388.94425760288</v>
      </c>
      <c r="G102" s="3">
        <f>L102*1/Agriculture!$C$49*Agriculture!$E$16</f>
        <v>241687.17656576849</v>
      </c>
      <c r="H102" t="s">
        <v>437</v>
      </c>
      <c r="I102">
        <v>5109</v>
      </c>
      <c r="J102">
        <v>6200</v>
      </c>
      <c r="K102" s="54">
        <f>IF(I102&gt;0,I102,J102/2000*Conversion!$D$22)</f>
        <v>5109</v>
      </c>
      <c r="L102">
        <f>I102</f>
        <v>5109</v>
      </c>
      <c r="M102">
        <v>150</v>
      </c>
      <c r="O102" s="67">
        <v>8.1199999999999992</v>
      </c>
      <c r="P102" s="67">
        <v>3.59</v>
      </c>
      <c r="Q102" s="67">
        <v>45.6</v>
      </c>
      <c r="R102" s="67">
        <v>76.89</v>
      </c>
      <c r="S102" s="68">
        <v>1847</v>
      </c>
      <c r="T102" s="68">
        <f t="shared" si="26"/>
        <v>7827.5</v>
      </c>
      <c r="W102">
        <f t="shared" si="27"/>
        <v>2.4000000000000004</v>
      </c>
      <c r="X102" s="3">
        <f>IF(K102&gt;0,F102/K102/W102*Conversion!$E$17,0)</f>
        <v>115310.35448685559</v>
      </c>
      <c r="Y102" s="3">
        <f>IF(L102&gt;0,G102/L102/W102*Conversion!$E$17,0)</f>
        <v>197109.00418034225</v>
      </c>
      <c r="Z102" s="3">
        <f t="shared" si="28"/>
        <v>312419.35866719787</v>
      </c>
      <c r="AA102" s="3">
        <f>(F102*T102)/365.26/Agriculture!$D$2</f>
        <v>966.18515205724532</v>
      </c>
      <c r="AB102" s="4">
        <f>SUM(X102:Y102)*Conversion!$F$18</f>
        <v>77.201947720251255</v>
      </c>
      <c r="AC102">
        <f>24.4+11+4.7+9.4+6</f>
        <v>55.5</v>
      </c>
      <c r="AD102" s="4">
        <f t="shared" si="18"/>
        <v>10283.299436337469</v>
      </c>
    </row>
    <row r="103" spans="1:30" ht="18">
      <c r="A103" t="s">
        <v>398</v>
      </c>
      <c r="B103">
        <v>9</v>
      </c>
      <c r="C103">
        <v>0</v>
      </c>
      <c r="D103">
        <f t="shared" si="29"/>
        <v>0</v>
      </c>
      <c r="F103" s="3">
        <f>IF(D103&gt;0,D103*Agriculture!$D$2+Agriculture!$E$16*E103,IF(E103&gt;0,0,Agriculture!$D$2*0.025))</f>
        <v>78.400000000000006</v>
      </c>
      <c r="G103" s="3">
        <f>L103*1/Agriculture!$C$49*Agriculture!$E$16</f>
        <v>0</v>
      </c>
      <c r="H103" t="s">
        <v>437</v>
      </c>
      <c r="I103">
        <v>4309</v>
      </c>
      <c r="K103" s="54">
        <f>IF(I103&gt;0,I103,J103/2000*Conversion!$D$22)</f>
        <v>4309</v>
      </c>
      <c r="O103" s="67">
        <v>11</v>
      </c>
      <c r="P103" s="67">
        <v>0.66</v>
      </c>
      <c r="Q103" s="67">
        <v>0</v>
      </c>
      <c r="R103" s="67">
        <v>75</v>
      </c>
      <c r="S103" s="67">
        <v>1462</v>
      </c>
      <c r="T103" s="68">
        <f t="shared" si="26"/>
        <v>3499.4</v>
      </c>
      <c r="W103">
        <f t="shared" si="27"/>
        <v>1</v>
      </c>
      <c r="X103" s="3">
        <f>IF(K103&gt;0,F103/K103/W103*Conversion!$E$17,0)</f>
        <v>181.94476676723141</v>
      </c>
      <c r="Y103" s="3">
        <f>IF(L103&gt;0,G103/L103/W103*Conversion!$E$17,0)</f>
        <v>0</v>
      </c>
      <c r="Z103" s="3">
        <f t="shared" si="28"/>
        <v>181.94476676723141</v>
      </c>
      <c r="AA103" s="3">
        <f>(F103*T103)/365.26/Agriculture!$D$2</f>
        <v>0.2395143185675957</v>
      </c>
      <c r="AB103" s="4">
        <f>SUM(X103:Y103)*Conversion!$F$18</f>
        <v>4.4960371315850553E-2</v>
      </c>
      <c r="AC103">
        <f>46.7+18.2+17.6+6.7+24.4+10.5+9.4</f>
        <v>133.5</v>
      </c>
      <c r="AD103" s="4">
        <f t="shared" si="18"/>
        <v>6.0022095706660492</v>
      </c>
    </row>
    <row r="104" spans="1:30" ht="18">
      <c r="A104" t="s">
        <v>378</v>
      </c>
      <c r="B104">
        <v>9</v>
      </c>
      <c r="C104">
        <v>1</v>
      </c>
      <c r="D104">
        <f t="shared" si="29"/>
        <v>45.085760286225408</v>
      </c>
      <c r="F104" s="3">
        <f>IF(D104&gt;0,D104*Agriculture!$D$2+Agriculture!$E$16*E104,IF(E104&gt;0,0,Agriculture!$D$2*0.025))</f>
        <v>141388.94425760288</v>
      </c>
      <c r="G104" s="3">
        <f>L104*1/Agriculture!$C$49*Agriculture!$E$16</f>
        <v>322864.54884740064</v>
      </c>
      <c r="H104" t="s">
        <v>437</v>
      </c>
      <c r="I104">
        <v>2275</v>
      </c>
      <c r="K104" s="54">
        <f>IF(I104&gt;0,I104,J104/2000*Conversion!$D$22)</f>
        <v>2275</v>
      </c>
      <c r="L104">
        <f>I104*3</f>
        <v>6825</v>
      </c>
      <c r="O104" s="67">
        <v>16.89</v>
      </c>
      <c r="P104" s="67">
        <v>6.9</v>
      </c>
      <c r="Q104" s="67">
        <v>37</v>
      </c>
      <c r="R104" s="67">
        <v>66.27</v>
      </c>
      <c r="S104" s="67">
        <v>871</v>
      </c>
      <c r="T104" s="68">
        <f t="shared" si="26"/>
        <v>7277.4</v>
      </c>
      <c r="W104">
        <f t="shared" si="27"/>
        <v>1</v>
      </c>
      <c r="X104" s="3">
        <f>IF(K104&gt;0,F104/K104/W104*Conversion!$E$17,0)</f>
        <v>621489.86486858409</v>
      </c>
      <c r="Y104" s="3">
        <f>IF(L104&gt;0,G104/L104/W104*Conversion!$E$17,0)</f>
        <v>473061.61003282142</v>
      </c>
      <c r="Z104" s="3">
        <f t="shared" si="28"/>
        <v>1094551.4749014056</v>
      </c>
      <c r="AA104" s="3">
        <f>(F104*T104)/365.26/Agriculture!$D$2</f>
        <v>898.28372093023256</v>
      </c>
      <c r="AB104" s="4">
        <f>SUM(X104:Y104)*Conversion!$F$18</f>
        <v>270.47461496288633</v>
      </c>
      <c r="AC104">
        <f t="shared" ref="AC104:AC112" si="30">24.4+11+4.7+9.4+6</f>
        <v>55.5</v>
      </c>
      <c r="AD104" s="4">
        <f t="shared" si="18"/>
        <v>15011.341130440193</v>
      </c>
    </row>
    <row r="105" spans="1:30" ht="18">
      <c r="A105" t="s">
        <v>130</v>
      </c>
      <c r="B105">
        <v>9</v>
      </c>
      <c r="C105">
        <v>0</v>
      </c>
      <c r="D105">
        <f t="shared" si="29"/>
        <v>0</v>
      </c>
      <c r="F105" s="3">
        <f>IF(D105&gt;0,D105*Agriculture!$D$2+Agriculture!$E$16*E105,IF(E105&gt;0,0,Agriculture!$D$2*0.025))</f>
        <v>78.400000000000006</v>
      </c>
      <c r="G105" s="3">
        <f>L105*1/Agriculture!$C$49*Agriculture!$E$16</f>
        <v>0</v>
      </c>
      <c r="H105" t="s">
        <v>437</v>
      </c>
      <c r="I105">
        <v>770</v>
      </c>
      <c r="K105" s="54">
        <f>IF(I105&gt;0,I105,J105/2000*Conversion!$D$22)</f>
        <v>770</v>
      </c>
      <c r="O105" s="67">
        <v>14.12</v>
      </c>
      <c r="P105" s="67">
        <v>6.07</v>
      </c>
      <c r="Q105" s="67">
        <v>0</v>
      </c>
      <c r="R105" s="67">
        <v>64.16</v>
      </c>
      <c r="S105" s="67">
        <v>275</v>
      </c>
      <c r="T105" s="68">
        <f t="shared" si="26"/>
        <v>3677.5</v>
      </c>
      <c r="V105">
        <v>1</v>
      </c>
      <c r="W105">
        <f t="shared" si="27"/>
        <v>1</v>
      </c>
      <c r="X105" s="3">
        <f>IF(K105&gt;0,F105/K105/W105*Conversion!$E$17,0)</f>
        <v>1018.1818181818182</v>
      </c>
      <c r="Y105" s="3">
        <f>IF(L105&gt;0,G105/L105/W105*Conversion!$E$17,0)</f>
        <v>0</v>
      </c>
      <c r="Z105" s="3">
        <f t="shared" si="28"/>
        <v>1018.1818181818182</v>
      </c>
      <c r="AA105" s="3">
        <f>(F105*T105)/365.26/Agriculture!$D$2</f>
        <v>0.25170426545474456</v>
      </c>
      <c r="AB105" s="4">
        <f>SUM(X105:Y105)*Conversion!$F$18</f>
        <v>0.2516029090909091</v>
      </c>
      <c r="AC105">
        <f t="shared" si="30"/>
        <v>55.5</v>
      </c>
      <c r="AD105" s="4">
        <f t="shared" si="18"/>
        <v>13.963961454545455</v>
      </c>
    </row>
    <row r="106" spans="1:30" ht="18">
      <c r="A106" t="s">
        <v>406</v>
      </c>
      <c r="B106">
        <v>9</v>
      </c>
      <c r="C106">
        <v>1</v>
      </c>
      <c r="D106">
        <f t="shared" si="29"/>
        <v>45.085760286225408</v>
      </c>
      <c r="F106" s="3">
        <f>IF(D106&gt;0,D106*Agriculture!$D$2+Agriculture!$E$16*E106,IF(E106&gt;0,0,Agriculture!$D$2*0.025))</f>
        <v>141388.94425760288</v>
      </c>
      <c r="G106" s="3">
        <f>L106*1/Agriculture!$C$49*Agriculture!$E$16</f>
        <v>0</v>
      </c>
      <c r="H106" t="s">
        <v>437</v>
      </c>
      <c r="I106">
        <v>4309</v>
      </c>
      <c r="K106" s="54">
        <f>IF(I106&gt;0,I106,J106/2000*Conversion!$D$22)</f>
        <v>4309</v>
      </c>
      <c r="O106" s="67">
        <v>7.13</v>
      </c>
      <c r="P106" s="67">
        <v>0.66</v>
      </c>
      <c r="Q106" s="67">
        <v>0</v>
      </c>
      <c r="R106" s="67">
        <v>79.95</v>
      </c>
      <c r="S106" s="67">
        <v>1482</v>
      </c>
      <c r="T106" s="68">
        <f t="shared" si="26"/>
        <v>3542.6</v>
      </c>
      <c r="V106">
        <v>1</v>
      </c>
      <c r="W106">
        <f t="shared" si="27"/>
        <v>1</v>
      </c>
      <c r="X106" s="3">
        <f>IF(K106&gt;0,F106/K106/W106*Conversion!$E$17,0)</f>
        <v>328124.7255920234</v>
      </c>
      <c r="Y106" s="3">
        <f>IF(L106&gt;0,G106/L106/W106*Conversion!$E$17,0)</f>
        <v>0</v>
      </c>
      <c r="Z106" s="3">
        <f t="shared" si="28"/>
        <v>328124.7255920234</v>
      </c>
      <c r="AA106" s="3">
        <f>(F106*T106)/365.26/Agriculture!$D$2</f>
        <v>437.27978533094819</v>
      </c>
      <c r="AB106" s="4">
        <f>SUM(X106:Y106)*Conversion!$F$18</f>
        <v>81.082900941044898</v>
      </c>
      <c r="AC106">
        <f t="shared" si="30"/>
        <v>55.5</v>
      </c>
      <c r="AD106" s="4">
        <f t="shared" si="18"/>
        <v>4500.1010022279916</v>
      </c>
    </row>
    <row r="107" spans="1:30" ht="18">
      <c r="A107" t="s">
        <v>407</v>
      </c>
      <c r="B107">
        <v>9</v>
      </c>
      <c r="C107">
        <v>1</v>
      </c>
      <c r="D107">
        <f t="shared" si="29"/>
        <v>45.085760286225408</v>
      </c>
      <c r="F107" s="3">
        <f>IF(D107&gt;0,D107*Agriculture!$D$2+Agriculture!$E$16*E107,IF(E107&gt;0,0,Agriculture!$D$2*0.025))</f>
        <v>141388.94425760288</v>
      </c>
      <c r="G107" s="3">
        <f>L107*1/Agriculture!$C$49*Agriculture!$E$16</f>
        <v>0</v>
      </c>
      <c r="H107" t="s">
        <v>437</v>
      </c>
      <c r="I107">
        <v>2622</v>
      </c>
      <c r="K107" s="54">
        <f>IF(I107&gt;0,I107,J107/2000*Conversion!$D$22)</f>
        <v>2622</v>
      </c>
      <c r="O107" s="67">
        <v>10.34</v>
      </c>
      <c r="P107" s="67">
        <v>1.63</v>
      </c>
      <c r="Q107" s="67">
        <v>0</v>
      </c>
      <c r="R107" s="67">
        <v>75.86</v>
      </c>
      <c r="S107" s="67">
        <v>914</v>
      </c>
      <c r="T107" s="68">
        <f t="shared" si="26"/>
        <v>3594.7000000000003</v>
      </c>
      <c r="W107">
        <f t="shared" si="27"/>
        <v>1</v>
      </c>
      <c r="X107" s="3">
        <f>IF(K107&gt;0,F107/K107/W107*Conversion!$E$17,0)</f>
        <v>539240.8247810941</v>
      </c>
      <c r="Y107" s="3">
        <f>IF(L107&gt;0,G107/L107/W107*Conversion!$E$17,0)</f>
        <v>0</v>
      </c>
      <c r="Z107" s="3">
        <f t="shared" si="28"/>
        <v>539240.8247810941</v>
      </c>
      <c r="AA107" s="3">
        <f>(F107*T107)/365.26/Agriculture!$D$2</f>
        <v>443.71073345259401</v>
      </c>
      <c r="AB107" s="4">
        <f>SUM(X107:Y107)*Conversion!$F$18</f>
        <v>133.25180021165616</v>
      </c>
      <c r="AC107">
        <f t="shared" si="30"/>
        <v>55.5</v>
      </c>
      <c r="AD107" s="4">
        <f t="shared" si="18"/>
        <v>7395.4749117469173</v>
      </c>
    </row>
    <row r="108" spans="1:30" ht="18">
      <c r="A108" t="s">
        <v>412</v>
      </c>
      <c r="B108">
        <v>9</v>
      </c>
      <c r="C108">
        <v>0</v>
      </c>
      <c r="D108">
        <f t="shared" si="29"/>
        <v>0</v>
      </c>
      <c r="F108" s="3">
        <f>IF(D108&gt;0,D108*Agriculture!$D$2+Agriculture!$E$16*E108,IF(E108&gt;0,0,Agriculture!$D$2*0.025))</f>
        <v>78.400000000000006</v>
      </c>
      <c r="G108" s="3">
        <f>L108*1/Agriculture!$C$49*Agriculture!$E$16</f>
        <v>0</v>
      </c>
      <c r="H108" t="s">
        <v>437</v>
      </c>
      <c r="I108">
        <v>3379</v>
      </c>
      <c r="K108" s="54">
        <f>IF(I108&gt;0,I108,J108/2000*Conversion!$D$22)</f>
        <v>3379</v>
      </c>
      <c r="O108" s="67">
        <v>14.57</v>
      </c>
      <c r="P108" s="67">
        <v>2.4300000000000002</v>
      </c>
      <c r="Q108" s="67">
        <v>51.77</v>
      </c>
      <c r="R108" s="67">
        <v>70.19</v>
      </c>
      <c r="S108" s="67">
        <v>1182</v>
      </c>
      <c r="T108" s="68">
        <f t="shared" si="26"/>
        <v>8268.4</v>
      </c>
      <c r="W108">
        <f t="shared" si="27"/>
        <v>1</v>
      </c>
      <c r="X108" s="3">
        <f>IF(K108&gt;0,F108/K108/W108*Conversion!$E$17,0)</f>
        <v>232.0213080793134</v>
      </c>
      <c r="Y108" s="3">
        <f>IF(L108&gt;0,G108/L108/W108*Conversion!$E$17,0)</f>
        <v>0</v>
      </c>
      <c r="Z108" s="3">
        <f t="shared" si="28"/>
        <v>232.0213080793134</v>
      </c>
      <c r="AA108" s="3">
        <f>(F108*T108)/365.26/Agriculture!$D$2</f>
        <v>0.56592564200843243</v>
      </c>
      <c r="AB108" s="4">
        <f>SUM(X108:Y108)*Conversion!$F$18</f>
        <v>5.7334785439479133E-2</v>
      </c>
      <c r="AC108">
        <f t="shared" si="30"/>
        <v>55.5</v>
      </c>
      <c r="AD108" s="4">
        <f t="shared" si="18"/>
        <v>3.1820805918910917</v>
      </c>
    </row>
    <row r="109" spans="1:30" ht="18">
      <c r="A109" t="s">
        <v>416</v>
      </c>
      <c r="B109">
        <v>9</v>
      </c>
      <c r="C109">
        <v>0</v>
      </c>
      <c r="D109">
        <f t="shared" si="29"/>
        <v>0</v>
      </c>
      <c r="F109" s="3">
        <f>IF(D109&gt;0,D109*Agriculture!$D$2+Agriculture!$E$16*E109,IF(E109&gt;0,0,Agriculture!$D$2*0.025))</f>
        <v>78.400000000000006</v>
      </c>
      <c r="G109" s="3">
        <f>L109*1/Agriculture!$C$49*Agriculture!$E$16</f>
        <v>0</v>
      </c>
      <c r="H109" t="s">
        <v>437</v>
      </c>
      <c r="I109">
        <v>1700</v>
      </c>
      <c r="K109" s="54">
        <f>IF(I109&gt;0,I109,J109/2000*Conversion!$D$22)</f>
        <v>1700</v>
      </c>
      <c r="O109" s="67">
        <v>13.3</v>
      </c>
      <c r="P109" s="67">
        <v>2.38</v>
      </c>
      <c r="Q109" s="67">
        <v>45</v>
      </c>
      <c r="R109" s="67">
        <v>73.13</v>
      </c>
      <c r="S109" s="67">
        <v>605</v>
      </c>
      <c r="T109" s="68">
        <f t="shared" si="26"/>
        <v>7721.4</v>
      </c>
      <c r="W109">
        <f t="shared" si="27"/>
        <v>1</v>
      </c>
      <c r="X109" s="3">
        <f>IF(K109&gt;0,F109/K109/W109*Conversion!$E$17,0)</f>
        <v>461.17647058823536</v>
      </c>
      <c r="Y109" s="3">
        <f>IF(L109&gt;0,G109/L109/W109*Conversion!$E$17,0)</f>
        <v>0</v>
      </c>
      <c r="Z109" s="3">
        <f t="shared" si="28"/>
        <v>461.17647058823536</v>
      </c>
      <c r="AA109" s="3">
        <f>(F109*T109)/365.26/Agriculture!$D$2</f>
        <v>0.5284865575206702</v>
      </c>
      <c r="AB109" s="4">
        <f>SUM(X109:Y109)*Conversion!$F$18</f>
        <v>0.11396131764705883</v>
      </c>
      <c r="AC109">
        <f t="shared" si="30"/>
        <v>55.5</v>
      </c>
      <c r="AD109" s="4">
        <f t="shared" si="18"/>
        <v>6.3248531294117649</v>
      </c>
    </row>
    <row r="110" spans="1:30" ht="18">
      <c r="A110" t="s">
        <v>417</v>
      </c>
      <c r="B110">
        <v>9</v>
      </c>
      <c r="C110">
        <v>0</v>
      </c>
      <c r="D110">
        <f t="shared" si="29"/>
        <v>0</v>
      </c>
      <c r="F110" s="3">
        <f>IF(D110&gt;0,D110*Agriculture!$D$2+Agriculture!$E$16*E110,IF(E110&gt;0,0,Agriculture!$D$2*0.025))</f>
        <v>78.400000000000006</v>
      </c>
      <c r="G110" s="3">
        <f>L110*1/Agriculture!$C$49*Agriculture!$E$16</f>
        <v>0</v>
      </c>
      <c r="H110" t="s">
        <v>437</v>
      </c>
      <c r="I110">
        <v>3602</v>
      </c>
      <c r="K110" s="54">
        <f>IF(I110&gt;0,I110,J110/2000*Conversion!$D$22)</f>
        <v>3602</v>
      </c>
      <c r="O110" s="67">
        <v>13.05</v>
      </c>
      <c r="P110" s="67">
        <v>2.09</v>
      </c>
      <c r="Q110" s="67">
        <v>43.68</v>
      </c>
      <c r="R110" s="67">
        <v>72.13</v>
      </c>
      <c r="S110" s="67">
        <v>1256</v>
      </c>
      <c r="T110" s="68">
        <f t="shared" si="26"/>
        <v>7526.5</v>
      </c>
      <c r="W110">
        <f t="shared" si="27"/>
        <v>1</v>
      </c>
      <c r="X110" s="3">
        <f>IF(K110&gt;0,F110/K110/W110*Conversion!$E$17,0)</f>
        <v>217.6568573014992</v>
      </c>
      <c r="Y110" s="3">
        <f>IF(L110&gt;0,G110/L110/W110*Conversion!$E$17,0)</f>
        <v>0</v>
      </c>
      <c r="Z110" s="3">
        <f t="shared" si="28"/>
        <v>217.6568573014992</v>
      </c>
      <c r="AA110" s="3">
        <f>(F110*T110)/365.26/Agriculture!$D$2</f>
        <v>0.51514674478453715</v>
      </c>
      <c r="AB110" s="4">
        <f>SUM(X110:Y110)*Conversion!$F$18</f>
        <v>5.3785186007773461E-2</v>
      </c>
      <c r="AC110">
        <f t="shared" si="30"/>
        <v>55.5</v>
      </c>
      <c r="AD110" s="4">
        <f t="shared" si="18"/>
        <v>2.985077823431427</v>
      </c>
    </row>
    <row r="111" spans="1:30" ht="18">
      <c r="A111" t="s">
        <v>116</v>
      </c>
      <c r="B111">
        <v>9</v>
      </c>
      <c r="C111">
        <v>1</v>
      </c>
      <c r="D111">
        <f t="shared" si="29"/>
        <v>45.085760286225408</v>
      </c>
      <c r="F111" s="3">
        <f>IF(D111&gt;0,D111*Agriculture!$D$2+Agriculture!$E$16*E111,IF(E111&gt;0,0,Agriculture!$D$2*0.025))</f>
        <v>141388.94425760288</v>
      </c>
      <c r="G111" s="3">
        <f>L111*1/Agriculture!$C$49*Agriculture!$E$16</f>
        <v>0</v>
      </c>
      <c r="I111">
        <v>3086</v>
      </c>
      <c r="K111" s="54">
        <f>IF(I111&gt;0,I111,J111/2000*Conversion!$D$22)</f>
        <v>3086</v>
      </c>
      <c r="O111" s="67">
        <v>13.7</v>
      </c>
      <c r="P111" s="67">
        <v>1.87</v>
      </c>
      <c r="Q111" s="67">
        <v>0</v>
      </c>
      <c r="R111" s="67">
        <v>72.569999999999993</v>
      </c>
      <c r="S111" s="67">
        <v>1083</v>
      </c>
      <c r="T111" s="68">
        <f t="shared" si="26"/>
        <v>3619.0999999999995</v>
      </c>
      <c r="U111">
        <v>2.5</v>
      </c>
      <c r="V111">
        <v>1</v>
      </c>
      <c r="W111">
        <f t="shared" si="27"/>
        <v>1</v>
      </c>
      <c r="X111" s="3">
        <f>IF(K111&gt;0,F111/K111/W111*Conversion!$E$17,0)</f>
        <v>458162.4894932044</v>
      </c>
      <c r="Y111" s="3">
        <f>IF(L111&gt;0,G111/L111/W111*Conversion!$E$17,0)</f>
        <v>0</v>
      </c>
      <c r="Z111" s="3">
        <f t="shared" si="28"/>
        <v>1145406.2237330109</v>
      </c>
      <c r="AA111" s="3">
        <f>(F111*T111)/365.26/Agriculture!$D$2</f>
        <v>446.72254025044725</v>
      </c>
      <c r="AB111" s="4">
        <f>SUM(X111:Y111)*Conversion!$F$18</f>
        <v>113.21653277866574</v>
      </c>
      <c r="AC111">
        <f t="shared" si="30"/>
        <v>55.5</v>
      </c>
      <c r="AD111" s="4">
        <f t="shared" si="18"/>
        <v>6283.5175692159482</v>
      </c>
    </row>
    <row r="112" spans="1:30" ht="18">
      <c r="A112" t="s">
        <v>418</v>
      </c>
      <c r="B112">
        <v>9</v>
      </c>
      <c r="C112">
        <v>0.5</v>
      </c>
      <c r="D112">
        <f t="shared" si="29"/>
        <v>22.542880143112704</v>
      </c>
      <c r="F112" s="3">
        <f>IF(D112&gt;0,D112*Agriculture!$D$2+Agriculture!$E$16*E112,IF(E112&gt;0,0,Agriculture!$D$2*0.025))</f>
        <v>70694.472128801441</v>
      </c>
      <c r="G112" s="3">
        <f>L112*1/Agriculture!$C$49*Agriculture!$E$16</f>
        <v>0</v>
      </c>
      <c r="I112">
        <v>600</v>
      </c>
      <c r="K112" s="54">
        <f>IF(I112&gt;0,I112,J112/2000*Conversion!$D$22)</f>
        <v>600</v>
      </c>
      <c r="O112" s="67">
        <v>14.73</v>
      </c>
      <c r="P112" s="67">
        <v>1.08</v>
      </c>
      <c r="Q112" s="67">
        <v>27.7</v>
      </c>
      <c r="R112" s="67">
        <v>74.900000000000006</v>
      </c>
      <c r="S112" s="67">
        <v>214</v>
      </c>
      <c r="T112" s="68">
        <f t="shared" si="26"/>
        <v>6175.4000000000005</v>
      </c>
      <c r="W112">
        <f t="shared" si="27"/>
        <v>1</v>
      </c>
      <c r="X112" s="3">
        <f>IF(K112&gt;0,F112/K112/W112*Conversion!$E$17,0)</f>
        <v>1178241.2021466906</v>
      </c>
      <c r="Y112" s="3">
        <f>IF(L112&gt;0,G112/L112/W112*Conversion!$E$17,0)</f>
        <v>0</v>
      </c>
      <c r="Z112" s="3">
        <f t="shared" si="28"/>
        <v>1178241.2021466906</v>
      </c>
      <c r="AA112" s="3">
        <f>(F112*T112)/365.26/Agriculture!$D$2</f>
        <v>381.12933810375682</v>
      </c>
      <c r="AB112" s="4">
        <f>SUM(X112:Y112)*Conversion!$F$18</f>
        <v>291.1551834624687</v>
      </c>
      <c r="AC112">
        <f t="shared" si="30"/>
        <v>55.5</v>
      </c>
      <c r="AD112" s="4">
        <f t="shared" si="18"/>
        <v>16159.112682167013</v>
      </c>
    </row>
    <row r="113" spans="1:31" ht="18">
      <c r="F113" s="3"/>
      <c r="G113" s="3"/>
      <c r="K113" s="54"/>
      <c r="O113" s="67"/>
      <c r="P113" s="67"/>
      <c r="Q113" s="67"/>
      <c r="R113" s="67"/>
      <c r="S113" s="67"/>
      <c r="T113" s="68"/>
      <c r="X113" s="3"/>
      <c r="Y113" s="3"/>
      <c r="Z113" s="3"/>
      <c r="AA113" s="3"/>
      <c r="AB113" s="4">
        <f>SUM(X113:Y113)*Conversion!$F$18</f>
        <v>0</v>
      </c>
      <c r="AC113">
        <f t="shared" si="20"/>
        <v>14.8</v>
      </c>
      <c r="AD113" s="4">
        <f t="shared" si="18"/>
        <v>0</v>
      </c>
    </row>
    <row r="114" spans="1:31" ht="18">
      <c r="A114" t="str">
        <f>Agriculture!B34</f>
        <v>Protein - Vegetable</v>
      </c>
      <c r="B114">
        <f>COUNT(B115:B119)</f>
        <v>5</v>
      </c>
      <c r="C114">
        <f>SUM(C115:C119)</f>
        <v>4</v>
      </c>
      <c r="D114">
        <f>Agriculture!G34</f>
        <v>9.5705144230769239</v>
      </c>
      <c r="F114" s="3"/>
      <c r="G114" s="3"/>
      <c r="K114" s="54"/>
      <c r="O114" s="67"/>
      <c r="P114" s="67"/>
      <c r="Q114" s="67"/>
      <c r="R114" s="67"/>
      <c r="S114" s="67"/>
      <c r="T114" s="68"/>
      <c r="X114" s="3"/>
      <c r="Y114" s="3"/>
      <c r="Z114" s="3"/>
      <c r="AA114" s="3"/>
      <c r="AB114" s="4">
        <f>SUM(X114:Y114)*Conversion!$F$18</f>
        <v>0</v>
      </c>
      <c r="AC114">
        <f t="shared" si="20"/>
        <v>14.8</v>
      </c>
      <c r="AD114" s="4">
        <f t="shared" si="18"/>
        <v>0</v>
      </c>
    </row>
    <row r="115" spans="1:31" ht="18">
      <c r="A115" t="s">
        <v>128</v>
      </c>
      <c r="B115">
        <v>11</v>
      </c>
      <c r="C115">
        <v>1</v>
      </c>
      <c r="D115">
        <f>$D$114*C115/$C$114</f>
        <v>2.392628605769231</v>
      </c>
      <c r="E115">
        <v>0.05</v>
      </c>
      <c r="F115" s="3">
        <f>IF(D115&gt;0,D115*Agriculture!$D$2+Agriculture!$E$16*E115,IF(E115&gt;0,0,Agriculture!$D$2*0.025))</f>
        <v>227701.63623771988</v>
      </c>
      <c r="G115" s="3">
        <f>L115*1/Agriculture!$C$49*Agriculture!$E$16</f>
        <v>145986.8128561287</v>
      </c>
      <c r="H115" t="s">
        <v>437</v>
      </c>
      <c r="I115">
        <v>3086</v>
      </c>
      <c r="K115" s="54">
        <f>IF(I115&gt;0,I115,J115/2000*Conversion!$D$22)</f>
        <v>3086</v>
      </c>
      <c r="L115">
        <f>I115</f>
        <v>3086</v>
      </c>
      <c r="O115" s="67">
        <v>13.56</v>
      </c>
      <c r="P115" s="67">
        <v>7.02</v>
      </c>
      <c r="Q115">
        <v>0</v>
      </c>
      <c r="R115" s="67">
        <v>65.25</v>
      </c>
      <c r="S115" s="68">
        <v>1133</v>
      </c>
      <c r="T115" s="68">
        <f>(O115*4+R115*4+P115*9+Q115*9)*10</f>
        <v>3784.2000000000003</v>
      </c>
      <c r="V115">
        <v>1</v>
      </c>
      <c r="W115">
        <f>IF(N115&gt;0,1,IF(M115&gt;0,FLOOR(365.26/M115,0.1),1))</f>
        <v>1</v>
      </c>
      <c r="X115" s="3">
        <f>IF(K115&gt;0,F115/K115/W115*Conversion!$E$17,0)</f>
        <v>737853.64950654528</v>
      </c>
      <c r="Y115" s="3">
        <f>IF(L115&gt;0,G115/L115/W115*Conversion!$E$17,0)</f>
        <v>473061.61003282148</v>
      </c>
      <c r="Z115" s="3">
        <f>(X115+Y115)*IF(U115&gt;0,U115,1)</f>
        <v>1210915.2595393667</v>
      </c>
      <c r="AA115" s="3">
        <f>(F115*T115)/365.26/Agriculture!$D$2</f>
        <v>752.24977065084374</v>
      </c>
      <c r="AB115" s="4">
        <f>SUM(X115:Y115)*Conversion!$F$18</f>
        <v>299.2292697847729</v>
      </c>
      <c r="AC115">
        <f t="shared" si="20"/>
        <v>14.8</v>
      </c>
      <c r="AD115" s="4">
        <f t="shared" si="18"/>
        <v>4428.5931928146392</v>
      </c>
    </row>
    <row r="116" spans="1:31" ht="18">
      <c r="A116" t="s">
        <v>126</v>
      </c>
      <c r="B116">
        <v>11</v>
      </c>
      <c r="C116">
        <v>1</v>
      </c>
      <c r="D116">
        <f t="shared" ref="D116:D119" si="31">$D$114*C116/$C$114</f>
        <v>2.392628605769231</v>
      </c>
      <c r="F116" s="3">
        <f>IF(D116&gt;0,D116*Agriculture!$D$2+Agriculture!$E$16*E116,IF(E116&gt;0,0,Agriculture!$D$2*0.025))</f>
        <v>7503.283307692308</v>
      </c>
      <c r="G116" s="3">
        <f>L116*1/Agriculture!$C$49*Agriculture!$E$16</f>
        <v>0</v>
      </c>
      <c r="H116" t="s">
        <v>437</v>
      </c>
      <c r="I116">
        <v>1554</v>
      </c>
      <c r="K116" s="54">
        <f>IF(I116&gt;0,I116,J116/2000*Conversion!$D$22)</f>
        <v>1554</v>
      </c>
      <c r="O116" s="67">
        <v>25.8</v>
      </c>
      <c r="P116" s="67">
        <v>49.24</v>
      </c>
      <c r="Q116" s="67">
        <v>31.6</v>
      </c>
      <c r="R116" s="67">
        <v>16.13</v>
      </c>
      <c r="S116" s="67">
        <v>923</v>
      </c>
      <c r="T116" s="68">
        <f>(O116*4+R116*4+P116*9+Q116*9)*10</f>
        <v>8952.7999999999993</v>
      </c>
      <c r="V116">
        <v>1</v>
      </c>
      <c r="W116">
        <f>IF(N116&gt;0,1,IF(M116&gt;0,FLOOR(365.26/M116,0.1),1))</f>
        <v>1</v>
      </c>
      <c r="X116" s="3">
        <f>IF(K116&gt;0,F116/K116/W116*Conversion!$E$17,0)</f>
        <v>48283.676368676366</v>
      </c>
      <c r="Y116" s="3">
        <f>IF(L116&gt;0,G116/L116/W116*Conversion!$E$17,0)</f>
        <v>0</v>
      </c>
      <c r="Z116" s="3">
        <f>(X116+Y116)*IF(U116&gt;0,U116,1)</f>
        <v>48283.676368676366</v>
      </c>
      <c r="AA116" s="3">
        <f>(F116*T116)/365.26/Agriculture!$D$2</f>
        <v>58.645144230769233</v>
      </c>
      <c r="AB116" s="4">
        <f>SUM(X116:Y116)*Conversion!$F$18</f>
        <v>11.931379267463615</v>
      </c>
      <c r="AC116">
        <f t="shared" si="20"/>
        <v>14.8</v>
      </c>
      <c r="AD116" s="4">
        <f t="shared" si="18"/>
        <v>176.58441315846153</v>
      </c>
    </row>
    <row r="117" spans="1:31" ht="18">
      <c r="A117" t="s">
        <v>408</v>
      </c>
      <c r="B117">
        <v>11</v>
      </c>
      <c r="D117">
        <f t="shared" si="31"/>
        <v>0</v>
      </c>
      <c r="F117" s="3">
        <f>IF(D117&gt;0,D117*Agriculture!$D$2+Agriculture!$E$16*E117,IF(E117&gt;0,0,Agriculture!$D$2*0.025))</f>
        <v>78.400000000000006</v>
      </c>
      <c r="G117" s="3">
        <f>L117*1/Agriculture!$C$49*Agriculture!$E$16</f>
        <v>0</v>
      </c>
      <c r="H117" t="s">
        <v>437</v>
      </c>
      <c r="I117">
        <v>4000</v>
      </c>
      <c r="K117" s="54">
        <f>IF(I117&gt;0,I117,J117/2000*Conversion!$D$22)</f>
        <v>4000</v>
      </c>
      <c r="O117" s="67">
        <v>28.5</v>
      </c>
      <c r="P117" s="67">
        <v>54.8</v>
      </c>
      <c r="Q117" s="67">
        <v>82</v>
      </c>
      <c r="R117" s="67">
        <v>17.7</v>
      </c>
      <c r="S117" s="67">
        <v>2638</v>
      </c>
      <c r="T117" s="68">
        <f>(O117*4+R117*4+P117*9+Q117*9)*10</f>
        <v>14160</v>
      </c>
      <c r="W117">
        <f>IF(N117&gt;0,1,IF(M117&gt;0,FLOOR(365.26/M117,0.1),1))</f>
        <v>1</v>
      </c>
      <c r="X117" s="3">
        <f>IF(K117&gt;0,F117/K117/W117*Conversion!$E$17,0)</f>
        <v>196.00000000000003</v>
      </c>
      <c r="Y117" s="3">
        <f>IF(L117&gt;0,G117/L117/W117*Conversion!$E$17,0)</f>
        <v>0</v>
      </c>
      <c r="Z117" s="3">
        <f>(X117+Y117)*IF(U117&gt;0,U117,1)</f>
        <v>196.00000000000003</v>
      </c>
      <c r="AA117" s="3">
        <f>(F117*T117)/365.26/Agriculture!$D$2</f>
        <v>0.96917264414389748</v>
      </c>
      <c r="AB117" s="4">
        <f>SUM(X117:Y117)*Conversion!$F$18</f>
        <v>4.8433560000000001E-2</v>
      </c>
      <c r="AC117">
        <f t="shared" si="20"/>
        <v>14.8</v>
      </c>
      <c r="AD117" s="4">
        <f t="shared" si="18"/>
        <v>0.71681668800000009</v>
      </c>
    </row>
    <row r="118" spans="1:31" ht="18">
      <c r="A118" t="s">
        <v>411</v>
      </c>
      <c r="B118">
        <v>11</v>
      </c>
      <c r="C118">
        <v>1</v>
      </c>
      <c r="D118">
        <f t="shared" si="31"/>
        <v>2.392628605769231</v>
      </c>
      <c r="F118" s="3">
        <f>IF(D118&gt;0,D118*Agriculture!$D$2+Agriculture!$E$16*E118,IF(E118&gt;0,0,Agriculture!$D$2*0.025))</f>
        <v>7503.283307692308</v>
      </c>
      <c r="G118" s="3">
        <f>L118*1/Agriculture!$C$49*Agriculture!$E$16</f>
        <v>0</v>
      </c>
      <c r="H118" t="s">
        <v>437</v>
      </c>
      <c r="I118">
        <v>1459</v>
      </c>
      <c r="K118" s="54">
        <f>IF(I118&gt;0,I118,J118/2000*Conversion!$D$22)</f>
        <v>1459</v>
      </c>
      <c r="O118" s="67">
        <v>11.3</v>
      </c>
      <c r="P118" s="67">
        <v>3.3</v>
      </c>
      <c r="Q118" s="67">
        <v>0</v>
      </c>
      <c r="R118" s="67">
        <v>74.63</v>
      </c>
      <c r="S118" s="67">
        <v>529</v>
      </c>
      <c r="T118" s="68">
        <f>(O118*4+R118*4+P118*9+Q118*9)*10</f>
        <v>3734.2</v>
      </c>
      <c r="W118">
        <f>IF(N118&gt;0,1,IF(M118&gt;0,FLOOR(365.26/M118,0.1),1))</f>
        <v>1</v>
      </c>
      <c r="X118" s="3">
        <f>IF(K118&gt;0,F118/K118/W118*Conversion!$E$17,0)</f>
        <v>51427.575789529183</v>
      </c>
      <c r="Y118" s="3">
        <f>IF(L118&gt;0,G118/L118/W118*Conversion!$E$17,0)</f>
        <v>0</v>
      </c>
      <c r="Z118" s="3">
        <f>(X118+Y118)*IF(U118&gt;0,U118,1)</f>
        <v>51427.575789529183</v>
      </c>
      <c r="AA118" s="3">
        <f>(F118*T118)/365.26/Agriculture!$D$2</f>
        <v>24.46080528846154</v>
      </c>
      <c r="AB118" s="4">
        <f>SUM(X118:Y118)*Conversion!$F$18</f>
        <v>12.708268253350555</v>
      </c>
      <c r="AC118">
        <f>46.7+18.2+17.6+6.7+24.4+10.5+9.4</f>
        <v>133.5</v>
      </c>
      <c r="AD118" s="4">
        <f t="shared" si="18"/>
        <v>1696.5538118222992</v>
      </c>
    </row>
    <row r="119" spans="1:31" ht="18">
      <c r="A119" t="s">
        <v>129</v>
      </c>
      <c r="B119">
        <v>11</v>
      </c>
      <c r="C119">
        <v>1</v>
      </c>
      <c r="D119">
        <f t="shared" si="31"/>
        <v>2.392628605769231</v>
      </c>
      <c r="F119" s="3">
        <f>IF(D119&gt;0,D119*Agriculture!$D$2+Agriculture!$E$16*E119,IF(E119&gt;0,0,Agriculture!$D$2*0.025))</f>
        <v>7503.283307692308</v>
      </c>
      <c r="G119" s="3">
        <f>L119*1/Agriculture!$C$49*Agriculture!$E$16</f>
        <v>0</v>
      </c>
      <c r="H119" t="s">
        <v>437</v>
      </c>
      <c r="I119">
        <v>2384</v>
      </c>
      <c r="K119" s="54">
        <f>IF(I119&gt;0,I119,J119/2000*Conversion!$D$22)</f>
        <v>2384</v>
      </c>
      <c r="O119" s="67">
        <v>36.49</v>
      </c>
      <c r="P119" s="67">
        <v>19.940000000000001</v>
      </c>
      <c r="Q119" s="67">
        <v>57</v>
      </c>
      <c r="R119" s="67">
        <v>30.16</v>
      </c>
      <c r="S119" s="67">
        <v>529</v>
      </c>
      <c r="T119" s="68">
        <f>(O119*4+R119*4+P119*9+Q119*9)*10</f>
        <v>9590.6</v>
      </c>
      <c r="V119">
        <v>1</v>
      </c>
      <c r="W119">
        <f>IF(N119&gt;0,1,IF(M119&gt;0,FLOOR(365.26/M119,0.1),1))</f>
        <v>1</v>
      </c>
      <c r="X119" s="3">
        <f>IF(K119&gt;0,F119/K119/W119*Conversion!$E$17,0)</f>
        <v>31473.503807434176</v>
      </c>
      <c r="Y119" s="3">
        <f>IF(L119&gt;0,G119/L119/W119*Conversion!$E$17,0)</f>
        <v>0</v>
      </c>
      <c r="Z119" s="3">
        <f>(X119+Y119)*IF(U119&gt;0,U119,1)</f>
        <v>31473.503807434176</v>
      </c>
      <c r="AA119" s="3">
        <f>(F119*T119)/365.26/Agriculture!$D$2</f>
        <v>62.82304086538462</v>
      </c>
      <c r="AB119" s="4">
        <f>SUM(X119:Y119)*Conversion!$F$18</f>
        <v>7.7774175258550589</v>
      </c>
      <c r="AC119">
        <f t="shared" si="20"/>
        <v>14.8</v>
      </c>
      <c r="AD119" s="4">
        <f t="shared" si="18"/>
        <v>115.10577938265487</v>
      </c>
    </row>
    <row r="120" spans="1:31" ht="18">
      <c r="H120" s="67"/>
      <c r="I120" s="67"/>
      <c r="J120" s="67"/>
      <c r="K120" s="67"/>
      <c r="L120" s="67"/>
      <c r="M120" s="67"/>
      <c r="N120" s="67"/>
      <c r="O120" s="67"/>
    </row>
    <row r="121" spans="1:31">
      <c r="A121" t="s">
        <v>274</v>
      </c>
    </row>
    <row r="122" spans="1:31">
      <c r="E122" s="3"/>
    </row>
    <row r="123" spans="1:31">
      <c r="A123" t="s">
        <v>313</v>
      </c>
      <c r="G123">
        <f>Cattle!C8</f>
        <v>4037730.1440000003</v>
      </c>
    </row>
    <row r="124" spans="1:31">
      <c r="A124" t="s">
        <v>314</v>
      </c>
      <c r="Q124" s="3"/>
      <c r="R124" s="3"/>
    </row>
    <row r="125" spans="1:31">
      <c r="A125" t="s">
        <v>277</v>
      </c>
      <c r="D125">
        <v>0.7</v>
      </c>
      <c r="G125">
        <f>G123*D125</f>
        <v>2826411.1008000001</v>
      </c>
      <c r="Q125" s="3"/>
      <c r="R125" s="3"/>
    </row>
    <row r="126" spans="1:31">
      <c r="A126" t="s">
        <v>282</v>
      </c>
      <c r="G126" s="3">
        <f>IF((G127+G128)&lt;G125,(G125-(G127+G128))/I126,0)</f>
        <v>371.97260384982576</v>
      </c>
      <c r="I126">
        <f>3500*2</f>
        <v>7000</v>
      </c>
      <c r="O126">
        <v>0.5</v>
      </c>
      <c r="Q126" s="3">
        <f>S126*10000000*IF(O126&gt;0,O126,3)</f>
        <v>2656.9471703558984</v>
      </c>
      <c r="R126" s="3"/>
      <c r="S126">
        <f>G126/(I126*Conversion!$D$16)</f>
        <v>5.3138943407117967E-4</v>
      </c>
      <c r="V126">
        <v>1</v>
      </c>
      <c r="W126">
        <f>IF(N126&gt;0,1,IF(M126&gt;0,FLOOR(365.26/M126,0.1),1))</f>
        <v>1</v>
      </c>
      <c r="X126" s="3">
        <f>IF(K126&gt;0,H126/K126/W126*Conversion!$E$17,0)</f>
        <v>0</v>
      </c>
      <c r="Y126" s="3">
        <f>IF(L126&gt;0,I126/L126/W126*Conversion!$E$17,0)</f>
        <v>0</v>
      </c>
      <c r="Z126" s="3">
        <f>(X126+Y126)*IF(U126&gt;0,U126,1)</f>
        <v>0</v>
      </c>
      <c r="AA126" s="3">
        <f>(H126*T126)/365.26/Agriculture!$D$2</f>
        <v>0</v>
      </c>
      <c r="AB126" s="4">
        <f>SUM(X126:Y126)*Conversion!$F$18</f>
        <v>0</v>
      </c>
      <c r="AC126">
        <f t="shared" ref="AC126" si="32">1.5+9.4+3.9</f>
        <v>14.8</v>
      </c>
      <c r="AD126" s="4">
        <f t="shared" ref="AD126" si="33">W126*AB126*AC126</f>
        <v>0</v>
      </c>
      <c r="AE126" t="s">
        <v>279</v>
      </c>
    </row>
    <row r="127" spans="1:31">
      <c r="A127" t="s">
        <v>284</v>
      </c>
      <c r="G127" s="3">
        <f>J127*0.0001*I127</f>
        <v>78050</v>
      </c>
      <c r="I127">
        <v>3500</v>
      </c>
      <c r="J127">
        <f>Vehicle!B28</f>
        <v>223000</v>
      </c>
      <c r="O127">
        <v>0.5</v>
      </c>
      <c r="Q127" s="3"/>
      <c r="R127" s="3"/>
      <c r="S127" s="3"/>
    </row>
    <row r="128" spans="1:31">
      <c r="A128" t="s">
        <v>283</v>
      </c>
      <c r="G128" s="3">
        <f>J128*0.0001*I128*0.5</f>
        <v>144552.87385121954</v>
      </c>
      <c r="I128">
        <v>3500</v>
      </c>
      <c r="J128">
        <f>Vehicle!B32*0.75</f>
        <v>826016.42200696876</v>
      </c>
      <c r="O128">
        <v>0.5</v>
      </c>
      <c r="Q128" s="3"/>
      <c r="R128" s="3"/>
    </row>
    <row r="129" spans="1:31">
      <c r="A129" t="s">
        <v>275</v>
      </c>
      <c r="G129" s="3">
        <f>(D6+D14+D17)*Agriculture!D2</f>
        <v>135759.00070697675</v>
      </c>
      <c r="O129">
        <v>0.5</v>
      </c>
      <c r="Q129" s="3"/>
      <c r="R129" s="3"/>
      <c r="AE129" t="s">
        <v>278</v>
      </c>
    </row>
  </sheetData>
  <sortState ref="A17:AH119">
    <sortCondition ref="B17:B119"/>
    <sortCondition ref="A17:A119"/>
  </sortState>
  <pageMargins left="0.7" right="0.7" top="0.75" bottom="0.75" header="0.3" footer="0.3"/>
  <pageSetup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F9450-562D-2D40-BB76-707A09BB98FE}">
  <dimension ref="A1:T30"/>
  <sheetViews>
    <sheetView topLeftCell="A54" workbookViewId="0">
      <selection activeCell="I8" sqref="I8"/>
    </sheetView>
  </sheetViews>
  <sheetFormatPr baseColWidth="10" defaultRowHeight="16"/>
  <cols>
    <col min="1" max="1" width="18.6640625" bestFit="1" customWidth="1"/>
  </cols>
  <sheetData>
    <row r="1" spans="1:20">
      <c r="A1" t="s">
        <v>500</v>
      </c>
      <c r="B1" t="s">
        <v>513</v>
      </c>
    </row>
    <row r="2" spans="1:20">
      <c r="A2" t="s">
        <v>511</v>
      </c>
      <c r="B2" t="s">
        <v>485</v>
      </c>
    </row>
    <row r="3" spans="1:20">
      <c r="A3" t="s">
        <v>512</v>
      </c>
      <c r="B3" t="s">
        <v>1004</v>
      </c>
    </row>
    <row r="4" spans="1:20">
      <c r="N4" s="7"/>
    </row>
    <row r="5" spans="1:20">
      <c r="B5" t="s">
        <v>505</v>
      </c>
      <c r="G5">
        <f>AVERAGE(G9:G16)</f>
        <v>3333.125</v>
      </c>
      <c r="K5">
        <f>AVERAGE(K9:K26)</f>
        <v>46.611111111111114</v>
      </c>
      <c r="L5">
        <f>AVERAGE(L9:L18)</f>
        <v>395.1</v>
      </c>
      <c r="M5">
        <f>AVERAGE(M9:M19)</f>
        <v>698.36363636363637</v>
      </c>
      <c r="N5">
        <f>AVERAGE(N9:N20)</f>
        <v>463.25</v>
      </c>
      <c r="O5">
        <f>AVERAGE(O9:O16)</f>
        <v>376.875</v>
      </c>
      <c r="P5">
        <f>AVERAGE(P9:P21)</f>
        <v>200.30769230769232</v>
      </c>
      <c r="Q5">
        <f>AVERAGE(Q9:Q26)</f>
        <v>126.22222222222223</v>
      </c>
      <c r="R5">
        <f>AVERAGE(R9:R26)</f>
        <v>44.166666666666664</v>
      </c>
      <c r="S5">
        <f>AVERAGE(S9:S26)</f>
        <v>1035</v>
      </c>
      <c r="T5">
        <f>AVERAGE(T9:T19)</f>
        <v>161.72727272727272</v>
      </c>
    </row>
    <row r="6" spans="1:20">
      <c r="A6" t="s">
        <v>501</v>
      </c>
      <c r="E6" s="5">
        <v>28</v>
      </c>
      <c r="F6" s="7"/>
      <c r="G6" s="7"/>
      <c r="H6" s="7"/>
      <c r="I6" s="7"/>
      <c r="J6" s="7"/>
      <c r="N6">
        <v>8</v>
      </c>
    </row>
    <row r="7" spans="1:20">
      <c r="A7" t="s">
        <v>502</v>
      </c>
      <c r="E7" s="5"/>
      <c r="F7" s="7"/>
      <c r="G7" s="7"/>
      <c r="H7" s="7"/>
      <c r="I7" s="7"/>
      <c r="J7" s="7"/>
      <c r="K7" t="s">
        <v>534</v>
      </c>
      <c r="N7">
        <v>103</v>
      </c>
    </row>
    <row r="8" spans="1:20">
      <c r="B8" t="s">
        <v>1067</v>
      </c>
      <c r="D8" t="s">
        <v>1005</v>
      </c>
      <c r="E8" t="s">
        <v>515</v>
      </c>
      <c r="F8" t="s">
        <v>12</v>
      </c>
      <c r="G8" t="s">
        <v>527</v>
      </c>
      <c r="I8" t="s">
        <v>1068</v>
      </c>
      <c r="K8" s="71" t="s">
        <v>501</v>
      </c>
      <c r="L8" s="71" t="s">
        <v>502</v>
      </c>
      <c r="M8" s="71" t="s">
        <v>535</v>
      </c>
      <c r="N8" s="71" t="s">
        <v>536</v>
      </c>
      <c r="O8" s="71" t="s">
        <v>537</v>
      </c>
      <c r="P8" s="71" t="s">
        <v>538</v>
      </c>
      <c r="Q8" s="71" t="s">
        <v>539</v>
      </c>
      <c r="R8" s="71" t="s">
        <v>540</v>
      </c>
      <c r="S8" s="71" t="s">
        <v>541</v>
      </c>
      <c r="T8" s="71" t="s">
        <v>542</v>
      </c>
    </row>
    <row r="9" spans="1:20">
      <c r="A9" s="5" t="s">
        <v>503</v>
      </c>
      <c r="B9" s="151">
        <v>82.17</v>
      </c>
      <c r="C9" s="151">
        <f>B9/MAX($B$9:$B$26)</f>
        <v>1</v>
      </c>
      <c r="D9" s="5">
        <v>5</v>
      </c>
      <c r="E9" t="s">
        <v>522</v>
      </c>
      <c r="F9">
        <v>2013</v>
      </c>
      <c r="G9">
        <f t="shared" ref="G9:G26" si="0">SUM(K9:T9)</f>
        <v>2685</v>
      </c>
      <c r="H9">
        <f>G9/MAX($G$9:$G$26)</f>
        <v>0.73561643835616441</v>
      </c>
      <c r="I9">
        <f>(MAX(K9:S9)/G9)</f>
        <v>0.3929236499068901</v>
      </c>
      <c r="J9" s="5" t="str">
        <f t="shared" ref="J9:J26" si="1">A9</f>
        <v>Japan</v>
      </c>
      <c r="K9">
        <v>48</v>
      </c>
      <c r="L9">
        <v>237</v>
      </c>
      <c r="M9">
        <v>521</v>
      </c>
      <c r="N9">
        <v>320</v>
      </c>
      <c r="O9">
        <v>190</v>
      </c>
      <c r="P9">
        <v>119</v>
      </c>
      <c r="Q9">
        <v>58</v>
      </c>
      <c r="R9">
        <v>14</v>
      </c>
      <c r="S9">
        <v>1055</v>
      </c>
      <c r="T9">
        <v>123</v>
      </c>
    </row>
    <row r="10" spans="1:20" ht="17">
      <c r="A10" s="7" t="s">
        <v>528</v>
      </c>
      <c r="B10" s="150">
        <v>81.72</v>
      </c>
      <c r="C10" s="151">
        <f t="shared" ref="C10:C26" si="2">B10/MAX($B$9:$B$26)</f>
        <v>0.99452354874041615</v>
      </c>
      <c r="D10" s="70">
        <v>9</v>
      </c>
      <c r="E10" t="s">
        <v>529</v>
      </c>
      <c r="F10">
        <v>2013</v>
      </c>
      <c r="G10">
        <f t="shared" si="0"/>
        <v>3213</v>
      </c>
      <c r="H10">
        <f t="shared" ref="H10:H26" si="3">G10/MAX($G$9:$G$26)</f>
        <v>0.88027397260273976</v>
      </c>
      <c r="I10">
        <f t="shared" ref="I10:I26" si="4">(MAX(K10:S10)/G10)</f>
        <v>0.23716153127917833</v>
      </c>
      <c r="J10" s="5" t="str">
        <f t="shared" si="1"/>
        <v>Australia</v>
      </c>
      <c r="K10">
        <v>63</v>
      </c>
      <c r="L10">
        <v>393</v>
      </c>
      <c r="M10">
        <v>762</v>
      </c>
      <c r="N10">
        <v>496</v>
      </c>
      <c r="O10">
        <v>350</v>
      </c>
      <c r="P10">
        <v>185</v>
      </c>
      <c r="Q10">
        <v>91</v>
      </c>
      <c r="R10">
        <v>11</v>
      </c>
      <c r="S10">
        <v>732</v>
      </c>
      <c r="T10">
        <v>130</v>
      </c>
    </row>
    <row r="11" spans="1:20">
      <c r="A11" s="7" t="s">
        <v>506</v>
      </c>
      <c r="B11" s="150">
        <v>81.290000000000006</v>
      </c>
      <c r="C11" s="151">
        <f t="shared" si="2"/>
        <v>0.98929049531459179</v>
      </c>
      <c r="D11" s="150">
        <v>10</v>
      </c>
      <c r="E11" t="s">
        <v>516</v>
      </c>
      <c r="F11">
        <v>2013</v>
      </c>
      <c r="G11">
        <f t="shared" si="0"/>
        <v>3447</v>
      </c>
      <c r="H11">
        <f t="shared" si="3"/>
        <v>0.94438356164383563</v>
      </c>
      <c r="I11">
        <f t="shared" si="4"/>
        <v>0.26602843051929215</v>
      </c>
      <c r="J11" s="5" t="str">
        <f t="shared" si="1"/>
        <v>Canada</v>
      </c>
      <c r="K11">
        <v>42</v>
      </c>
      <c r="L11">
        <v>416</v>
      </c>
      <c r="M11">
        <v>917</v>
      </c>
      <c r="N11">
        <v>390</v>
      </c>
      <c r="O11">
        <v>259</v>
      </c>
      <c r="P11">
        <v>211</v>
      </c>
      <c r="Q11">
        <v>135</v>
      </c>
      <c r="R11">
        <v>98</v>
      </c>
      <c r="S11">
        <v>873</v>
      </c>
      <c r="T11">
        <v>106</v>
      </c>
    </row>
    <row r="12" spans="1:20">
      <c r="A12" s="7" t="s">
        <v>997</v>
      </c>
      <c r="B12" s="150">
        <v>81.09</v>
      </c>
      <c r="C12" s="151">
        <f t="shared" si="2"/>
        <v>0.98685651697699894</v>
      </c>
      <c r="D12" s="7">
        <v>12</v>
      </c>
      <c r="E12" t="s">
        <v>998</v>
      </c>
      <c r="F12">
        <v>2013</v>
      </c>
      <c r="G12">
        <f>SUM(K12:T12)</f>
        <v>3536</v>
      </c>
      <c r="H12">
        <f t="shared" si="3"/>
        <v>0.96876712328767123</v>
      </c>
      <c r="I12">
        <f t="shared" si="4"/>
        <v>0.27488687782805432</v>
      </c>
      <c r="J12" s="5" t="str">
        <f t="shared" si="1"/>
        <v>France</v>
      </c>
      <c r="K12">
        <v>57</v>
      </c>
      <c r="L12">
        <v>358</v>
      </c>
      <c r="M12">
        <v>776</v>
      </c>
      <c r="N12">
        <v>552</v>
      </c>
      <c r="O12">
        <v>390</v>
      </c>
      <c r="P12">
        <v>175</v>
      </c>
      <c r="Q12">
        <v>100</v>
      </c>
      <c r="R12">
        <v>17</v>
      </c>
      <c r="S12">
        <v>972</v>
      </c>
      <c r="T12">
        <v>139</v>
      </c>
    </row>
    <row r="13" spans="1:20">
      <c r="A13" s="7" t="s">
        <v>999</v>
      </c>
      <c r="B13" s="151">
        <v>80.97</v>
      </c>
      <c r="C13" s="151">
        <f t="shared" si="2"/>
        <v>0.98539612997444315</v>
      </c>
      <c r="D13" s="7">
        <v>15</v>
      </c>
      <c r="E13" t="s">
        <v>1000</v>
      </c>
      <c r="F13">
        <v>2013</v>
      </c>
      <c r="G13">
        <f t="shared" ref="G13" si="5">SUM(K13:T13)</f>
        <v>3448</v>
      </c>
      <c r="H13">
        <f t="shared" si="3"/>
        <v>0.94465753424657539</v>
      </c>
      <c r="I13">
        <f t="shared" si="4"/>
        <v>0.21113689095127611</v>
      </c>
      <c r="J13" s="5" t="str">
        <f t="shared" si="1"/>
        <v>Switzerland</v>
      </c>
      <c r="K13">
        <v>35</v>
      </c>
      <c r="L13">
        <v>567</v>
      </c>
      <c r="M13">
        <v>728</v>
      </c>
      <c r="N13">
        <v>502</v>
      </c>
      <c r="O13">
        <v>445</v>
      </c>
      <c r="P13">
        <v>191</v>
      </c>
      <c r="Q13">
        <v>80</v>
      </c>
      <c r="R13">
        <v>18</v>
      </c>
      <c r="S13">
        <v>707</v>
      </c>
      <c r="T13">
        <v>175</v>
      </c>
    </row>
    <row r="14" spans="1:20">
      <c r="A14" s="7" t="s">
        <v>504</v>
      </c>
      <c r="B14" s="151">
        <v>80.790000000000006</v>
      </c>
      <c r="C14" s="151">
        <f t="shared" si="2"/>
        <v>0.98320554947060979</v>
      </c>
      <c r="D14" s="151">
        <v>17</v>
      </c>
      <c r="E14" t="s">
        <v>517</v>
      </c>
      <c r="F14">
        <v>2013</v>
      </c>
      <c r="G14">
        <f>SUM(K14:T14)</f>
        <v>3341</v>
      </c>
      <c r="H14">
        <f t="shared" si="3"/>
        <v>0.91534246575342471</v>
      </c>
      <c r="I14">
        <f t="shared" si="4"/>
        <v>0.19994013768332836</v>
      </c>
      <c r="J14" s="5" t="str">
        <f t="shared" si="1"/>
        <v>Iceland</v>
      </c>
      <c r="K14">
        <v>115</v>
      </c>
      <c r="L14">
        <v>442</v>
      </c>
      <c r="M14">
        <v>445</v>
      </c>
      <c r="N14">
        <v>668</v>
      </c>
      <c r="O14">
        <v>591</v>
      </c>
      <c r="P14">
        <v>179</v>
      </c>
      <c r="Q14">
        <v>103</v>
      </c>
      <c r="R14">
        <v>8</v>
      </c>
      <c r="S14">
        <v>667</v>
      </c>
      <c r="T14">
        <v>123</v>
      </c>
    </row>
    <row r="15" spans="1:20">
      <c r="A15" s="7" t="s">
        <v>519</v>
      </c>
      <c r="B15" s="150">
        <v>80.069999999999993</v>
      </c>
      <c r="C15" s="151">
        <f t="shared" si="2"/>
        <v>0.97444322745527556</v>
      </c>
      <c r="D15" s="150">
        <v>26</v>
      </c>
      <c r="E15" t="s">
        <v>520</v>
      </c>
      <c r="F15">
        <v>2013</v>
      </c>
      <c r="G15">
        <f t="shared" si="0"/>
        <v>3591</v>
      </c>
      <c r="H15">
        <f t="shared" si="3"/>
        <v>0.98383561643835615</v>
      </c>
      <c r="I15">
        <f t="shared" si="4"/>
        <v>0.29741019214703424</v>
      </c>
      <c r="J15" s="5" t="str">
        <f t="shared" si="1"/>
        <v>Ireland</v>
      </c>
      <c r="K15">
        <v>70</v>
      </c>
      <c r="L15">
        <v>358</v>
      </c>
      <c r="M15">
        <v>605</v>
      </c>
      <c r="N15">
        <v>410</v>
      </c>
      <c r="O15">
        <v>402</v>
      </c>
      <c r="P15">
        <v>190</v>
      </c>
      <c r="Q15">
        <v>154</v>
      </c>
      <c r="R15">
        <v>48</v>
      </c>
      <c r="S15">
        <v>1068</v>
      </c>
      <c r="T15">
        <v>286</v>
      </c>
    </row>
    <row r="16" spans="1:20">
      <c r="A16" s="7" t="s">
        <v>530</v>
      </c>
      <c r="B16" s="150">
        <v>79.92</v>
      </c>
      <c r="C16" s="151">
        <f t="shared" si="2"/>
        <v>0.97261774370208109</v>
      </c>
      <c r="D16" s="150">
        <v>28</v>
      </c>
      <c r="E16" t="s">
        <v>531</v>
      </c>
      <c r="F16">
        <v>2013</v>
      </c>
      <c r="G16">
        <f t="shared" si="0"/>
        <v>3404</v>
      </c>
      <c r="H16">
        <f t="shared" si="3"/>
        <v>0.93260273972602736</v>
      </c>
      <c r="I16">
        <f t="shared" si="4"/>
        <v>0.26615746180963573</v>
      </c>
      <c r="J16" s="5" t="str">
        <f t="shared" si="1"/>
        <v>United Kingdom</v>
      </c>
      <c r="K16">
        <v>73</v>
      </c>
      <c r="L16">
        <v>351</v>
      </c>
      <c r="M16">
        <v>642</v>
      </c>
      <c r="N16">
        <v>483</v>
      </c>
      <c r="O16">
        <v>388</v>
      </c>
      <c r="P16">
        <v>197</v>
      </c>
      <c r="Q16">
        <v>174</v>
      </c>
      <c r="R16">
        <v>28</v>
      </c>
      <c r="S16">
        <v>906</v>
      </c>
      <c r="T16">
        <v>162</v>
      </c>
    </row>
    <row r="17" spans="1:20">
      <c r="A17" s="7" t="s">
        <v>1001</v>
      </c>
      <c r="B17" s="150">
        <v>79.41</v>
      </c>
      <c r="C17" s="151">
        <f t="shared" si="2"/>
        <v>0.96641109894121935</v>
      </c>
      <c r="D17" s="150">
        <v>36</v>
      </c>
      <c r="F17">
        <v>2013</v>
      </c>
      <c r="G17">
        <f t="shared" ref="G17" si="6">SUM(K17:T17)</f>
        <v>3504</v>
      </c>
      <c r="H17">
        <f t="shared" si="3"/>
        <v>0.96</v>
      </c>
      <c r="I17">
        <f t="shared" si="4"/>
        <v>0.25</v>
      </c>
      <c r="J17" s="5" t="str">
        <f t="shared" si="1"/>
        <v>Germany</v>
      </c>
      <c r="K17">
        <v>41</v>
      </c>
      <c r="L17">
        <v>485</v>
      </c>
      <c r="M17">
        <v>795</v>
      </c>
      <c r="N17">
        <v>404</v>
      </c>
      <c r="O17">
        <v>380</v>
      </c>
      <c r="P17">
        <v>165</v>
      </c>
      <c r="Q17">
        <v>119</v>
      </c>
      <c r="R17">
        <v>7</v>
      </c>
      <c r="S17">
        <v>876</v>
      </c>
      <c r="T17">
        <v>232</v>
      </c>
    </row>
    <row r="18" spans="1:20">
      <c r="A18" s="7" t="s">
        <v>532</v>
      </c>
      <c r="B18" s="150">
        <v>78.81</v>
      </c>
      <c r="C18" s="151">
        <f t="shared" si="2"/>
        <v>0.95910916392844103</v>
      </c>
      <c r="D18" s="150">
        <v>42</v>
      </c>
      <c r="E18" t="s">
        <v>533</v>
      </c>
      <c r="F18">
        <v>2013</v>
      </c>
      <c r="G18">
        <f t="shared" si="0"/>
        <v>3281</v>
      </c>
      <c r="H18">
        <f t="shared" si="3"/>
        <v>0.8989041095890411</v>
      </c>
      <c r="I18">
        <f t="shared" si="4"/>
        <v>0.43096616885096006</v>
      </c>
      <c r="J18" s="5" t="str">
        <f t="shared" si="1"/>
        <v>South Korea</v>
      </c>
      <c r="K18">
        <v>42</v>
      </c>
      <c r="L18">
        <v>344</v>
      </c>
      <c r="M18">
        <v>621</v>
      </c>
      <c r="N18">
        <v>364</v>
      </c>
      <c r="O18">
        <v>77</v>
      </c>
      <c r="P18">
        <v>236</v>
      </c>
      <c r="Q18">
        <v>34</v>
      </c>
      <c r="R18">
        <v>13</v>
      </c>
      <c r="S18">
        <v>1414</v>
      </c>
      <c r="T18">
        <v>136</v>
      </c>
    </row>
    <row r="19" spans="1:20">
      <c r="A19" s="7" t="s">
        <v>484</v>
      </c>
      <c r="B19" s="150">
        <v>78.239999999999995</v>
      </c>
      <c r="C19" s="151">
        <f t="shared" si="2"/>
        <v>0.9521723256663015</v>
      </c>
      <c r="D19" s="150">
        <v>49</v>
      </c>
      <c r="E19" t="s">
        <v>526</v>
      </c>
      <c r="F19">
        <v>2013</v>
      </c>
      <c r="G19">
        <f t="shared" si="0"/>
        <v>3650</v>
      </c>
      <c r="H19">
        <f t="shared" si="3"/>
        <v>1</v>
      </c>
      <c r="I19">
        <f t="shared" si="4"/>
        <v>0.23835616438356164</v>
      </c>
      <c r="J19" s="5" t="str">
        <f t="shared" si="1"/>
        <v>United States</v>
      </c>
      <c r="K19">
        <v>32</v>
      </c>
      <c r="L19">
        <v>570</v>
      </c>
      <c r="M19">
        <v>870</v>
      </c>
      <c r="N19">
        <v>469</v>
      </c>
      <c r="O19">
        <v>425</v>
      </c>
      <c r="P19">
        <v>181</v>
      </c>
      <c r="Q19">
        <v>91</v>
      </c>
      <c r="R19">
        <v>38</v>
      </c>
      <c r="S19">
        <v>807</v>
      </c>
      <c r="T19">
        <v>167</v>
      </c>
    </row>
    <row r="20" spans="1:20">
      <c r="A20" s="7" t="s">
        <v>508</v>
      </c>
      <c r="B20" s="150">
        <v>74.510000000000005</v>
      </c>
      <c r="C20" s="151">
        <f t="shared" si="2"/>
        <v>0.90677862967019596</v>
      </c>
      <c r="D20" s="150">
        <v>93</v>
      </c>
      <c r="E20" t="s">
        <v>523</v>
      </c>
      <c r="F20">
        <v>2013</v>
      </c>
      <c r="G20">
        <f t="shared" si="0"/>
        <v>3044</v>
      </c>
      <c r="H20">
        <f t="shared" si="3"/>
        <v>0.83397260273972607</v>
      </c>
      <c r="I20">
        <f t="shared" si="4"/>
        <v>0.4664914586070959</v>
      </c>
      <c r="J20" s="5" t="str">
        <f t="shared" si="1"/>
        <v>China</v>
      </c>
      <c r="K20">
        <v>28</v>
      </c>
      <c r="L20">
        <v>68</v>
      </c>
      <c r="M20">
        <v>338</v>
      </c>
      <c r="N20">
        <v>501</v>
      </c>
      <c r="O20">
        <v>130</v>
      </c>
      <c r="P20">
        <v>306</v>
      </c>
      <c r="Q20">
        <v>152</v>
      </c>
      <c r="R20">
        <v>11</v>
      </c>
      <c r="S20">
        <v>1420</v>
      </c>
      <c r="T20">
        <v>90</v>
      </c>
    </row>
    <row r="21" spans="1:20">
      <c r="A21" s="7" t="s">
        <v>521</v>
      </c>
      <c r="B21" s="150">
        <v>73.87</v>
      </c>
      <c r="C21" s="151">
        <f t="shared" si="2"/>
        <v>0.89898989898989901</v>
      </c>
      <c r="D21" s="150">
        <v>108</v>
      </c>
      <c r="E21" t="s">
        <v>525</v>
      </c>
      <c r="F21">
        <v>2013</v>
      </c>
      <c r="G21">
        <f t="shared" si="0"/>
        <v>3124</v>
      </c>
      <c r="H21">
        <f t="shared" si="3"/>
        <v>0.85589041095890406</v>
      </c>
      <c r="I21">
        <f t="shared" si="4"/>
        <v>0.471190781049936</v>
      </c>
      <c r="J21" s="5" t="str">
        <f t="shared" si="1"/>
        <v>Saudi Arabia</v>
      </c>
      <c r="K21">
        <v>100</v>
      </c>
      <c r="L21">
        <v>321</v>
      </c>
      <c r="M21">
        <v>471</v>
      </c>
      <c r="N21">
        <v>256</v>
      </c>
      <c r="O21">
        <v>161</v>
      </c>
      <c r="P21">
        <v>269</v>
      </c>
      <c r="Q21">
        <v>21</v>
      </c>
      <c r="R21">
        <v>53</v>
      </c>
      <c r="S21">
        <v>1472</v>
      </c>
      <c r="T21">
        <v>0</v>
      </c>
    </row>
    <row r="22" spans="1:20">
      <c r="A22" s="7" t="s">
        <v>509</v>
      </c>
      <c r="B22" s="150">
        <v>66.459999999999994</v>
      </c>
      <c r="C22" s="151">
        <f t="shared" si="2"/>
        <v>0.80881100158208585</v>
      </c>
      <c r="D22" s="150">
        <v>159</v>
      </c>
      <c r="E22" t="s">
        <v>518</v>
      </c>
      <c r="F22">
        <v>2013</v>
      </c>
      <c r="G22">
        <f t="shared" si="0"/>
        <v>2442</v>
      </c>
      <c r="H22">
        <f t="shared" si="3"/>
        <v>0.66904109589041094</v>
      </c>
      <c r="I22">
        <f t="shared" si="4"/>
        <v>0.57493857493857492</v>
      </c>
      <c r="J22" s="5" t="str">
        <f t="shared" si="1"/>
        <v>India</v>
      </c>
      <c r="K22">
        <v>22</v>
      </c>
      <c r="L22">
        <v>220</v>
      </c>
      <c r="M22">
        <v>325</v>
      </c>
      <c r="N22">
        <v>28</v>
      </c>
      <c r="O22">
        <v>131</v>
      </c>
      <c r="P22">
        <v>119</v>
      </c>
      <c r="Q22">
        <v>56</v>
      </c>
      <c r="R22">
        <v>127</v>
      </c>
      <c r="S22">
        <v>1404</v>
      </c>
      <c r="T22">
        <v>10</v>
      </c>
    </row>
    <row r="23" spans="1:20">
      <c r="A23" s="7" t="s">
        <v>507</v>
      </c>
      <c r="B23" s="150">
        <v>66.16</v>
      </c>
      <c r="C23" s="151">
        <f t="shared" si="2"/>
        <v>0.8051600340756967</v>
      </c>
      <c r="D23" s="150">
        <v>160</v>
      </c>
      <c r="E23" t="s">
        <v>524</v>
      </c>
      <c r="F23">
        <v>2013</v>
      </c>
      <c r="G23">
        <f>SUM(K23:T23)</f>
        <v>3302</v>
      </c>
      <c r="H23">
        <f t="shared" si="3"/>
        <v>0.90465753424657536</v>
      </c>
      <c r="I23">
        <f t="shared" si="4"/>
        <v>0.35493640218049666</v>
      </c>
      <c r="J23" s="5" t="str">
        <f t="shared" si="1"/>
        <v>Russia</v>
      </c>
      <c r="K23">
        <v>41</v>
      </c>
      <c r="L23">
        <v>425</v>
      </c>
      <c r="M23">
        <v>441</v>
      </c>
      <c r="N23">
        <v>338</v>
      </c>
      <c r="O23">
        <v>345</v>
      </c>
      <c r="P23">
        <v>150</v>
      </c>
      <c r="Q23">
        <v>192</v>
      </c>
      <c r="R23">
        <v>17</v>
      </c>
      <c r="S23">
        <v>1172</v>
      </c>
      <c r="T23">
        <v>181</v>
      </c>
    </row>
    <row r="24" spans="1:20">
      <c r="A24" s="7" t="s">
        <v>1003</v>
      </c>
      <c r="B24" s="150">
        <v>64.03</v>
      </c>
      <c r="C24" s="151">
        <f t="shared" si="2"/>
        <v>0.77923816478033348</v>
      </c>
      <c r="D24" s="150">
        <v>171</v>
      </c>
      <c r="F24">
        <v>2013</v>
      </c>
      <c r="G24">
        <f t="shared" ref="G24" si="7">SUM(K24:T24)</f>
        <v>2960</v>
      </c>
      <c r="H24">
        <f t="shared" si="3"/>
        <v>0.81095890410958904</v>
      </c>
      <c r="I24">
        <f t="shared" si="4"/>
        <v>0.31891891891891894</v>
      </c>
      <c r="J24" s="5" t="str">
        <f t="shared" si="1"/>
        <v>Kiribati</v>
      </c>
      <c r="K24">
        <v>14</v>
      </c>
      <c r="L24">
        <v>454</v>
      </c>
      <c r="M24">
        <v>776</v>
      </c>
      <c r="N24">
        <v>291</v>
      </c>
      <c r="O24">
        <v>37</v>
      </c>
      <c r="P24">
        <v>147</v>
      </c>
      <c r="Q24">
        <v>290</v>
      </c>
      <c r="R24">
        <v>0</v>
      </c>
      <c r="S24">
        <v>944</v>
      </c>
      <c r="T24">
        <v>7</v>
      </c>
    </row>
    <row r="25" spans="1:20">
      <c r="A25" s="7" t="s">
        <v>1002</v>
      </c>
      <c r="B25" s="150">
        <v>62.17</v>
      </c>
      <c r="C25" s="151">
        <f t="shared" si="2"/>
        <v>0.75660216624072041</v>
      </c>
      <c r="D25" s="150">
        <v>179</v>
      </c>
      <c r="F25">
        <v>2013</v>
      </c>
      <c r="G25">
        <f t="shared" ref="G25" si="8">SUM(K25:T25)</f>
        <v>2169</v>
      </c>
      <c r="H25">
        <f t="shared" si="3"/>
        <v>0.59424657534246572</v>
      </c>
      <c r="I25">
        <f t="shared" si="4"/>
        <v>0.41770401106500693</v>
      </c>
      <c r="J25" s="5" t="str">
        <f t="shared" si="1"/>
        <v>Haiti</v>
      </c>
      <c r="K25">
        <v>9</v>
      </c>
      <c r="L25">
        <v>176</v>
      </c>
      <c r="M25">
        <v>282</v>
      </c>
      <c r="N25">
        <v>88</v>
      </c>
      <c r="O25">
        <v>46</v>
      </c>
      <c r="P25">
        <v>112</v>
      </c>
      <c r="Q25">
        <v>264</v>
      </c>
      <c r="R25">
        <v>212</v>
      </c>
      <c r="S25">
        <v>906</v>
      </c>
      <c r="T25">
        <v>74</v>
      </c>
    </row>
    <row r="26" spans="1:20">
      <c r="A26" t="s">
        <v>510</v>
      </c>
      <c r="B26" s="150">
        <v>47.99</v>
      </c>
      <c r="C26" s="151">
        <f t="shared" si="2"/>
        <v>0.58403310210539128</v>
      </c>
      <c r="D26" s="150">
        <v>217</v>
      </c>
      <c r="E26" s="71" t="s">
        <v>514</v>
      </c>
      <c r="F26" s="71">
        <v>2013</v>
      </c>
      <c r="G26">
        <f t="shared" si="0"/>
        <v>2057</v>
      </c>
      <c r="H26">
        <f t="shared" si="3"/>
        <v>0.56356164383561647</v>
      </c>
      <c r="I26">
        <f t="shared" si="4"/>
        <v>0.60038891589693733</v>
      </c>
      <c r="J26" s="5" t="str">
        <f t="shared" si="1"/>
        <v>Chad</v>
      </c>
      <c r="K26">
        <v>7</v>
      </c>
      <c r="L26">
        <v>90</v>
      </c>
      <c r="M26">
        <v>356</v>
      </c>
      <c r="N26">
        <v>67</v>
      </c>
      <c r="O26">
        <v>42</v>
      </c>
      <c r="P26">
        <v>21</v>
      </c>
      <c r="Q26">
        <v>158</v>
      </c>
      <c r="R26">
        <v>75</v>
      </c>
      <c r="S26">
        <v>1235</v>
      </c>
      <c r="T26">
        <v>6</v>
      </c>
    </row>
    <row r="29" spans="1:20" ht="17">
      <c r="B29" s="70"/>
      <c r="C29" s="70"/>
      <c r="D29" s="70"/>
      <c r="F29" s="5"/>
    </row>
    <row r="30" spans="1:20" ht="17">
      <c r="B30" s="70"/>
      <c r="C30" s="70"/>
      <c r="D30" s="70"/>
    </row>
  </sheetData>
  <pageMargins left="0.7" right="0.7" top="0.75" bottom="0.75" header="0.3" footer="0.3"/>
  <pageSetup orientation="portrait" horizontalDpi="0" verticalDpi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D8BE1-CCD1-364C-B09C-9A3732BA9B99}">
  <dimension ref="A1:J12"/>
  <sheetViews>
    <sheetView workbookViewId="0"/>
  </sheetViews>
  <sheetFormatPr baseColWidth="10" defaultRowHeight="16"/>
  <sheetData>
    <row r="1" spans="1:10">
      <c r="A1" t="s">
        <v>114</v>
      </c>
      <c r="C1">
        <f>Vehicle!E21</f>
        <v>3136</v>
      </c>
      <c r="E1">
        <f>C1*C2</f>
        <v>43904</v>
      </c>
    </row>
    <row r="2" spans="1:10">
      <c r="A2" t="s">
        <v>210</v>
      </c>
      <c r="C2">
        <v>14</v>
      </c>
      <c r="D2" t="s">
        <v>49</v>
      </c>
    </row>
    <row r="4" spans="1:10">
      <c r="B4" t="s">
        <v>200</v>
      </c>
      <c r="D4" t="s">
        <v>207</v>
      </c>
      <c r="E4" t="s">
        <v>216</v>
      </c>
      <c r="F4" t="s">
        <v>211</v>
      </c>
      <c r="G4" t="s">
        <v>201</v>
      </c>
      <c r="H4" t="s">
        <v>212</v>
      </c>
      <c r="I4" t="s">
        <v>217</v>
      </c>
      <c r="J4" t="s">
        <v>215</v>
      </c>
    </row>
    <row r="5" spans="1:10">
      <c r="B5" t="s">
        <v>197</v>
      </c>
      <c r="C5" t="s">
        <v>198</v>
      </c>
      <c r="F5" t="s">
        <v>214</v>
      </c>
      <c r="H5" t="s">
        <v>213</v>
      </c>
    </row>
    <row r="6" spans="1:10">
      <c r="A6" t="s">
        <v>196</v>
      </c>
      <c r="B6">
        <f>5.3/1000*365.26</f>
        <v>1.935878</v>
      </c>
      <c r="C6">
        <v>0.5</v>
      </c>
      <c r="D6" t="s">
        <v>208</v>
      </c>
    </row>
    <row r="7" spans="1:10">
      <c r="A7" t="s">
        <v>199</v>
      </c>
      <c r="D7" t="s">
        <v>208</v>
      </c>
    </row>
    <row r="8" spans="1:10">
      <c r="A8" t="s">
        <v>202</v>
      </c>
      <c r="D8" t="s">
        <v>208</v>
      </c>
    </row>
    <row r="9" spans="1:10">
      <c r="A9" t="s">
        <v>203</v>
      </c>
      <c r="B9">
        <v>0.75</v>
      </c>
      <c r="C9">
        <v>1</v>
      </c>
      <c r="D9" t="s">
        <v>209</v>
      </c>
      <c r="E9">
        <v>0.5</v>
      </c>
      <c r="F9">
        <v>50</v>
      </c>
      <c r="G9">
        <f>240/365.26</f>
        <v>0.65706619941959155</v>
      </c>
      <c r="H9">
        <f>I9/F9</f>
        <v>865.43503257953239</v>
      </c>
      <c r="I9">
        <f>$C$1*$C$2*B9/E9*G9</f>
        <v>43271.751628976621</v>
      </c>
      <c r="J9">
        <f>I9*E9/G9</f>
        <v>32928</v>
      </c>
    </row>
    <row r="10" spans="1:10">
      <c r="A10" t="s">
        <v>204</v>
      </c>
      <c r="B10">
        <v>0.25</v>
      </c>
      <c r="C10">
        <v>1</v>
      </c>
      <c r="D10" t="s">
        <v>208</v>
      </c>
      <c r="E10">
        <v>0.5</v>
      </c>
      <c r="F10">
        <v>50</v>
      </c>
      <c r="G10">
        <v>2</v>
      </c>
      <c r="H10">
        <f>I10/F10</f>
        <v>878.08</v>
      </c>
      <c r="I10">
        <f>$C$1*$C$2*B10/E10*G10</f>
        <v>43904</v>
      </c>
      <c r="J10">
        <f>I10*E10/G10</f>
        <v>10976</v>
      </c>
    </row>
    <row r="11" spans="1:10">
      <c r="A11" t="s">
        <v>205</v>
      </c>
      <c r="D11" t="s">
        <v>209</v>
      </c>
    </row>
    <row r="12" spans="1:10">
      <c r="A12" t="s">
        <v>206</v>
      </c>
      <c r="D12" t="s">
        <v>209</v>
      </c>
    </row>
  </sheetData>
  <pageMargins left="0.7" right="0.7" top="0.75" bottom="0.75" header="0.3" footer="0.3"/>
  <pageSetup orientation="portrait" horizontalDpi="0" verticalDpi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29A52-A390-674C-882A-D9471157342F}">
  <dimension ref="A1:AE81"/>
  <sheetViews>
    <sheetView workbookViewId="0">
      <selection activeCell="C18" sqref="C18"/>
    </sheetView>
  </sheetViews>
  <sheetFormatPr baseColWidth="10" defaultRowHeight="16"/>
  <cols>
    <col min="2" max="3" width="15" customWidth="1"/>
    <col min="6" max="11" width="8.33203125" customWidth="1"/>
    <col min="14" max="15" width="11.6640625" bestFit="1" customWidth="1"/>
    <col min="16" max="22" width="12.6640625" bestFit="1" customWidth="1"/>
    <col min="23" max="31" width="11.6640625" bestFit="1" customWidth="1"/>
  </cols>
  <sheetData>
    <row r="1" spans="1:6">
      <c r="A1" t="s">
        <v>75</v>
      </c>
    </row>
    <row r="2" spans="1:6">
      <c r="A2" t="s">
        <v>88</v>
      </c>
      <c r="C2" s="3">
        <f>Vehicle!B38*0.000001*0.9</f>
        <v>34.130033212640029</v>
      </c>
      <c r="D2" t="s">
        <v>77</v>
      </c>
    </row>
    <row r="3" spans="1:6">
      <c r="A3" t="s">
        <v>135</v>
      </c>
      <c r="C3">
        <v>247.1</v>
      </c>
    </row>
    <row r="4" spans="1:6">
      <c r="A4" t="s">
        <v>136</v>
      </c>
      <c r="C4">
        <v>100</v>
      </c>
    </row>
    <row r="6" spans="1:6">
      <c r="A6" t="s">
        <v>89</v>
      </c>
      <c r="C6">
        <v>0</v>
      </c>
    </row>
    <row r="8" spans="1:6">
      <c r="A8" t="s">
        <v>227</v>
      </c>
      <c r="C8">
        <f>IF(C19&gt;10,C19*C9*365.26,0)</f>
        <v>4037730.1440000003</v>
      </c>
      <c r="E8">
        <f>C8/C19*1000/365.26</f>
        <v>12000</v>
      </c>
    </row>
    <row r="9" spans="1:6">
      <c r="A9" t="s">
        <v>228</v>
      </c>
      <c r="C9">
        <v>12</v>
      </c>
    </row>
    <row r="10" spans="1:6">
      <c r="A10" t="s">
        <v>76</v>
      </c>
      <c r="C10">
        <f>C18/C30</f>
        <v>22.3</v>
      </c>
      <c r="D10" t="s">
        <v>780</v>
      </c>
    </row>
    <row r="11" spans="1:6">
      <c r="A11" t="s">
        <v>76</v>
      </c>
      <c r="C11">
        <f>C10*Conversion!E17</f>
        <v>223000</v>
      </c>
      <c r="D11" t="s">
        <v>18</v>
      </c>
    </row>
    <row r="12" spans="1:6">
      <c r="A12" t="s">
        <v>781</v>
      </c>
      <c r="C12">
        <f>SUM(Crops!E:E)</f>
        <v>0.25</v>
      </c>
    </row>
    <row r="13" spans="1:6">
      <c r="E13" t="s">
        <v>193</v>
      </c>
    </row>
    <row r="14" spans="1:6">
      <c r="A14" s="7" t="s">
        <v>46</v>
      </c>
      <c r="C14" s="7">
        <f>C11/C4/C30</f>
        <v>55.75</v>
      </c>
    </row>
    <row r="15" spans="1:6">
      <c r="A15" s="7" t="s">
        <v>41</v>
      </c>
      <c r="C15" s="7">
        <v>0.95</v>
      </c>
    </row>
    <row r="16" spans="1:6">
      <c r="A16" s="7" t="s">
        <v>102</v>
      </c>
      <c r="C16" s="7">
        <v>19</v>
      </c>
      <c r="D16">
        <f>(C16-1)/C16</f>
        <v>0.94736842105263153</v>
      </c>
      <c r="E16">
        <f>1/C16</f>
        <v>5.2631578947368418E-2</v>
      </c>
      <c r="F16" t="s">
        <v>90</v>
      </c>
    </row>
    <row r="17" spans="1:16">
      <c r="A17" s="7"/>
      <c r="D17" s="7"/>
      <c r="F17" t="s">
        <v>80</v>
      </c>
      <c r="G17" t="s">
        <v>103</v>
      </c>
      <c r="H17" t="s">
        <v>91</v>
      </c>
      <c r="I17" t="s">
        <v>82</v>
      </c>
      <c r="J17" t="s">
        <v>79</v>
      </c>
    </row>
    <row r="18" spans="1:16">
      <c r="A18" s="7" t="s">
        <v>99</v>
      </c>
      <c r="C18" s="7">
        <f>SUM(F18:J18)</f>
        <v>892</v>
      </c>
      <c r="D18" t="s">
        <v>111</v>
      </c>
      <c r="F18">
        <f>C6</f>
        <v>0</v>
      </c>
      <c r="G18">
        <f>E32</f>
        <v>291</v>
      </c>
      <c r="H18">
        <f>CEILING(MAX(C22+C21,E35)*D16,1)</f>
        <v>285</v>
      </c>
      <c r="I18">
        <f>CEILING((C22+C21)*E16,1)</f>
        <v>16</v>
      </c>
      <c r="J18">
        <f>C21+C22</f>
        <v>300</v>
      </c>
    </row>
    <row r="19" spans="1:16">
      <c r="A19" s="7"/>
      <c r="C19">
        <f>(F18*1.1+G18*1.1+H18*1.1+I18*1.1+J18*0.9)</f>
        <v>921.2</v>
      </c>
      <c r="D19" s="7" t="s">
        <v>142</v>
      </c>
    </row>
    <row r="20" spans="1:16">
      <c r="A20" s="7" t="s">
        <v>47</v>
      </c>
      <c r="E20" s="7">
        <f>FLOOR((C14-C6)*0.78,1)</f>
        <v>43</v>
      </c>
      <c r="F20">
        <f>F18</f>
        <v>0</v>
      </c>
      <c r="G20">
        <f>G18</f>
        <v>291</v>
      </c>
      <c r="H20">
        <f>H18</f>
        <v>285</v>
      </c>
      <c r="I20">
        <f>I18</f>
        <v>16</v>
      </c>
      <c r="J20">
        <f>C21+C22</f>
        <v>300</v>
      </c>
    </row>
    <row r="21" spans="1:16">
      <c r="A21" s="7" t="s">
        <v>107</v>
      </c>
      <c r="C21">
        <f>CEILING(F18/10+G18,1)</f>
        <v>291</v>
      </c>
    </row>
    <row r="22" spans="1:16">
      <c r="A22" s="7" t="s">
        <v>108</v>
      </c>
      <c r="C22">
        <f>CEILING(E35*20/19/10,1)</f>
        <v>9</v>
      </c>
    </row>
    <row r="23" spans="1:16">
      <c r="A23" s="7" t="s">
        <v>96</v>
      </c>
      <c r="C23">
        <v>0.2</v>
      </c>
    </row>
    <row r="24" spans="1:16">
      <c r="A24" s="7"/>
    </row>
    <row r="25" spans="1:16">
      <c r="A25" t="s">
        <v>32</v>
      </c>
      <c r="C25">
        <v>2</v>
      </c>
      <c r="D25" s="7">
        <f>(1/1000)*$C$25</f>
        <v>2E-3</v>
      </c>
      <c r="G25" s="7"/>
      <c r="H25" s="7"/>
      <c r="I25" s="7"/>
      <c r="J25" s="7"/>
      <c r="K25" s="7"/>
      <c r="L25" s="7"/>
      <c r="M25" s="7"/>
      <c r="N25" s="7"/>
    </row>
    <row r="26" spans="1:16">
      <c r="A26" t="s">
        <v>34</v>
      </c>
      <c r="C26">
        <f>MAX(B44:B58)</f>
        <v>607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6">
      <c r="A27" t="s">
        <v>35</v>
      </c>
      <c r="C27">
        <f>MIN(B44:B58)</f>
        <v>285</v>
      </c>
      <c r="D27" s="7"/>
      <c r="E27" s="7"/>
      <c r="F27" s="7">
        <f>8*5</f>
        <v>40</v>
      </c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6">
      <c r="A28" t="s">
        <v>36</v>
      </c>
      <c r="C28">
        <f>B75</f>
        <v>368</v>
      </c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  <row r="29" spans="1:16">
      <c r="A29" t="s">
        <v>105</v>
      </c>
      <c r="C29">
        <f>250*0.75</f>
        <v>187.5</v>
      </c>
      <c r="D29" s="7"/>
      <c r="E29" s="7"/>
      <c r="F29" s="7" t="s">
        <v>194</v>
      </c>
      <c r="G29" s="7"/>
      <c r="H29" s="7"/>
      <c r="I29" s="7"/>
      <c r="J29" s="7"/>
      <c r="K29" s="7"/>
      <c r="L29" s="7"/>
      <c r="M29" s="7"/>
      <c r="N29" s="7"/>
      <c r="O29" s="7"/>
      <c r="P29" s="7"/>
    </row>
    <row r="30" spans="1:16">
      <c r="A30" t="s">
        <v>78</v>
      </c>
      <c r="C30">
        <v>40</v>
      </c>
      <c r="D30" t="s">
        <v>137</v>
      </c>
      <c r="E30" s="7"/>
      <c r="F30" s="7" t="s">
        <v>231</v>
      </c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6">
      <c r="A31" t="s">
        <v>112</v>
      </c>
      <c r="C31">
        <v>25</v>
      </c>
      <c r="D31" s="7" t="s">
        <v>113</v>
      </c>
      <c r="E31" s="7"/>
      <c r="F31" s="7" t="s">
        <v>195</v>
      </c>
      <c r="G31" s="7"/>
      <c r="H31" s="7"/>
      <c r="I31" s="7"/>
      <c r="J31" s="7"/>
      <c r="K31" s="7"/>
      <c r="L31" s="7"/>
      <c r="M31" s="7"/>
      <c r="N31" s="7"/>
      <c r="O31" s="7"/>
      <c r="P31" s="7"/>
    </row>
    <row r="32" spans="1:16">
      <c r="A32" t="s">
        <v>106</v>
      </c>
      <c r="C32">
        <f>Agriculture!D12</f>
        <v>18.18181818181818</v>
      </c>
      <c r="D32" s="7" t="s">
        <v>197</v>
      </c>
      <c r="E32" s="7">
        <f>CEILING((C32*C36)/C29,1)</f>
        <v>291</v>
      </c>
      <c r="F32" s="7" t="s">
        <v>111</v>
      </c>
      <c r="G32" s="7"/>
      <c r="I32" s="7"/>
      <c r="J32" s="7"/>
      <c r="K32" s="7"/>
      <c r="L32" s="7"/>
      <c r="M32" s="7"/>
      <c r="N32" s="7"/>
      <c r="O32" s="7"/>
      <c r="P32" s="7"/>
    </row>
    <row r="33" spans="1:31">
      <c r="C33" s="7">
        <f>C32*2.2</f>
        <v>40</v>
      </c>
      <c r="D33" s="7" t="s">
        <v>285</v>
      </c>
      <c r="E33" s="7"/>
      <c r="F33" s="7" t="s">
        <v>286</v>
      </c>
      <c r="G33" s="7"/>
      <c r="H33" s="7"/>
      <c r="I33" s="7"/>
      <c r="J33" s="7"/>
      <c r="K33" s="7"/>
      <c r="L33" s="7"/>
      <c r="M33" s="7"/>
      <c r="N33" s="7"/>
      <c r="O33" s="7"/>
      <c r="P33" s="7"/>
    </row>
    <row r="34" spans="1:31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</row>
    <row r="35" spans="1:31">
      <c r="A35" t="s">
        <v>104</v>
      </c>
      <c r="C35">
        <v>250</v>
      </c>
      <c r="D35" s="7" t="s">
        <v>110</v>
      </c>
      <c r="E35" s="7">
        <f>CEILING((C36*C35)/(C31*365.26),1)</f>
        <v>83</v>
      </c>
      <c r="F35" s="7" t="s">
        <v>111</v>
      </c>
      <c r="G35" s="7" t="s">
        <v>109</v>
      </c>
      <c r="H35" s="7"/>
      <c r="I35" s="7"/>
      <c r="J35" s="7"/>
      <c r="K35" s="7"/>
      <c r="L35" s="7"/>
      <c r="M35" s="7"/>
      <c r="N35" s="7"/>
      <c r="O35" s="7"/>
      <c r="P35" s="7"/>
    </row>
    <row r="36" spans="1:31">
      <c r="A36" t="s">
        <v>114</v>
      </c>
      <c r="C36">
        <f>Vehicle!B11</f>
        <v>3000</v>
      </c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7" spans="1:31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</row>
    <row r="38" spans="1:31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</row>
    <row r="39" spans="1:31">
      <c r="A39" t="s">
        <v>36</v>
      </c>
      <c r="C39" s="2"/>
      <c r="D39" s="7"/>
      <c r="E39" s="7" t="s">
        <v>39</v>
      </c>
      <c r="F39" s="7"/>
      <c r="G39" s="7"/>
      <c r="H39" s="7"/>
      <c r="I39" s="7"/>
      <c r="J39" s="7"/>
      <c r="K39" s="7"/>
      <c r="L39" s="7"/>
      <c r="M39" s="7">
        <f>1/15</f>
        <v>6.6666666666666666E-2</v>
      </c>
      <c r="N39" s="7"/>
      <c r="O39" s="7"/>
      <c r="P39" s="7"/>
    </row>
    <row r="40" spans="1:31">
      <c r="C40" s="2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</row>
    <row r="41" spans="1:31" ht="17" thickBot="1">
      <c r="A41" t="s">
        <v>853</v>
      </c>
      <c r="C41" s="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</row>
    <row r="42" spans="1:31">
      <c r="A42" t="s">
        <v>84</v>
      </c>
      <c r="B42" t="s">
        <v>16</v>
      </c>
      <c r="C42" t="s">
        <v>91</v>
      </c>
      <c r="D42" t="s">
        <v>92</v>
      </c>
      <c r="E42" t="s">
        <v>93</v>
      </c>
      <c r="F42" t="s">
        <v>94</v>
      </c>
      <c r="G42" t="s">
        <v>95</v>
      </c>
      <c r="H42" t="s">
        <v>97</v>
      </c>
      <c r="I42" t="s">
        <v>98</v>
      </c>
      <c r="J42" t="s">
        <v>852</v>
      </c>
      <c r="K42" t="s">
        <v>101</v>
      </c>
      <c r="L42">
        <v>1</v>
      </c>
      <c r="M42">
        <v>2</v>
      </c>
      <c r="N42" s="33" t="s">
        <v>83</v>
      </c>
      <c r="O42" s="34"/>
      <c r="P42" s="34" t="s">
        <v>81</v>
      </c>
      <c r="Q42" s="34"/>
      <c r="R42" s="34"/>
      <c r="S42" s="34"/>
      <c r="T42" s="34"/>
      <c r="U42" s="34"/>
      <c r="V42" s="35"/>
      <c r="W42" s="26" t="s">
        <v>82</v>
      </c>
      <c r="X42" s="27"/>
      <c r="Y42" s="27"/>
      <c r="Z42" s="27"/>
      <c r="AA42" s="27"/>
      <c r="AB42" s="27"/>
      <c r="AC42" s="27"/>
      <c r="AD42" s="27"/>
      <c r="AE42" s="28"/>
    </row>
    <row r="43" spans="1:31" ht="17" thickBot="1">
      <c r="C43">
        <f>H18</f>
        <v>285</v>
      </c>
      <c r="D43">
        <v>0</v>
      </c>
      <c r="L43" t="s">
        <v>85</v>
      </c>
      <c r="M43" t="s">
        <v>103</v>
      </c>
      <c r="N43" s="36">
        <v>2</v>
      </c>
      <c r="O43" s="37">
        <v>3</v>
      </c>
      <c r="P43" s="37">
        <v>4</v>
      </c>
      <c r="Q43" s="37">
        <v>5</v>
      </c>
      <c r="R43" s="37">
        <v>6</v>
      </c>
      <c r="S43" s="37">
        <v>7</v>
      </c>
      <c r="T43" s="37">
        <v>8</v>
      </c>
      <c r="U43" s="37">
        <v>9</v>
      </c>
      <c r="V43" s="38">
        <v>10</v>
      </c>
      <c r="W43" s="29">
        <v>2</v>
      </c>
      <c r="X43" s="30">
        <v>3</v>
      </c>
      <c r="Y43" s="30">
        <v>4</v>
      </c>
      <c r="Z43" s="30">
        <v>5</v>
      </c>
      <c r="AA43" s="30">
        <v>6</v>
      </c>
      <c r="AB43" s="30">
        <v>7</v>
      </c>
      <c r="AC43" s="30">
        <v>8</v>
      </c>
      <c r="AD43" s="30">
        <v>9</v>
      </c>
      <c r="AE43" s="31">
        <v>10</v>
      </c>
    </row>
    <row r="44" spans="1:31">
      <c r="A44">
        <v>0</v>
      </c>
      <c r="B44">
        <f t="shared" ref="B44:B80" si="0">FLOOR(SUM(M44:AE44),1)</f>
        <v>285</v>
      </c>
      <c r="C44">
        <f t="shared" ref="C44:C80" si="1">FLOOR(SUM(P44:V44),1)</f>
        <v>142</v>
      </c>
      <c r="D44">
        <f>FLOOR(SUM(W44:AE44),1)</f>
        <v>0</v>
      </c>
      <c r="E44">
        <f>0</f>
        <v>0</v>
      </c>
      <c r="F44">
        <f>IF(E43&gt;$C$16*1.1,1,0.5)</f>
        <v>0.5</v>
      </c>
      <c r="G44">
        <f t="shared" ref="G44:G80" si="2">IF(C43&lt;=$H$18,1,0.75)</f>
        <v>1</v>
      </c>
      <c r="L44" s="4">
        <f>C43/2</f>
        <v>142.5</v>
      </c>
      <c r="M44">
        <v>0</v>
      </c>
      <c r="N44" s="4">
        <f>$C$43/4</f>
        <v>71.25</v>
      </c>
      <c r="O44" s="4">
        <f t="shared" ref="O44:Q44" si="3">$C$43/4</f>
        <v>71.25</v>
      </c>
      <c r="P44" s="4">
        <f t="shared" si="3"/>
        <v>71.25</v>
      </c>
      <c r="Q44" s="4">
        <f t="shared" si="3"/>
        <v>71.25</v>
      </c>
      <c r="R44" s="4">
        <v>0</v>
      </c>
      <c r="S44" s="4">
        <v>0</v>
      </c>
      <c r="T44" s="4"/>
      <c r="U44" s="4"/>
      <c r="V44" s="4"/>
      <c r="W44" s="4">
        <v>0</v>
      </c>
      <c r="X44" s="4">
        <v>0</v>
      </c>
      <c r="Y44" s="4"/>
      <c r="Z44" s="4"/>
      <c r="AA44" s="4"/>
      <c r="AB44" s="4"/>
      <c r="AC44" s="4"/>
      <c r="AD44" s="4">
        <v>0</v>
      </c>
      <c r="AE44" s="4">
        <v>0</v>
      </c>
    </row>
    <row r="45" spans="1:31">
      <c r="A45">
        <v>1</v>
      </c>
      <c r="B45">
        <f t="shared" si="0"/>
        <v>413</v>
      </c>
      <c r="C45">
        <f t="shared" si="1"/>
        <v>203</v>
      </c>
      <c r="D45">
        <f t="shared" ref="D45:D80" si="4">FLOOR(SUM(W45:AE45),1)</f>
        <v>4</v>
      </c>
      <c r="E45">
        <f>IF(D45&gt;0,C45/D45,0)</f>
        <v>50.75</v>
      </c>
      <c r="F45">
        <f>IF(E44&gt;$C$16*1.1,1,0.5)</f>
        <v>0.5</v>
      </c>
      <c r="G45">
        <f t="shared" si="2"/>
        <v>1</v>
      </c>
      <c r="H45" s="4">
        <f>SUM(N44:AE44)-SUM(O45:V45)-SUM(X45:AE45)</f>
        <v>14.25</v>
      </c>
      <c r="I45">
        <f>IF(H45&gt;0,H45,0)+M45</f>
        <v>122.25</v>
      </c>
      <c r="J45">
        <f t="shared" ref="J45:J80" si="5">I45*$C$32</f>
        <v>2222.7272727272725</v>
      </c>
      <c r="K45">
        <f>C45*87</f>
        <v>17661</v>
      </c>
      <c r="L45">
        <f t="shared" ref="L45:L80" si="6">IF(C44&gt;($C$21+$C$22),$C$21+$C$22,C44)</f>
        <v>142</v>
      </c>
      <c r="M45">
        <f>IF(L44&gt;$G$18,$G$18,L44-N45-W45)</f>
        <v>108</v>
      </c>
      <c r="N45" s="4">
        <f t="shared" ref="N45:N80" si="7">$H$18/10+IF(C44&lt;$H$18,2,0)</f>
        <v>30.5</v>
      </c>
      <c r="O45" s="4">
        <f>N44*$C$15</f>
        <v>67.6875</v>
      </c>
      <c r="P45" s="4">
        <f>O44*$C$15</f>
        <v>67.6875</v>
      </c>
      <c r="Q45" s="4">
        <f>P44*$C$15</f>
        <v>67.6875</v>
      </c>
      <c r="R45" s="4">
        <f>Q44*$C$15</f>
        <v>67.6875</v>
      </c>
      <c r="S45" s="4">
        <f>R44*$C$15*$G45</f>
        <v>0</v>
      </c>
      <c r="T45" s="4">
        <f t="shared" ref="T45:V60" si="8">S44*$C$15*$G45</f>
        <v>0</v>
      </c>
      <c r="U45" s="4">
        <f t="shared" si="8"/>
        <v>0</v>
      </c>
      <c r="V45" s="4">
        <f t="shared" si="8"/>
        <v>0</v>
      </c>
      <c r="W45" s="4">
        <f t="shared" ref="W45:W80" si="9">IF(D44&lt;$I$18,4,0)</f>
        <v>4</v>
      </c>
      <c r="X45" s="4">
        <f>W44*$C$15</f>
        <v>0</v>
      </c>
      <c r="Y45" s="4">
        <f t="shared" ref="Y45:AE45" si="10">X44*$C$15*$F44</f>
        <v>0</v>
      </c>
      <c r="Z45" s="4">
        <f t="shared" si="10"/>
        <v>0</v>
      </c>
      <c r="AA45" s="4">
        <f t="shared" si="10"/>
        <v>0</v>
      </c>
      <c r="AB45" s="4">
        <f t="shared" si="10"/>
        <v>0</v>
      </c>
      <c r="AC45" s="4">
        <f t="shared" si="10"/>
        <v>0</v>
      </c>
      <c r="AD45" s="4">
        <f t="shared" si="10"/>
        <v>0</v>
      </c>
      <c r="AE45" s="4">
        <f t="shared" si="10"/>
        <v>0</v>
      </c>
    </row>
    <row r="46" spans="1:31">
      <c r="A46">
        <f>A45+1</f>
        <v>2</v>
      </c>
      <c r="B46">
        <f t="shared" si="0"/>
        <v>431</v>
      </c>
      <c r="C46">
        <f t="shared" si="1"/>
        <v>257</v>
      </c>
      <c r="D46">
        <f t="shared" si="4"/>
        <v>7</v>
      </c>
      <c r="E46">
        <f t="shared" ref="E46:E81" si="11">IF(D46&gt;0,C46/D46,0)</f>
        <v>36.714285714285715</v>
      </c>
      <c r="F46">
        <f>IF(E45&gt;$C$16*1.5,1,0.5)</f>
        <v>1</v>
      </c>
      <c r="G46">
        <f t="shared" si="2"/>
        <v>1</v>
      </c>
      <c r="H46" s="4">
        <f t="shared" ref="H46:H80" si="12">SUM(N45:AE45)-SUM(O46:V46)-SUM(X46:AE46)</f>
        <v>15.262499999999999</v>
      </c>
      <c r="I46">
        <f t="shared" ref="I46:I75" si="13">IF(H46&gt;0,H46,0)+M46</f>
        <v>122.7625</v>
      </c>
      <c r="J46">
        <f t="shared" si="5"/>
        <v>2232.0454545454545</v>
      </c>
      <c r="K46">
        <f t="shared" ref="K46:K80" si="14">C46*87*365.25</f>
        <v>8166624.75</v>
      </c>
      <c r="L46">
        <f t="shared" si="6"/>
        <v>203</v>
      </c>
      <c r="M46">
        <f t="shared" ref="M46:M80" si="15">IF(L45&gt;$G$18,$G$18,L45-N46-W46)</f>
        <v>107.5</v>
      </c>
      <c r="N46" s="4">
        <f t="shared" si="7"/>
        <v>30.5</v>
      </c>
      <c r="O46" s="4">
        <f t="shared" ref="O46:R80" si="16">N45*$C$15</f>
        <v>28.974999999999998</v>
      </c>
      <c r="P46" s="4">
        <f t="shared" si="16"/>
        <v>64.303124999999994</v>
      </c>
      <c r="Q46" s="4">
        <f t="shared" si="16"/>
        <v>64.303124999999994</v>
      </c>
      <c r="R46" s="4">
        <f t="shared" si="16"/>
        <v>64.303124999999994</v>
      </c>
      <c r="S46" s="4">
        <f t="shared" ref="S46:V80" si="17">R45*$C$15*$G46</f>
        <v>64.303124999999994</v>
      </c>
      <c r="T46" s="4">
        <f t="shared" si="8"/>
        <v>0</v>
      </c>
      <c r="U46" s="4">
        <f t="shared" si="8"/>
        <v>0</v>
      </c>
      <c r="V46" s="4">
        <f t="shared" si="8"/>
        <v>0</v>
      </c>
      <c r="W46" s="4">
        <f t="shared" si="9"/>
        <v>4</v>
      </c>
      <c r="X46" s="4">
        <f t="shared" ref="X46:X80" si="18">W45*$C$15</f>
        <v>3.8</v>
      </c>
      <c r="Y46" s="4">
        <f>X45*$C$15*$F45</f>
        <v>0</v>
      </c>
      <c r="Z46" s="4">
        <f>Y45*$C$15*$F45</f>
        <v>0</v>
      </c>
      <c r="AA46" s="4">
        <f t="shared" ref="AA46:AA80" si="19">Z45*$C$15*$F45</f>
        <v>0</v>
      </c>
      <c r="AB46" s="4">
        <f t="shared" ref="AB46:AB80" si="20">AA45*$C$15*$F45</f>
        <v>0</v>
      </c>
      <c r="AC46" s="4">
        <f t="shared" ref="AC46:AC80" si="21">AB45*$C$15*$F45</f>
        <v>0</v>
      </c>
      <c r="AD46" s="4">
        <f t="shared" ref="AD46:AD80" si="22">AC45*$C$15*$F45</f>
        <v>0</v>
      </c>
      <c r="AE46" s="4">
        <f t="shared" ref="AE46:AE80" si="23">AD45*$C$15*$F45</f>
        <v>0</v>
      </c>
    </row>
    <row r="47" spans="1:31">
      <c r="A47">
        <f t="shared" ref="A47:A49" si="24">A46+1</f>
        <v>3</v>
      </c>
      <c r="B47">
        <f t="shared" si="0"/>
        <v>511</v>
      </c>
      <c r="C47">
        <f t="shared" si="1"/>
        <v>271</v>
      </c>
      <c r="D47">
        <f t="shared" si="4"/>
        <v>11</v>
      </c>
      <c r="E47">
        <f t="shared" si="11"/>
        <v>24.636363636363637</v>
      </c>
      <c r="F47">
        <f t="shared" ref="F47:F80" si="25">IF(E46&gt;$C$16*1.5,1,0.5)</f>
        <v>1</v>
      </c>
      <c r="G47">
        <f t="shared" si="2"/>
        <v>1</v>
      </c>
      <c r="H47" s="4">
        <f t="shared" si="12"/>
        <v>16.224375000000034</v>
      </c>
      <c r="I47">
        <f t="shared" si="13"/>
        <v>184.72437500000004</v>
      </c>
      <c r="J47">
        <f t="shared" si="5"/>
        <v>3358.6250000000005</v>
      </c>
      <c r="K47">
        <f t="shared" si="14"/>
        <v>8611499.25</v>
      </c>
      <c r="L47">
        <f t="shared" si="6"/>
        <v>257</v>
      </c>
      <c r="M47">
        <f t="shared" si="15"/>
        <v>168.5</v>
      </c>
      <c r="N47" s="4">
        <f t="shared" si="7"/>
        <v>30.5</v>
      </c>
      <c r="O47" s="4">
        <f t="shared" si="16"/>
        <v>28.974999999999998</v>
      </c>
      <c r="P47" s="4">
        <f t="shared" si="16"/>
        <v>27.526249999999997</v>
      </c>
      <c r="Q47" s="4">
        <f t="shared" si="16"/>
        <v>61.087968749999995</v>
      </c>
      <c r="R47" s="4">
        <f t="shared" si="16"/>
        <v>61.087968749999995</v>
      </c>
      <c r="S47" s="4">
        <f t="shared" si="17"/>
        <v>61.087968749999995</v>
      </c>
      <c r="T47" s="4">
        <f t="shared" si="8"/>
        <v>61.087968749999995</v>
      </c>
      <c r="U47" s="4">
        <f t="shared" si="8"/>
        <v>0</v>
      </c>
      <c r="V47" s="4">
        <f t="shared" si="8"/>
        <v>0</v>
      </c>
      <c r="W47" s="4">
        <f t="shared" si="9"/>
        <v>4</v>
      </c>
      <c r="X47" s="4">
        <f t="shared" si="18"/>
        <v>3.8</v>
      </c>
      <c r="Y47" s="4">
        <f>X46*$C$15*$F46</f>
        <v>3.61</v>
      </c>
      <c r="Z47" s="4">
        <f t="shared" ref="Z47:Z80" si="26">Y46*$C$15*$F46</f>
        <v>0</v>
      </c>
      <c r="AA47" s="4">
        <f t="shared" si="19"/>
        <v>0</v>
      </c>
      <c r="AB47" s="4">
        <f t="shared" si="20"/>
        <v>0</v>
      </c>
      <c r="AC47" s="4">
        <f t="shared" si="21"/>
        <v>0</v>
      </c>
      <c r="AD47" s="4">
        <f t="shared" si="22"/>
        <v>0</v>
      </c>
      <c r="AE47" s="4">
        <f t="shared" si="23"/>
        <v>0</v>
      </c>
    </row>
    <row r="48" spans="1:31">
      <c r="A48">
        <f t="shared" si="24"/>
        <v>4</v>
      </c>
      <c r="B48">
        <f t="shared" si="0"/>
        <v>582</v>
      </c>
      <c r="C48">
        <f t="shared" si="1"/>
        <v>285</v>
      </c>
      <c r="D48">
        <f t="shared" si="4"/>
        <v>14</v>
      </c>
      <c r="E48">
        <f t="shared" si="11"/>
        <v>20.357142857142858</v>
      </c>
      <c r="F48">
        <f t="shared" si="25"/>
        <v>0.5</v>
      </c>
      <c r="G48">
        <f t="shared" si="2"/>
        <v>1</v>
      </c>
      <c r="H48" s="4">
        <f t="shared" si="12"/>
        <v>17.138156250000051</v>
      </c>
      <c r="I48">
        <f t="shared" si="13"/>
        <v>239.63815625000007</v>
      </c>
      <c r="J48">
        <f t="shared" si="5"/>
        <v>4357.0573863636373</v>
      </c>
      <c r="K48">
        <f t="shared" si="14"/>
        <v>9056373.75</v>
      </c>
      <c r="L48">
        <f t="shared" si="6"/>
        <v>271</v>
      </c>
      <c r="M48">
        <f t="shared" si="15"/>
        <v>222.5</v>
      </c>
      <c r="N48" s="4">
        <f t="shared" si="7"/>
        <v>30.5</v>
      </c>
      <c r="O48" s="4">
        <f t="shared" si="16"/>
        <v>28.974999999999998</v>
      </c>
      <c r="P48" s="4">
        <f t="shared" si="16"/>
        <v>27.526249999999997</v>
      </c>
      <c r="Q48" s="4">
        <f t="shared" si="16"/>
        <v>26.149937499999997</v>
      </c>
      <c r="R48" s="4">
        <f t="shared" si="16"/>
        <v>58.03357031249999</v>
      </c>
      <c r="S48" s="4">
        <f t="shared" si="17"/>
        <v>58.03357031249999</v>
      </c>
      <c r="T48" s="4">
        <f t="shared" si="8"/>
        <v>58.03357031249999</v>
      </c>
      <c r="U48" s="4">
        <f t="shared" si="8"/>
        <v>58.03357031249999</v>
      </c>
      <c r="V48" s="4">
        <f t="shared" si="8"/>
        <v>0</v>
      </c>
      <c r="W48" s="4">
        <f t="shared" si="9"/>
        <v>4</v>
      </c>
      <c r="X48" s="4">
        <f t="shared" si="18"/>
        <v>3.8</v>
      </c>
      <c r="Y48" s="4">
        <f t="shared" ref="Y48:Y80" si="27">X47*$C$15*$F47</f>
        <v>3.61</v>
      </c>
      <c r="Z48" s="4">
        <f t="shared" si="26"/>
        <v>3.4294999999999995</v>
      </c>
      <c r="AA48" s="4">
        <f t="shared" si="19"/>
        <v>0</v>
      </c>
      <c r="AB48" s="4">
        <f t="shared" si="20"/>
        <v>0</v>
      </c>
      <c r="AC48" s="4">
        <f t="shared" si="21"/>
        <v>0</v>
      </c>
      <c r="AD48" s="4">
        <f t="shared" si="22"/>
        <v>0</v>
      </c>
      <c r="AE48" s="4">
        <f t="shared" si="23"/>
        <v>0</v>
      </c>
    </row>
    <row r="49" spans="1:31">
      <c r="A49">
        <f t="shared" si="24"/>
        <v>5</v>
      </c>
      <c r="B49">
        <f t="shared" si="0"/>
        <v>607</v>
      </c>
      <c r="C49">
        <f t="shared" si="1"/>
        <v>299</v>
      </c>
      <c r="D49">
        <f t="shared" si="4"/>
        <v>12</v>
      </c>
      <c r="E49">
        <f t="shared" si="11"/>
        <v>24.916666666666668</v>
      </c>
      <c r="F49">
        <f t="shared" si="25"/>
        <v>0.5</v>
      </c>
      <c r="G49">
        <f t="shared" si="2"/>
        <v>1</v>
      </c>
      <c r="H49" s="4">
        <f t="shared" si="12"/>
        <v>23.15501093750008</v>
      </c>
      <c r="I49">
        <f t="shared" si="13"/>
        <v>261.65501093750009</v>
      </c>
      <c r="J49">
        <f t="shared" si="5"/>
        <v>4757.3638352272737</v>
      </c>
      <c r="K49">
        <f t="shared" si="14"/>
        <v>9501248.25</v>
      </c>
      <c r="L49">
        <f t="shared" si="6"/>
        <v>285</v>
      </c>
      <c r="M49">
        <f t="shared" si="15"/>
        <v>238.5</v>
      </c>
      <c r="N49" s="4">
        <f t="shared" si="7"/>
        <v>28.5</v>
      </c>
      <c r="O49" s="4">
        <f t="shared" si="16"/>
        <v>28.974999999999998</v>
      </c>
      <c r="P49" s="4">
        <f t="shared" si="16"/>
        <v>27.526249999999997</v>
      </c>
      <c r="Q49" s="4">
        <f t="shared" si="16"/>
        <v>26.149937499999997</v>
      </c>
      <c r="R49" s="4">
        <f t="shared" si="16"/>
        <v>24.842440624999995</v>
      </c>
      <c r="S49" s="4">
        <f t="shared" si="17"/>
        <v>55.131891796874989</v>
      </c>
      <c r="T49" s="4">
        <f t="shared" si="8"/>
        <v>55.131891796874989</v>
      </c>
      <c r="U49" s="4">
        <f t="shared" si="8"/>
        <v>55.131891796874989</v>
      </c>
      <c r="V49" s="4">
        <f t="shared" si="8"/>
        <v>55.131891796874989</v>
      </c>
      <c r="W49" s="4">
        <f t="shared" si="9"/>
        <v>4</v>
      </c>
      <c r="X49" s="4">
        <f t="shared" si="18"/>
        <v>3.8</v>
      </c>
      <c r="Y49" s="4">
        <f t="shared" si="27"/>
        <v>1.8049999999999999</v>
      </c>
      <c r="Z49" s="4">
        <f t="shared" si="26"/>
        <v>1.7147499999999998</v>
      </c>
      <c r="AA49" s="4">
        <f t="shared" si="19"/>
        <v>1.6290124999999998</v>
      </c>
      <c r="AB49" s="4">
        <f t="shared" si="20"/>
        <v>0</v>
      </c>
      <c r="AC49" s="4">
        <f t="shared" si="21"/>
        <v>0</v>
      </c>
      <c r="AD49" s="4">
        <f t="shared" si="22"/>
        <v>0</v>
      </c>
      <c r="AE49" s="4">
        <f t="shared" si="23"/>
        <v>0</v>
      </c>
    </row>
    <row r="50" spans="1:31">
      <c r="A50">
        <f t="shared" ref="A50:A58" si="28">A49+1</f>
        <v>6</v>
      </c>
      <c r="B50">
        <f t="shared" si="0"/>
        <v>534</v>
      </c>
      <c r="C50">
        <f t="shared" si="1"/>
        <v>214</v>
      </c>
      <c r="D50">
        <f t="shared" si="4"/>
        <v>12</v>
      </c>
      <c r="E50">
        <f t="shared" si="11"/>
        <v>17.833333333333332</v>
      </c>
      <c r="F50">
        <f t="shared" si="25"/>
        <v>0.5</v>
      </c>
      <c r="G50">
        <f t="shared" si="2"/>
        <v>0.75</v>
      </c>
      <c r="H50" s="4">
        <f t="shared" si="12"/>
        <v>120.28100983886713</v>
      </c>
      <c r="I50">
        <f t="shared" si="13"/>
        <v>372.78100983886713</v>
      </c>
      <c r="J50">
        <f t="shared" si="5"/>
        <v>6777.8365425248567</v>
      </c>
      <c r="K50">
        <f t="shared" si="14"/>
        <v>6800224.5</v>
      </c>
      <c r="L50">
        <f t="shared" si="6"/>
        <v>299</v>
      </c>
      <c r="M50">
        <f t="shared" si="15"/>
        <v>252.5</v>
      </c>
      <c r="N50" s="4">
        <f t="shared" si="7"/>
        <v>28.5</v>
      </c>
      <c r="O50" s="4">
        <f t="shared" si="16"/>
        <v>27.074999999999999</v>
      </c>
      <c r="P50" s="4">
        <f t="shared" si="16"/>
        <v>27.526249999999997</v>
      </c>
      <c r="Q50" s="4">
        <f t="shared" si="16"/>
        <v>26.149937499999997</v>
      </c>
      <c r="R50" s="4">
        <f t="shared" si="16"/>
        <v>24.842440624999995</v>
      </c>
      <c r="S50" s="4">
        <f t="shared" si="17"/>
        <v>17.700238945312496</v>
      </c>
      <c r="T50" s="4">
        <f t="shared" si="8"/>
        <v>39.281472905273432</v>
      </c>
      <c r="U50" s="4">
        <f t="shared" si="8"/>
        <v>39.281472905273432</v>
      </c>
      <c r="V50" s="4">
        <f t="shared" si="8"/>
        <v>39.281472905273432</v>
      </c>
      <c r="W50" s="4">
        <f t="shared" si="9"/>
        <v>4</v>
      </c>
      <c r="X50" s="4">
        <f t="shared" si="18"/>
        <v>3.8</v>
      </c>
      <c r="Y50" s="4">
        <f t="shared" si="27"/>
        <v>1.8049999999999999</v>
      </c>
      <c r="Z50" s="4">
        <f t="shared" si="26"/>
        <v>0.85737499999999989</v>
      </c>
      <c r="AA50" s="4">
        <f t="shared" si="19"/>
        <v>0.81450624999999988</v>
      </c>
      <c r="AB50" s="4">
        <f t="shared" si="20"/>
        <v>0.77378093749999988</v>
      </c>
      <c r="AC50" s="4">
        <f t="shared" si="21"/>
        <v>0</v>
      </c>
      <c r="AD50" s="4">
        <f t="shared" si="22"/>
        <v>0</v>
      </c>
      <c r="AE50" s="4">
        <f t="shared" si="23"/>
        <v>0</v>
      </c>
    </row>
    <row r="51" spans="1:31">
      <c r="A51">
        <f t="shared" si="28"/>
        <v>7</v>
      </c>
      <c r="B51">
        <f t="shared" si="0"/>
        <v>551</v>
      </c>
      <c r="C51">
        <f t="shared" si="1"/>
        <v>191</v>
      </c>
      <c r="D51">
        <f t="shared" si="4"/>
        <v>11</v>
      </c>
      <c r="E51">
        <f t="shared" si="11"/>
        <v>17.363636363636363</v>
      </c>
      <c r="F51">
        <f t="shared" si="25"/>
        <v>0.5</v>
      </c>
      <c r="G51">
        <f t="shared" si="2"/>
        <v>1</v>
      </c>
      <c r="H51" s="4">
        <f t="shared" si="12"/>
        <v>55.225911197753973</v>
      </c>
      <c r="I51">
        <f t="shared" si="13"/>
        <v>346.22591119775399</v>
      </c>
      <c r="J51">
        <f t="shared" si="5"/>
        <v>6295.0165672318899</v>
      </c>
      <c r="K51">
        <f t="shared" si="14"/>
        <v>6069359.25</v>
      </c>
      <c r="L51">
        <f t="shared" si="6"/>
        <v>214</v>
      </c>
      <c r="M51">
        <f t="shared" si="15"/>
        <v>291</v>
      </c>
      <c r="N51" s="4">
        <f t="shared" si="7"/>
        <v>30.5</v>
      </c>
      <c r="O51" s="4">
        <f t="shared" si="16"/>
        <v>27.074999999999999</v>
      </c>
      <c r="P51" s="4">
        <f t="shared" si="16"/>
        <v>25.721249999999998</v>
      </c>
      <c r="Q51" s="4">
        <f t="shared" si="16"/>
        <v>26.149937499999997</v>
      </c>
      <c r="R51" s="4">
        <f t="shared" si="16"/>
        <v>24.842440624999995</v>
      </c>
      <c r="S51" s="4">
        <f t="shared" si="17"/>
        <v>23.600318593749993</v>
      </c>
      <c r="T51" s="4">
        <f t="shared" si="8"/>
        <v>16.815226998046871</v>
      </c>
      <c r="U51" s="4">
        <f t="shared" si="8"/>
        <v>37.317399260009758</v>
      </c>
      <c r="V51" s="4">
        <f t="shared" si="8"/>
        <v>37.317399260009758</v>
      </c>
      <c r="W51" s="4">
        <f t="shared" si="9"/>
        <v>4</v>
      </c>
      <c r="X51" s="4">
        <f t="shared" si="18"/>
        <v>3.8</v>
      </c>
      <c r="Y51" s="4">
        <f t="shared" si="27"/>
        <v>1.8049999999999999</v>
      </c>
      <c r="Z51" s="4">
        <f t="shared" si="26"/>
        <v>0.85737499999999989</v>
      </c>
      <c r="AA51" s="4">
        <f t="shared" si="19"/>
        <v>0.40725312499999994</v>
      </c>
      <c r="AB51" s="4">
        <f t="shared" si="20"/>
        <v>0.38689046874999994</v>
      </c>
      <c r="AC51" s="4">
        <f t="shared" si="21"/>
        <v>0.3675459453124999</v>
      </c>
      <c r="AD51" s="4">
        <f t="shared" si="22"/>
        <v>0</v>
      </c>
      <c r="AE51" s="4">
        <f t="shared" si="23"/>
        <v>0</v>
      </c>
    </row>
    <row r="52" spans="1:31">
      <c r="A52">
        <f t="shared" si="28"/>
        <v>8</v>
      </c>
      <c r="B52">
        <f t="shared" si="0"/>
        <v>422</v>
      </c>
      <c r="C52">
        <f t="shared" si="1"/>
        <v>172</v>
      </c>
      <c r="D52">
        <f t="shared" si="4"/>
        <v>11</v>
      </c>
      <c r="E52">
        <f t="shared" si="11"/>
        <v>15.636363636363637</v>
      </c>
      <c r="F52">
        <f t="shared" si="25"/>
        <v>0.5</v>
      </c>
      <c r="G52">
        <f t="shared" si="2"/>
        <v>1</v>
      </c>
      <c r="H52" s="4">
        <f t="shared" si="12"/>
        <v>52.121111791857864</v>
      </c>
      <c r="I52">
        <f t="shared" si="13"/>
        <v>231.62111179185786</v>
      </c>
      <c r="J52">
        <f t="shared" si="5"/>
        <v>4211.2929416701427</v>
      </c>
      <c r="K52">
        <f t="shared" si="14"/>
        <v>5465601</v>
      </c>
      <c r="L52">
        <f t="shared" si="6"/>
        <v>191</v>
      </c>
      <c r="M52">
        <f t="shared" si="15"/>
        <v>179.5</v>
      </c>
      <c r="N52" s="4">
        <f t="shared" si="7"/>
        <v>30.5</v>
      </c>
      <c r="O52" s="4">
        <f t="shared" si="16"/>
        <v>28.974999999999998</v>
      </c>
      <c r="P52" s="4">
        <f t="shared" si="16"/>
        <v>25.721249999999998</v>
      </c>
      <c r="Q52" s="4">
        <f t="shared" si="16"/>
        <v>24.435187499999998</v>
      </c>
      <c r="R52" s="4">
        <f t="shared" si="16"/>
        <v>24.842440624999995</v>
      </c>
      <c r="S52" s="4">
        <f t="shared" si="17"/>
        <v>23.600318593749993</v>
      </c>
      <c r="T52" s="4">
        <f t="shared" si="8"/>
        <v>22.420302664062493</v>
      </c>
      <c r="U52" s="4">
        <f t="shared" si="8"/>
        <v>15.974465648144527</v>
      </c>
      <c r="V52" s="4">
        <f t="shared" si="8"/>
        <v>35.451529297009266</v>
      </c>
      <c r="W52" s="4">
        <f t="shared" si="9"/>
        <v>4</v>
      </c>
      <c r="X52" s="4">
        <f t="shared" si="18"/>
        <v>3.8</v>
      </c>
      <c r="Y52" s="4">
        <f t="shared" si="27"/>
        <v>1.8049999999999999</v>
      </c>
      <c r="Z52" s="4">
        <f t="shared" si="26"/>
        <v>0.85737499999999989</v>
      </c>
      <c r="AA52" s="4">
        <f t="shared" si="19"/>
        <v>0.40725312499999994</v>
      </c>
      <c r="AB52" s="4">
        <f t="shared" si="20"/>
        <v>0.19344523437499997</v>
      </c>
      <c r="AC52" s="4">
        <f t="shared" si="21"/>
        <v>0.18377297265624995</v>
      </c>
      <c r="AD52" s="4">
        <f t="shared" si="22"/>
        <v>0.17458432402343743</v>
      </c>
      <c r="AE52" s="4">
        <f t="shared" si="23"/>
        <v>0</v>
      </c>
    </row>
    <row r="53" spans="1:31">
      <c r="A53">
        <f t="shared" si="28"/>
        <v>9</v>
      </c>
      <c r="B53">
        <f t="shared" si="0"/>
        <v>384</v>
      </c>
      <c r="C53">
        <f t="shared" si="1"/>
        <v>157</v>
      </c>
      <c r="D53">
        <f t="shared" si="4"/>
        <v>11</v>
      </c>
      <c r="E53">
        <f t="shared" si="11"/>
        <v>14.272727272727273</v>
      </c>
      <c r="F53">
        <f t="shared" si="25"/>
        <v>0.5</v>
      </c>
      <c r="G53">
        <f t="shared" si="2"/>
        <v>1</v>
      </c>
      <c r="H53" s="4">
        <f t="shared" si="12"/>
        <v>49.371228642985855</v>
      </c>
      <c r="I53">
        <f t="shared" si="13"/>
        <v>205.87122864298584</v>
      </c>
      <c r="J53">
        <f t="shared" si="5"/>
        <v>3743.1132480542874</v>
      </c>
      <c r="K53">
        <f t="shared" si="14"/>
        <v>4988949.75</v>
      </c>
      <c r="L53">
        <f t="shared" si="6"/>
        <v>172</v>
      </c>
      <c r="M53">
        <f t="shared" si="15"/>
        <v>156.5</v>
      </c>
      <c r="N53" s="4">
        <f t="shared" si="7"/>
        <v>30.5</v>
      </c>
      <c r="O53" s="4">
        <f t="shared" si="16"/>
        <v>28.974999999999998</v>
      </c>
      <c r="P53" s="4">
        <f t="shared" si="16"/>
        <v>27.526249999999997</v>
      </c>
      <c r="Q53" s="4">
        <f t="shared" si="16"/>
        <v>24.435187499999998</v>
      </c>
      <c r="R53" s="4">
        <f t="shared" si="16"/>
        <v>23.213428124999997</v>
      </c>
      <c r="S53" s="4">
        <f t="shared" si="17"/>
        <v>23.600318593749993</v>
      </c>
      <c r="T53" s="4">
        <f t="shared" si="8"/>
        <v>22.420302664062493</v>
      </c>
      <c r="U53" s="4">
        <f t="shared" si="8"/>
        <v>21.299287530859367</v>
      </c>
      <c r="V53" s="4">
        <f t="shared" si="8"/>
        <v>15.1757423657373</v>
      </c>
      <c r="W53" s="4">
        <f t="shared" si="9"/>
        <v>4</v>
      </c>
      <c r="X53" s="4">
        <f t="shared" si="18"/>
        <v>3.8</v>
      </c>
      <c r="Y53" s="4">
        <f t="shared" si="27"/>
        <v>1.8049999999999999</v>
      </c>
      <c r="Z53" s="4">
        <f t="shared" si="26"/>
        <v>0.85737499999999989</v>
      </c>
      <c r="AA53" s="4">
        <f t="shared" si="19"/>
        <v>0.40725312499999994</v>
      </c>
      <c r="AB53" s="4">
        <f t="shared" si="20"/>
        <v>0.19344523437499997</v>
      </c>
      <c r="AC53" s="4">
        <f t="shared" si="21"/>
        <v>9.1886486328124975E-2</v>
      </c>
      <c r="AD53" s="4">
        <f t="shared" si="22"/>
        <v>8.7292162011718716E-2</v>
      </c>
      <c r="AE53" s="4">
        <f t="shared" si="23"/>
        <v>8.2927553911132781E-2</v>
      </c>
    </row>
    <row r="54" spans="1:31">
      <c r="A54">
        <f t="shared" si="28"/>
        <v>10</v>
      </c>
      <c r="B54">
        <f t="shared" si="0"/>
        <v>371</v>
      </c>
      <c r="C54">
        <f t="shared" si="1"/>
        <v>162</v>
      </c>
      <c r="D54">
        <f t="shared" si="4"/>
        <v>11</v>
      </c>
      <c r="E54">
        <f t="shared" si="11"/>
        <v>14.727272727272727</v>
      </c>
      <c r="F54">
        <f t="shared" si="25"/>
        <v>0.5</v>
      </c>
      <c r="G54">
        <f t="shared" si="2"/>
        <v>1</v>
      </c>
      <c r="H54" s="4">
        <f t="shared" si="12"/>
        <v>29.359340944382346</v>
      </c>
      <c r="I54">
        <f t="shared" si="13"/>
        <v>166.85934094438235</v>
      </c>
      <c r="J54">
        <f t="shared" si="5"/>
        <v>3033.8061989887697</v>
      </c>
      <c r="K54">
        <f t="shared" si="14"/>
        <v>5147833.5</v>
      </c>
      <c r="L54">
        <f t="shared" si="6"/>
        <v>157</v>
      </c>
      <c r="M54">
        <f t="shared" si="15"/>
        <v>137.5</v>
      </c>
      <c r="N54" s="4">
        <f t="shared" si="7"/>
        <v>30.5</v>
      </c>
      <c r="O54" s="4">
        <f t="shared" si="16"/>
        <v>28.974999999999998</v>
      </c>
      <c r="P54" s="4">
        <f t="shared" si="16"/>
        <v>27.526249999999997</v>
      </c>
      <c r="Q54" s="4">
        <f t="shared" si="16"/>
        <v>26.149937499999997</v>
      </c>
      <c r="R54" s="4">
        <f t="shared" si="16"/>
        <v>23.213428124999997</v>
      </c>
      <c r="S54" s="4">
        <f t="shared" si="17"/>
        <v>22.052756718749997</v>
      </c>
      <c r="T54" s="4">
        <f t="shared" si="8"/>
        <v>22.420302664062493</v>
      </c>
      <c r="U54" s="4">
        <f t="shared" si="8"/>
        <v>21.299287530859367</v>
      </c>
      <c r="V54" s="4">
        <f t="shared" si="8"/>
        <v>20.234323154316396</v>
      </c>
      <c r="W54" s="4">
        <f t="shared" si="9"/>
        <v>4</v>
      </c>
      <c r="X54" s="4">
        <f t="shared" si="18"/>
        <v>3.8</v>
      </c>
      <c r="Y54" s="4">
        <f t="shared" si="27"/>
        <v>1.8049999999999999</v>
      </c>
      <c r="Z54" s="4">
        <f t="shared" si="26"/>
        <v>0.85737499999999989</v>
      </c>
      <c r="AA54" s="4">
        <f t="shared" si="19"/>
        <v>0.40725312499999994</v>
      </c>
      <c r="AB54" s="4">
        <f t="shared" si="20"/>
        <v>0.19344523437499997</v>
      </c>
      <c r="AC54" s="4">
        <f t="shared" si="21"/>
        <v>9.1886486328124975E-2</v>
      </c>
      <c r="AD54" s="4">
        <f t="shared" si="22"/>
        <v>4.3646081005859358E-2</v>
      </c>
      <c r="AE54" s="4">
        <f t="shared" si="23"/>
        <v>4.1463776955566391E-2</v>
      </c>
    </row>
    <row r="55" spans="1:31">
      <c r="A55">
        <f t="shared" si="28"/>
        <v>11</v>
      </c>
      <c r="B55">
        <f t="shared" si="0"/>
        <v>356</v>
      </c>
      <c r="C55">
        <f t="shared" si="1"/>
        <v>163</v>
      </c>
      <c r="D55">
        <f t="shared" si="4"/>
        <v>11</v>
      </c>
      <c r="E55">
        <f t="shared" si="11"/>
        <v>14.818181818181818</v>
      </c>
      <c r="F55">
        <f t="shared" si="25"/>
        <v>0.5</v>
      </c>
      <c r="G55">
        <f t="shared" si="2"/>
        <v>1</v>
      </c>
      <c r="H55" s="4">
        <f t="shared" si="12"/>
        <v>34.361903169727789</v>
      </c>
      <c r="I55">
        <f t="shared" si="13"/>
        <v>156.86190316972778</v>
      </c>
      <c r="J55">
        <f t="shared" si="5"/>
        <v>2852.0346030859596</v>
      </c>
      <c r="K55">
        <f t="shared" si="14"/>
        <v>5179610.25</v>
      </c>
      <c r="L55">
        <f t="shared" si="6"/>
        <v>162</v>
      </c>
      <c r="M55">
        <f t="shared" si="15"/>
        <v>122.5</v>
      </c>
      <c r="N55" s="4">
        <f t="shared" si="7"/>
        <v>30.5</v>
      </c>
      <c r="O55" s="4">
        <f t="shared" si="16"/>
        <v>28.974999999999998</v>
      </c>
      <c r="P55" s="4">
        <f t="shared" si="16"/>
        <v>27.526249999999997</v>
      </c>
      <c r="Q55" s="4">
        <f t="shared" si="16"/>
        <v>26.149937499999997</v>
      </c>
      <c r="R55" s="4">
        <f t="shared" si="16"/>
        <v>24.842440624999995</v>
      </c>
      <c r="S55" s="4">
        <f t="shared" si="17"/>
        <v>22.052756718749997</v>
      </c>
      <c r="T55" s="4">
        <f t="shared" si="8"/>
        <v>20.950118882812497</v>
      </c>
      <c r="U55" s="4">
        <f t="shared" si="8"/>
        <v>21.299287530859367</v>
      </c>
      <c r="V55" s="4">
        <f t="shared" si="8"/>
        <v>20.234323154316396</v>
      </c>
      <c r="W55" s="4">
        <f t="shared" si="9"/>
        <v>4</v>
      </c>
      <c r="X55" s="4">
        <f t="shared" si="18"/>
        <v>3.8</v>
      </c>
      <c r="Y55" s="4">
        <f t="shared" si="27"/>
        <v>1.8049999999999999</v>
      </c>
      <c r="Z55" s="4">
        <f t="shared" si="26"/>
        <v>0.85737499999999989</v>
      </c>
      <c r="AA55" s="4">
        <f t="shared" si="19"/>
        <v>0.40725312499999994</v>
      </c>
      <c r="AB55" s="4">
        <f t="shared" si="20"/>
        <v>0.19344523437499997</v>
      </c>
      <c r="AC55" s="4">
        <f t="shared" si="21"/>
        <v>9.1886486328124975E-2</v>
      </c>
      <c r="AD55" s="4">
        <f t="shared" si="22"/>
        <v>4.3646081005859358E-2</v>
      </c>
      <c r="AE55" s="4">
        <f t="shared" si="23"/>
        <v>2.0731888477783195E-2</v>
      </c>
    </row>
    <row r="56" spans="1:31">
      <c r="A56">
        <f t="shared" si="28"/>
        <v>12</v>
      </c>
      <c r="B56">
        <f t="shared" si="0"/>
        <v>361</v>
      </c>
      <c r="C56">
        <f t="shared" si="1"/>
        <v>163</v>
      </c>
      <c r="D56">
        <f t="shared" si="4"/>
        <v>11</v>
      </c>
      <c r="E56">
        <f t="shared" si="11"/>
        <v>14.818181818181818</v>
      </c>
      <c r="F56">
        <f t="shared" si="25"/>
        <v>0.5</v>
      </c>
      <c r="G56">
        <f t="shared" si="2"/>
        <v>1</v>
      </c>
      <c r="H56" s="4">
        <f t="shared" si="12"/>
        <v>34.349112717187502</v>
      </c>
      <c r="I56">
        <f t="shared" si="13"/>
        <v>161.8491127171875</v>
      </c>
      <c r="J56">
        <f t="shared" si="5"/>
        <v>2942.7111403124995</v>
      </c>
      <c r="K56">
        <f t="shared" si="14"/>
        <v>5179610.25</v>
      </c>
      <c r="L56">
        <f t="shared" si="6"/>
        <v>163</v>
      </c>
      <c r="M56">
        <f t="shared" si="15"/>
        <v>127.5</v>
      </c>
      <c r="N56" s="4">
        <f t="shared" si="7"/>
        <v>30.5</v>
      </c>
      <c r="O56" s="4">
        <f t="shared" si="16"/>
        <v>28.974999999999998</v>
      </c>
      <c r="P56" s="4">
        <f t="shared" si="16"/>
        <v>27.526249999999997</v>
      </c>
      <c r="Q56" s="4">
        <f t="shared" si="16"/>
        <v>26.149937499999997</v>
      </c>
      <c r="R56" s="4">
        <f t="shared" si="16"/>
        <v>24.842440624999995</v>
      </c>
      <c r="S56" s="4">
        <f t="shared" si="17"/>
        <v>23.600318593749993</v>
      </c>
      <c r="T56" s="4">
        <f t="shared" si="8"/>
        <v>20.950118882812497</v>
      </c>
      <c r="U56" s="4">
        <f t="shared" si="8"/>
        <v>19.902612938671872</v>
      </c>
      <c r="V56" s="4">
        <f t="shared" si="8"/>
        <v>20.234323154316396</v>
      </c>
      <c r="W56" s="4">
        <f t="shared" si="9"/>
        <v>4</v>
      </c>
      <c r="X56" s="4">
        <f t="shared" si="18"/>
        <v>3.8</v>
      </c>
      <c r="Y56" s="4">
        <f t="shared" si="27"/>
        <v>1.8049999999999999</v>
      </c>
      <c r="Z56" s="4">
        <f t="shared" si="26"/>
        <v>0.85737499999999989</v>
      </c>
      <c r="AA56" s="4">
        <f t="shared" si="19"/>
        <v>0.40725312499999994</v>
      </c>
      <c r="AB56" s="4">
        <f t="shared" si="20"/>
        <v>0.19344523437499997</v>
      </c>
      <c r="AC56" s="4">
        <f t="shared" si="21"/>
        <v>9.1886486328124975E-2</v>
      </c>
      <c r="AD56" s="4">
        <f t="shared" si="22"/>
        <v>4.3646081005859358E-2</v>
      </c>
      <c r="AE56" s="4">
        <f t="shared" si="23"/>
        <v>2.0731888477783195E-2</v>
      </c>
    </row>
    <row r="57" spans="1:31">
      <c r="A57">
        <f t="shared" si="28"/>
        <v>13</v>
      </c>
      <c r="B57">
        <f t="shared" si="0"/>
        <v>362</v>
      </c>
      <c r="C57">
        <f t="shared" si="1"/>
        <v>163</v>
      </c>
      <c r="D57">
        <f t="shared" si="4"/>
        <v>11</v>
      </c>
      <c r="E57">
        <f t="shared" si="11"/>
        <v>14.818181818181818</v>
      </c>
      <c r="F57">
        <f t="shared" si="25"/>
        <v>0.5</v>
      </c>
      <c r="G57">
        <f t="shared" si="2"/>
        <v>1</v>
      </c>
      <c r="H57" s="4">
        <f t="shared" si="12"/>
        <v>34.356657081328116</v>
      </c>
      <c r="I57">
        <f t="shared" si="13"/>
        <v>162.85665708132811</v>
      </c>
      <c r="J57">
        <f t="shared" si="5"/>
        <v>2961.0301287514199</v>
      </c>
      <c r="K57">
        <f t="shared" si="14"/>
        <v>5179610.25</v>
      </c>
      <c r="L57">
        <f t="shared" si="6"/>
        <v>163</v>
      </c>
      <c r="M57">
        <f t="shared" si="15"/>
        <v>128.5</v>
      </c>
      <c r="N57" s="4">
        <f t="shared" si="7"/>
        <v>30.5</v>
      </c>
      <c r="O57" s="4">
        <f t="shared" si="16"/>
        <v>28.974999999999998</v>
      </c>
      <c r="P57" s="4">
        <f t="shared" si="16"/>
        <v>27.526249999999997</v>
      </c>
      <c r="Q57" s="4">
        <f t="shared" si="16"/>
        <v>26.149937499999997</v>
      </c>
      <c r="R57" s="4">
        <f t="shared" si="16"/>
        <v>24.842440624999995</v>
      </c>
      <c r="S57" s="4">
        <f t="shared" si="17"/>
        <v>23.600318593749993</v>
      </c>
      <c r="T57" s="4">
        <f t="shared" si="8"/>
        <v>22.420302664062493</v>
      </c>
      <c r="U57" s="4">
        <f t="shared" si="8"/>
        <v>19.902612938671872</v>
      </c>
      <c r="V57" s="4">
        <f t="shared" si="8"/>
        <v>18.907482291738276</v>
      </c>
      <c r="W57" s="4">
        <f t="shared" si="9"/>
        <v>4</v>
      </c>
      <c r="X57" s="4">
        <f t="shared" si="18"/>
        <v>3.8</v>
      </c>
      <c r="Y57" s="4">
        <f t="shared" si="27"/>
        <v>1.8049999999999999</v>
      </c>
      <c r="Z57" s="4">
        <f t="shared" si="26"/>
        <v>0.85737499999999989</v>
      </c>
      <c r="AA57" s="4">
        <f t="shared" si="19"/>
        <v>0.40725312499999994</v>
      </c>
      <c r="AB57" s="4">
        <f t="shared" si="20"/>
        <v>0.19344523437499997</v>
      </c>
      <c r="AC57" s="4">
        <f t="shared" si="21"/>
        <v>9.1886486328124975E-2</v>
      </c>
      <c r="AD57" s="4">
        <f t="shared" si="22"/>
        <v>4.3646081005859358E-2</v>
      </c>
      <c r="AE57" s="4">
        <f t="shared" si="23"/>
        <v>2.0731888477783195E-2</v>
      </c>
    </row>
    <row r="58" spans="1:31">
      <c r="A58">
        <f t="shared" si="28"/>
        <v>14</v>
      </c>
      <c r="B58">
        <f t="shared" si="0"/>
        <v>363</v>
      </c>
      <c r="C58">
        <f t="shared" si="1"/>
        <v>164</v>
      </c>
      <c r="D58">
        <f t="shared" si="4"/>
        <v>11</v>
      </c>
      <c r="E58">
        <f t="shared" si="11"/>
        <v>14.909090909090908</v>
      </c>
      <c r="F58">
        <f t="shared" si="25"/>
        <v>0.5</v>
      </c>
      <c r="G58">
        <f t="shared" si="2"/>
        <v>1</v>
      </c>
      <c r="H58" s="4">
        <f t="shared" si="12"/>
        <v>33.103325407812441</v>
      </c>
      <c r="I58">
        <f t="shared" si="13"/>
        <v>161.60332540781243</v>
      </c>
      <c r="J58">
        <f t="shared" si="5"/>
        <v>2938.2422801420439</v>
      </c>
      <c r="K58">
        <f t="shared" si="14"/>
        <v>5211387</v>
      </c>
      <c r="L58">
        <f t="shared" si="6"/>
        <v>163</v>
      </c>
      <c r="M58">
        <f t="shared" si="15"/>
        <v>128.5</v>
      </c>
      <c r="N58" s="4">
        <f t="shared" si="7"/>
        <v>30.5</v>
      </c>
      <c r="O58" s="4">
        <f t="shared" si="16"/>
        <v>28.974999999999998</v>
      </c>
      <c r="P58" s="4">
        <f t="shared" si="16"/>
        <v>27.526249999999997</v>
      </c>
      <c r="Q58" s="4">
        <f t="shared" si="16"/>
        <v>26.149937499999997</v>
      </c>
      <c r="R58" s="4">
        <f t="shared" si="16"/>
        <v>24.842440624999995</v>
      </c>
      <c r="S58" s="4">
        <f t="shared" si="17"/>
        <v>23.600318593749993</v>
      </c>
      <c r="T58" s="4">
        <f t="shared" si="8"/>
        <v>22.420302664062493</v>
      </c>
      <c r="U58" s="4">
        <f t="shared" si="8"/>
        <v>21.299287530859367</v>
      </c>
      <c r="V58" s="4">
        <f t="shared" si="8"/>
        <v>18.907482291738276</v>
      </c>
      <c r="W58" s="4">
        <f t="shared" si="9"/>
        <v>4</v>
      </c>
      <c r="X58" s="4">
        <f t="shared" si="18"/>
        <v>3.8</v>
      </c>
      <c r="Y58" s="4">
        <f t="shared" si="27"/>
        <v>1.8049999999999999</v>
      </c>
      <c r="Z58" s="4">
        <f t="shared" si="26"/>
        <v>0.85737499999999989</v>
      </c>
      <c r="AA58" s="4">
        <f t="shared" si="19"/>
        <v>0.40725312499999994</v>
      </c>
      <c r="AB58" s="4">
        <f t="shared" si="20"/>
        <v>0.19344523437499997</v>
      </c>
      <c r="AC58" s="4">
        <f t="shared" si="21"/>
        <v>9.1886486328124975E-2</v>
      </c>
      <c r="AD58" s="4">
        <f t="shared" si="22"/>
        <v>4.3646081005859358E-2</v>
      </c>
      <c r="AE58" s="4">
        <f t="shared" si="23"/>
        <v>2.0731888477783195E-2</v>
      </c>
    </row>
    <row r="59" spans="1:31">
      <c r="A59">
        <f t="shared" ref="A59:A71" si="29">A58+1</f>
        <v>15</v>
      </c>
      <c r="B59">
        <f t="shared" si="0"/>
        <v>365</v>
      </c>
      <c r="C59">
        <f t="shared" si="1"/>
        <v>166</v>
      </c>
      <c r="D59">
        <f t="shared" si="4"/>
        <v>11</v>
      </c>
      <c r="E59">
        <f t="shared" si="11"/>
        <v>15.090909090909092</v>
      </c>
      <c r="F59">
        <f t="shared" si="25"/>
        <v>0.5</v>
      </c>
      <c r="G59">
        <f t="shared" si="2"/>
        <v>1</v>
      </c>
      <c r="H59" s="4">
        <f t="shared" si="12"/>
        <v>33.17315913742187</v>
      </c>
      <c r="I59">
        <f t="shared" si="13"/>
        <v>161.67315913742186</v>
      </c>
      <c r="J59">
        <f t="shared" si="5"/>
        <v>2939.5119843167608</v>
      </c>
      <c r="K59">
        <f t="shared" si="14"/>
        <v>5274940.5</v>
      </c>
      <c r="L59">
        <f t="shared" si="6"/>
        <v>164</v>
      </c>
      <c r="M59">
        <f t="shared" si="15"/>
        <v>128.5</v>
      </c>
      <c r="N59" s="4">
        <f t="shared" si="7"/>
        <v>30.5</v>
      </c>
      <c r="O59" s="4">
        <f t="shared" si="16"/>
        <v>28.974999999999998</v>
      </c>
      <c r="P59" s="4">
        <f t="shared" si="16"/>
        <v>27.526249999999997</v>
      </c>
      <c r="Q59" s="4">
        <f t="shared" si="16"/>
        <v>26.149937499999997</v>
      </c>
      <c r="R59" s="4">
        <f t="shared" si="16"/>
        <v>24.842440624999995</v>
      </c>
      <c r="S59" s="4">
        <f t="shared" si="17"/>
        <v>23.600318593749993</v>
      </c>
      <c r="T59" s="4">
        <f t="shared" si="8"/>
        <v>22.420302664062493</v>
      </c>
      <c r="U59" s="4">
        <f t="shared" si="8"/>
        <v>21.299287530859367</v>
      </c>
      <c r="V59" s="4">
        <f t="shared" si="8"/>
        <v>20.234323154316396</v>
      </c>
      <c r="W59" s="4">
        <f t="shared" si="9"/>
        <v>4</v>
      </c>
      <c r="X59" s="4">
        <f t="shared" si="18"/>
        <v>3.8</v>
      </c>
      <c r="Y59" s="4">
        <f t="shared" si="27"/>
        <v>1.8049999999999999</v>
      </c>
      <c r="Z59" s="4">
        <f t="shared" si="26"/>
        <v>0.85737499999999989</v>
      </c>
      <c r="AA59" s="4">
        <f t="shared" si="19"/>
        <v>0.40725312499999994</v>
      </c>
      <c r="AB59" s="4">
        <f t="shared" si="20"/>
        <v>0.19344523437499997</v>
      </c>
      <c r="AC59" s="4">
        <f t="shared" si="21"/>
        <v>9.1886486328124975E-2</v>
      </c>
      <c r="AD59" s="4">
        <f t="shared" si="22"/>
        <v>4.3646081005859358E-2</v>
      </c>
      <c r="AE59" s="4">
        <f t="shared" si="23"/>
        <v>2.0731888477783195E-2</v>
      </c>
    </row>
    <row r="60" spans="1:31">
      <c r="A60">
        <f t="shared" si="29"/>
        <v>16</v>
      </c>
      <c r="B60">
        <f t="shared" si="0"/>
        <v>366</v>
      </c>
      <c r="C60">
        <f t="shared" si="1"/>
        <v>166</v>
      </c>
      <c r="D60">
        <f t="shared" si="4"/>
        <v>11</v>
      </c>
      <c r="E60">
        <f t="shared" si="11"/>
        <v>15.090909090909092</v>
      </c>
      <c r="F60">
        <f t="shared" si="25"/>
        <v>0.5</v>
      </c>
      <c r="G60">
        <f t="shared" si="2"/>
        <v>1</v>
      </c>
      <c r="H60" s="4">
        <f t="shared" si="12"/>
        <v>34.499999999999979</v>
      </c>
      <c r="I60">
        <f t="shared" si="13"/>
        <v>163.99999999999997</v>
      </c>
      <c r="J60">
        <f t="shared" si="5"/>
        <v>2981.8181818181811</v>
      </c>
      <c r="K60">
        <f t="shared" si="14"/>
        <v>5274940.5</v>
      </c>
      <c r="L60">
        <f t="shared" si="6"/>
        <v>166</v>
      </c>
      <c r="M60">
        <f t="shared" si="15"/>
        <v>129.5</v>
      </c>
      <c r="N60" s="4">
        <f t="shared" si="7"/>
        <v>30.5</v>
      </c>
      <c r="O60" s="4">
        <f t="shared" si="16"/>
        <v>28.974999999999998</v>
      </c>
      <c r="P60" s="4">
        <f t="shared" si="16"/>
        <v>27.526249999999997</v>
      </c>
      <c r="Q60" s="4">
        <f t="shared" si="16"/>
        <v>26.149937499999997</v>
      </c>
      <c r="R60" s="4">
        <f t="shared" si="16"/>
        <v>24.842440624999995</v>
      </c>
      <c r="S60" s="4">
        <f t="shared" si="17"/>
        <v>23.600318593749993</v>
      </c>
      <c r="T60" s="4">
        <f t="shared" si="8"/>
        <v>22.420302664062493</v>
      </c>
      <c r="U60" s="4">
        <f t="shared" si="8"/>
        <v>21.299287530859367</v>
      </c>
      <c r="V60" s="4">
        <f t="shared" si="8"/>
        <v>20.234323154316396</v>
      </c>
      <c r="W60" s="4">
        <f t="shared" si="9"/>
        <v>4</v>
      </c>
      <c r="X60" s="4">
        <f t="shared" si="18"/>
        <v>3.8</v>
      </c>
      <c r="Y60" s="4">
        <f t="shared" si="27"/>
        <v>1.8049999999999999</v>
      </c>
      <c r="Z60" s="4">
        <f t="shared" si="26"/>
        <v>0.85737499999999989</v>
      </c>
      <c r="AA60" s="4">
        <f t="shared" si="19"/>
        <v>0.40725312499999994</v>
      </c>
      <c r="AB60" s="4">
        <f t="shared" si="20"/>
        <v>0.19344523437499997</v>
      </c>
      <c r="AC60" s="4">
        <f t="shared" si="21"/>
        <v>9.1886486328124975E-2</v>
      </c>
      <c r="AD60" s="4">
        <f t="shared" si="22"/>
        <v>4.3646081005859358E-2</v>
      </c>
      <c r="AE60" s="4">
        <f t="shared" si="23"/>
        <v>2.0731888477783195E-2</v>
      </c>
    </row>
    <row r="61" spans="1:31">
      <c r="A61">
        <f t="shared" si="29"/>
        <v>17</v>
      </c>
      <c r="B61">
        <f t="shared" si="0"/>
        <v>368</v>
      </c>
      <c r="C61">
        <f t="shared" si="1"/>
        <v>166</v>
      </c>
      <c r="D61">
        <f t="shared" si="4"/>
        <v>11</v>
      </c>
      <c r="E61">
        <f t="shared" si="11"/>
        <v>15.090909090909092</v>
      </c>
      <c r="F61">
        <f t="shared" si="25"/>
        <v>0.5</v>
      </c>
      <c r="G61">
        <f t="shared" si="2"/>
        <v>1</v>
      </c>
      <c r="H61" s="4">
        <f t="shared" si="12"/>
        <v>34.499999999999979</v>
      </c>
      <c r="I61">
        <f t="shared" si="13"/>
        <v>165.99999999999997</v>
      </c>
      <c r="J61">
        <f t="shared" si="5"/>
        <v>3018.1818181818176</v>
      </c>
      <c r="K61">
        <f t="shared" si="14"/>
        <v>5274940.5</v>
      </c>
      <c r="L61">
        <f t="shared" si="6"/>
        <v>166</v>
      </c>
      <c r="M61">
        <f t="shared" si="15"/>
        <v>131.5</v>
      </c>
      <c r="N61" s="4">
        <f t="shared" si="7"/>
        <v>30.5</v>
      </c>
      <c r="O61" s="4">
        <f t="shared" si="16"/>
        <v>28.974999999999998</v>
      </c>
      <c r="P61" s="4">
        <f t="shared" si="16"/>
        <v>27.526249999999997</v>
      </c>
      <c r="Q61" s="4">
        <f t="shared" si="16"/>
        <v>26.149937499999997</v>
      </c>
      <c r="R61" s="4">
        <f t="shared" si="16"/>
        <v>24.842440624999995</v>
      </c>
      <c r="S61" s="4">
        <f t="shared" si="17"/>
        <v>23.600318593749993</v>
      </c>
      <c r="T61" s="4">
        <f t="shared" si="17"/>
        <v>22.420302664062493</v>
      </c>
      <c r="U61" s="4">
        <f t="shared" si="17"/>
        <v>21.299287530859367</v>
      </c>
      <c r="V61" s="4">
        <f t="shared" si="17"/>
        <v>20.234323154316396</v>
      </c>
      <c r="W61" s="4">
        <f t="shared" si="9"/>
        <v>4</v>
      </c>
      <c r="X61" s="4">
        <f t="shared" si="18"/>
        <v>3.8</v>
      </c>
      <c r="Y61" s="4">
        <f t="shared" si="27"/>
        <v>1.8049999999999999</v>
      </c>
      <c r="Z61" s="4">
        <f t="shared" si="26"/>
        <v>0.85737499999999989</v>
      </c>
      <c r="AA61" s="4">
        <f t="shared" si="19"/>
        <v>0.40725312499999994</v>
      </c>
      <c r="AB61" s="4">
        <f t="shared" si="20"/>
        <v>0.19344523437499997</v>
      </c>
      <c r="AC61" s="4">
        <f t="shared" si="21"/>
        <v>9.1886486328124975E-2</v>
      </c>
      <c r="AD61" s="4">
        <f t="shared" si="22"/>
        <v>4.3646081005859358E-2</v>
      </c>
      <c r="AE61" s="4">
        <f t="shared" si="23"/>
        <v>2.0731888477783195E-2</v>
      </c>
    </row>
    <row r="62" spans="1:31">
      <c r="A62">
        <f t="shared" si="29"/>
        <v>18</v>
      </c>
      <c r="B62">
        <f t="shared" si="0"/>
        <v>368</v>
      </c>
      <c r="C62">
        <f t="shared" si="1"/>
        <v>166</v>
      </c>
      <c r="D62">
        <f t="shared" si="4"/>
        <v>11</v>
      </c>
      <c r="E62">
        <f t="shared" si="11"/>
        <v>15.090909090909092</v>
      </c>
      <c r="F62">
        <f t="shared" si="25"/>
        <v>0.5</v>
      </c>
      <c r="G62">
        <f t="shared" si="2"/>
        <v>1</v>
      </c>
      <c r="H62" s="4">
        <f t="shared" si="12"/>
        <v>34.499999999999979</v>
      </c>
      <c r="I62">
        <f t="shared" si="13"/>
        <v>165.99999999999997</v>
      </c>
      <c r="J62">
        <f t="shared" si="5"/>
        <v>3018.1818181818176</v>
      </c>
      <c r="K62">
        <f t="shared" si="14"/>
        <v>5274940.5</v>
      </c>
      <c r="L62">
        <f t="shared" si="6"/>
        <v>166</v>
      </c>
      <c r="M62">
        <f t="shared" si="15"/>
        <v>131.5</v>
      </c>
      <c r="N62" s="4">
        <f t="shared" si="7"/>
        <v>30.5</v>
      </c>
      <c r="O62" s="4">
        <f t="shared" si="16"/>
        <v>28.974999999999998</v>
      </c>
      <c r="P62" s="4">
        <f t="shared" si="16"/>
        <v>27.526249999999997</v>
      </c>
      <c r="Q62" s="4">
        <f t="shared" si="16"/>
        <v>26.149937499999997</v>
      </c>
      <c r="R62" s="4">
        <f t="shared" si="16"/>
        <v>24.842440624999995</v>
      </c>
      <c r="S62" s="4">
        <f t="shared" si="17"/>
        <v>23.600318593749993</v>
      </c>
      <c r="T62" s="4">
        <f t="shared" si="17"/>
        <v>22.420302664062493</v>
      </c>
      <c r="U62" s="4">
        <f t="shared" si="17"/>
        <v>21.299287530859367</v>
      </c>
      <c r="V62" s="4">
        <f t="shared" si="17"/>
        <v>20.234323154316396</v>
      </c>
      <c r="W62" s="4">
        <f t="shared" si="9"/>
        <v>4</v>
      </c>
      <c r="X62" s="4">
        <f t="shared" si="18"/>
        <v>3.8</v>
      </c>
      <c r="Y62" s="4">
        <f t="shared" si="27"/>
        <v>1.8049999999999999</v>
      </c>
      <c r="Z62" s="4">
        <f t="shared" si="26"/>
        <v>0.85737499999999989</v>
      </c>
      <c r="AA62" s="4">
        <f t="shared" si="19"/>
        <v>0.40725312499999994</v>
      </c>
      <c r="AB62" s="4">
        <f t="shared" si="20"/>
        <v>0.19344523437499997</v>
      </c>
      <c r="AC62" s="4">
        <f t="shared" si="21"/>
        <v>9.1886486328124975E-2</v>
      </c>
      <c r="AD62" s="4">
        <f t="shared" si="22"/>
        <v>4.3646081005859358E-2</v>
      </c>
      <c r="AE62" s="4">
        <f t="shared" si="23"/>
        <v>2.0731888477783195E-2</v>
      </c>
    </row>
    <row r="63" spans="1:31">
      <c r="A63">
        <f t="shared" si="29"/>
        <v>19</v>
      </c>
      <c r="B63">
        <f t="shared" si="0"/>
        <v>368</v>
      </c>
      <c r="C63">
        <f t="shared" si="1"/>
        <v>166</v>
      </c>
      <c r="D63">
        <f t="shared" si="4"/>
        <v>11</v>
      </c>
      <c r="E63">
        <f t="shared" si="11"/>
        <v>15.090909090909092</v>
      </c>
      <c r="F63">
        <f t="shared" si="25"/>
        <v>0.5</v>
      </c>
      <c r="G63">
        <f t="shared" si="2"/>
        <v>1</v>
      </c>
      <c r="H63" s="4">
        <f t="shared" si="12"/>
        <v>34.499999999999979</v>
      </c>
      <c r="I63">
        <f t="shared" si="13"/>
        <v>165.99999999999997</v>
      </c>
      <c r="J63">
        <f t="shared" si="5"/>
        <v>3018.1818181818176</v>
      </c>
      <c r="K63">
        <f t="shared" si="14"/>
        <v>5274940.5</v>
      </c>
      <c r="L63">
        <f t="shared" si="6"/>
        <v>166</v>
      </c>
      <c r="M63">
        <f t="shared" si="15"/>
        <v>131.5</v>
      </c>
      <c r="N63" s="4">
        <f t="shared" si="7"/>
        <v>30.5</v>
      </c>
      <c r="O63" s="4">
        <f t="shared" si="16"/>
        <v>28.974999999999998</v>
      </c>
      <c r="P63" s="4">
        <f t="shared" si="16"/>
        <v>27.526249999999997</v>
      </c>
      <c r="Q63" s="4">
        <f t="shared" si="16"/>
        <v>26.149937499999997</v>
      </c>
      <c r="R63" s="4">
        <f t="shared" si="16"/>
        <v>24.842440624999995</v>
      </c>
      <c r="S63" s="4">
        <f t="shared" si="17"/>
        <v>23.600318593749993</v>
      </c>
      <c r="T63" s="4">
        <f t="shared" si="17"/>
        <v>22.420302664062493</v>
      </c>
      <c r="U63" s="4">
        <f t="shared" si="17"/>
        <v>21.299287530859367</v>
      </c>
      <c r="V63" s="4">
        <f t="shared" si="17"/>
        <v>20.234323154316396</v>
      </c>
      <c r="W63" s="4">
        <f t="shared" si="9"/>
        <v>4</v>
      </c>
      <c r="X63" s="4">
        <f t="shared" si="18"/>
        <v>3.8</v>
      </c>
      <c r="Y63" s="4">
        <f t="shared" si="27"/>
        <v>1.8049999999999999</v>
      </c>
      <c r="Z63" s="4">
        <f t="shared" si="26"/>
        <v>0.85737499999999989</v>
      </c>
      <c r="AA63" s="4">
        <f t="shared" si="19"/>
        <v>0.40725312499999994</v>
      </c>
      <c r="AB63" s="4">
        <f t="shared" si="20"/>
        <v>0.19344523437499997</v>
      </c>
      <c r="AC63" s="4">
        <f t="shared" si="21"/>
        <v>9.1886486328124975E-2</v>
      </c>
      <c r="AD63" s="4">
        <f t="shared" si="22"/>
        <v>4.3646081005859358E-2</v>
      </c>
      <c r="AE63" s="4">
        <f t="shared" si="23"/>
        <v>2.0731888477783195E-2</v>
      </c>
    </row>
    <row r="64" spans="1:31">
      <c r="A64">
        <f t="shared" si="29"/>
        <v>20</v>
      </c>
      <c r="B64">
        <f t="shared" si="0"/>
        <v>368</v>
      </c>
      <c r="C64">
        <f t="shared" si="1"/>
        <v>166</v>
      </c>
      <c r="D64">
        <f t="shared" si="4"/>
        <v>11</v>
      </c>
      <c r="E64">
        <f t="shared" si="11"/>
        <v>15.090909090909092</v>
      </c>
      <c r="F64">
        <f t="shared" si="25"/>
        <v>0.5</v>
      </c>
      <c r="G64">
        <f t="shared" si="2"/>
        <v>1</v>
      </c>
      <c r="H64" s="4">
        <f t="shared" si="12"/>
        <v>34.499999999999979</v>
      </c>
      <c r="I64">
        <f t="shared" si="13"/>
        <v>165.99999999999997</v>
      </c>
      <c r="J64">
        <f t="shared" si="5"/>
        <v>3018.1818181818176</v>
      </c>
      <c r="K64">
        <f t="shared" si="14"/>
        <v>5274940.5</v>
      </c>
      <c r="L64">
        <f t="shared" si="6"/>
        <v>166</v>
      </c>
      <c r="M64">
        <f t="shared" si="15"/>
        <v>131.5</v>
      </c>
      <c r="N64" s="4">
        <f t="shared" si="7"/>
        <v>30.5</v>
      </c>
      <c r="O64" s="4">
        <f t="shared" si="16"/>
        <v>28.974999999999998</v>
      </c>
      <c r="P64" s="4">
        <f t="shared" si="16"/>
        <v>27.526249999999997</v>
      </c>
      <c r="Q64" s="4">
        <f t="shared" si="16"/>
        <v>26.149937499999997</v>
      </c>
      <c r="R64" s="4">
        <f t="shared" si="16"/>
        <v>24.842440624999995</v>
      </c>
      <c r="S64" s="4">
        <f t="shared" si="17"/>
        <v>23.600318593749993</v>
      </c>
      <c r="T64" s="4">
        <f t="shared" si="17"/>
        <v>22.420302664062493</v>
      </c>
      <c r="U64" s="4">
        <f t="shared" si="17"/>
        <v>21.299287530859367</v>
      </c>
      <c r="V64" s="4">
        <f t="shared" si="17"/>
        <v>20.234323154316396</v>
      </c>
      <c r="W64" s="4">
        <f t="shared" si="9"/>
        <v>4</v>
      </c>
      <c r="X64" s="4">
        <f t="shared" si="18"/>
        <v>3.8</v>
      </c>
      <c r="Y64" s="4">
        <f t="shared" si="27"/>
        <v>1.8049999999999999</v>
      </c>
      <c r="Z64" s="4">
        <f t="shared" si="26"/>
        <v>0.85737499999999989</v>
      </c>
      <c r="AA64" s="4">
        <f t="shared" si="19"/>
        <v>0.40725312499999994</v>
      </c>
      <c r="AB64" s="4">
        <f t="shared" si="20"/>
        <v>0.19344523437499997</v>
      </c>
      <c r="AC64" s="4">
        <f t="shared" si="21"/>
        <v>9.1886486328124975E-2</v>
      </c>
      <c r="AD64" s="4">
        <f t="shared" si="22"/>
        <v>4.3646081005859358E-2</v>
      </c>
      <c r="AE64" s="4">
        <f t="shared" si="23"/>
        <v>2.0731888477783195E-2</v>
      </c>
    </row>
    <row r="65" spans="1:31">
      <c r="A65">
        <f t="shared" si="29"/>
        <v>21</v>
      </c>
      <c r="B65">
        <f t="shared" si="0"/>
        <v>368</v>
      </c>
      <c r="C65">
        <f t="shared" si="1"/>
        <v>166</v>
      </c>
      <c r="D65">
        <f t="shared" si="4"/>
        <v>11</v>
      </c>
      <c r="E65">
        <f t="shared" si="11"/>
        <v>15.090909090909092</v>
      </c>
      <c r="F65">
        <f t="shared" si="25"/>
        <v>0.5</v>
      </c>
      <c r="G65">
        <f t="shared" si="2"/>
        <v>1</v>
      </c>
      <c r="H65" s="4">
        <f t="shared" si="12"/>
        <v>34.499999999999979</v>
      </c>
      <c r="I65">
        <f t="shared" si="13"/>
        <v>165.99999999999997</v>
      </c>
      <c r="J65">
        <f t="shared" si="5"/>
        <v>3018.1818181818176</v>
      </c>
      <c r="K65">
        <f t="shared" si="14"/>
        <v>5274940.5</v>
      </c>
      <c r="L65">
        <f t="shared" si="6"/>
        <v>166</v>
      </c>
      <c r="M65">
        <f t="shared" si="15"/>
        <v>131.5</v>
      </c>
      <c r="N65" s="4">
        <f t="shared" si="7"/>
        <v>30.5</v>
      </c>
      <c r="O65" s="4">
        <f t="shared" si="16"/>
        <v>28.974999999999998</v>
      </c>
      <c r="P65" s="4">
        <f t="shared" si="16"/>
        <v>27.526249999999997</v>
      </c>
      <c r="Q65" s="4">
        <f t="shared" si="16"/>
        <v>26.149937499999997</v>
      </c>
      <c r="R65" s="4">
        <f t="shared" si="16"/>
        <v>24.842440624999995</v>
      </c>
      <c r="S65" s="4">
        <f t="shared" si="17"/>
        <v>23.600318593749993</v>
      </c>
      <c r="T65" s="4">
        <f t="shared" si="17"/>
        <v>22.420302664062493</v>
      </c>
      <c r="U65" s="4">
        <f t="shared" si="17"/>
        <v>21.299287530859367</v>
      </c>
      <c r="V65" s="4">
        <f t="shared" si="17"/>
        <v>20.234323154316396</v>
      </c>
      <c r="W65" s="4">
        <f t="shared" si="9"/>
        <v>4</v>
      </c>
      <c r="X65" s="4">
        <f t="shared" si="18"/>
        <v>3.8</v>
      </c>
      <c r="Y65" s="4">
        <f t="shared" si="27"/>
        <v>1.8049999999999999</v>
      </c>
      <c r="Z65" s="4">
        <f t="shared" si="26"/>
        <v>0.85737499999999989</v>
      </c>
      <c r="AA65" s="4">
        <f t="shared" si="19"/>
        <v>0.40725312499999994</v>
      </c>
      <c r="AB65" s="4">
        <f t="shared" si="20"/>
        <v>0.19344523437499997</v>
      </c>
      <c r="AC65" s="4">
        <f t="shared" si="21"/>
        <v>9.1886486328124975E-2</v>
      </c>
      <c r="AD65" s="4">
        <f t="shared" si="22"/>
        <v>4.3646081005859358E-2</v>
      </c>
      <c r="AE65" s="4">
        <f t="shared" si="23"/>
        <v>2.0731888477783195E-2</v>
      </c>
    </row>
    <row r="66" spans="1:31">
      <c r="A66">
        <f t="shared" si="29"/>
        <v>22</v>
      </c>
      <c r="B66">
        <f t="shared" si="0"/>
        <v>368</v>
      </c>
      <c r="C66">
        <f t="shared" si="1"/>
        <v>166</v>
      </c>
      <c r="D66">
        <f t="shared" si="4"/>
        <v>11</v>
      </c>
      <c r="E66">
        <f t="shared" si="11"/>
        <v>15.090909090909092</v>
      </c>
      <c r="F66">
        <f t="shared" si="25"/>
        <v>0.5</v>
      </c>
      <c r="G66">
        <f t="shared" si="2"/>
        <v>1</v>
      </c>
      <c r="H66" s="4">
        <f t="shared" si="12"/>
        <v>34.499999999999979</v>
      </c>
      <c r="I66">
        <f t="shared" si="13"/>
        <v>165.99999999999997</v>
      </c>
      <c r="J66">
        <f t="shared" si="5"/>
        <v>3018.1818181818176</v>
      </c>
      <c r="K66">
        <f t="shared" si="14"/>
        <v>5274940.5</v>
      </c>
      <c r="L66">
        <f t="shared" si="6"/>
        <v>166</v>
      </c>
      <c r="M66">
        <f t="shared" si="15"/>
        <v>131.5</v>
      </c>
      <c r="N66" s="4">
        <f t="shared" si="7"/>
        <v>30.5</v>
      </c>
      <c r="O66" s="4">
        <f t="shared" si="16"/>
        <v>28.974999999999998</v>
      </c>
      <c r="P66" s="4">
        <f t="shared" si="16"/>
        <v>27.526249999999997</v>
      </c>
      <c r="Q66" s="4">
        <f t="shared" si="16"/>
        <v>26.149937499999997</v>
      </c>
      <c r="R66" s="4">
        <f t="shared" si="16"/>
        <v>24.842440624999995</v>
      </c>
      <c r="S66" s="4">
        <f t="shared" si="17"/>
        <v>23.600318593749993</v>
      </c>
      <c r="T66" s="4">
        <f t="shared" si="17"/>
        <v>22.420302664062493</v>
      </c>
      <c r="U66" s="4">
        <f t="shared" si="17"/>
        <v>21.299287530859367</v>
      </c>
      <c r="V66" s="4">
        <f t="shared" si="17"/>
        <v>20.234323154316396</v>
      </c>
      <c r="W66" s="4">
        <f t="shared" si="9"/>
        <v>4</v>
      </c>
      <c r="X66" s="4">
        <f t="shared" si="18"/>
        <v>3.8</v>
      </c>
      <c r="Y66" s="4">
        <f t="shared" si="27"/>
        <v>1.8049999999999999</v>
      </c>
      <c r="Z66" s="4">
        <f t="shared" si="26"/>
        <v>0.85737499999999989</v>
      </c>
      <c r="AA66" s="4">
        <f t="shared" si="19"/>
        <v>0.40725312499999994</v>
      </c>
      <c r="AB66" s="4">
        <f t="shared" si="20"/>
        <v>0.19344523437499997</v>
      </c>
      <c r="AC66" s="4">
        <f t="shared" si="21"/>
        <v>9.1886486328124975E-2</v>
      </c>
      <c r="AD66" s="4">
        <f t="shared" si="22"/>
        <v>4.3646081005859358E-2</v>
      </c>
      <c r="AE66" s="4">
        <f t="shared" si="23"/>
        <v>2.0731888477783195E-2</v>
      </c>
    </row>
    <row r="67" spans="1:31">
      <c r="A67">
        <f t="shared" si="29"/>
        <v>23</v>
      </c>
      <c r="B67">
        <f t="shared" si="0"/>
        <v>368</v>
      </c>
      <c r="C67">
        <f t="shared" si="1"/>
        <v>166</v>
      </c>
      <c r="D67">
        <f t="shared" si="4"/>
        <v>11</v>
      </c>
      <c r="E67">
        <f t="shared" si="11"/>
        <v>15.090909090909092</v>
      </c>
      <c r="F67">
        <f t="shared" si="25"/>
        <v>0.5</v>
      </c>
      <c r="G67">
        <f t="shared" si="2"/>
        <v>1</v>
      </c>
      <c r="H67" s="4">
        <f t="shared" si="12"/>
        <v>34.499999999999979</v>
      </c>
      <c r="I67">
        <f t="shared" si="13"/>
        <v>165.99999999999997</v>
      </c>
      <c r="J67">
        <f t="shared" si="5"/>
        <v>3018.1818181818176</v>
      </c>
      <c r="K67">
        <f t="shared" si="14"/>
        <v>5274940.5</v>
      </c>
      <c r="L67">
        <f t="shared" si="6"/>
        <v>166</v>
      </c>
      <c r="M67">
        <f t="shared" si="15"/>
        <v>131.5</v>
      </c>
      <c r="N67" s="4">
        <f t="shared" si="7"/>
        <v>30.5</v>
      </c>
      <c r="O67" s="4">
        <f t="shared" si="16"/>
        <v>28.974999999999998</v>
      </c>
      <c r="P67" s="4">
        <f t="shared" si="16"/>
        <v>27.526249999999997</v>
      </c>
      <c r="Q67" s="4">
        <f t="shared" si="16"/>
        <v>26.149937499999997</v>
      </c>
      <c r="R67" s="4">
        <f t="shared" si="16"/>
        <v>24.842440624999995</v>
      </c>
      <c r="S67" s="4">
        <f t="shared" si="17"/>
        <v>23.600318593749993</v>
      </c>
      <c r="T67" s="4">
        <f t="shared" si="17"/>
        <v>22.420302664062493</v>
      </c>
      <c r="U67" s="4">
        <f t="shared" si="17"/>
        <v>21.299287530859367</v>
      </c>
      <c r="V67" s="4">
        <f t="shared" si="17"/>
        <v>20.234323154316396</v>
      </c>
      <c r="W67" s="4">
        <f t="shared" si="9"/>
        <v>4</v>
      </c>
      <c r="X67" s="4">
        <f t="shared" si="18"/>
        <v>3.8</v>
      </c>
      <c r="Y67" s="4">
        <f t="shared" si="27"/>
        <v>1.8049999999999999</v>
      </c>
      <c r="Z67" s="4">
        <f t="shared" si="26"/>
        <v>0.85737499999999989</v>
      </c>
      <c r="AA67" s="4">
        <f t="shared" si="19"/>
        <v>0.40725312499999994</v>
      </c>
      <c r="AB67" s="4">
        <f t="shared" si="20"/>
        <v>0.19344523437499997</v>
      </c>
      <c r="AC67" s="4">
        <f t="shared" si="21"/>
        <v>9.1886486328124975E-2</v>
      </c>
      <c r="AD67" s="4">
        <f t="shared" si="22"/>
        <v>4.3646081005859358E-2</v>
      </c>
      <c r="AE67" s="4">
        <f t="shared" si="23"/>
        <v>2.0731888477783195E-2</v>
      </c>
    </row>
    <row r="68" spans="1:31">
      <c r="A68">
        <f t="shared" si="29"/>
        <v>24</v>
      </c>
      <c r="B68">
        <f t="shared" si="0"/>
        <v>368</v>
      </c>
      <c r="C68">
        <f t="shared" si="1"/>
        <v>166</v>
      </c>
      <c r="D68">
        <f t="shared" si="4"/>
        <v>11</v>
      </c>
      <c r="E68">
        <f t="shared" si="11"/>
        <v>15.090909090909092</v>
      </c>
      <c r="F68">
        <f t="shared" si="25"/>
        <v>0.5</v>
      </c>
      <c r="G68">
        <f t="shared" si="2"/>
        <v>1</v>
      </c>
      <c r="H68" s="4">
        <f t="shared" si="12"/>
        <v>34.499999999999979</v>
      </c>
      <c r="I68">
        <f t="shared" si="13"/>
        <v>165.99999999999997</v>
      </c>
      <c r="J68">
        <f t="shared" si="5"/>
        <v>3018.1818181818176</v>
      </c>
      <c r="K68">
        <f t="shared" si="14"/>
        <v>5274940.5</v>
      </c>
      <c r="L68">
        <f t="shared" si="6"/>
        <v>166</v>
      </c>
      <c r="M68">
        <f t="shared" si="15"/>
        <v>131.5</v>
      </c>
      <c r="N68" s="4">
        <f t="shared" si="7"/>
        <v>30.5</v>
      </c>
      <c r="O68" s="4">
        <f t="shared" si="16"/>
        <v>28.974999999999998</v>
      </c>
      <c r="P68" s="4">
        <f t="shared" si="16"/>
        <v>27.526249999999997</v>
      </c>
      <c r="Q68" s="4">
        <f t="shared" si="16"/>
        <v>26.149937499999997</v>
      </c>
      <c r="R68" s="4">
        <f t="shared" si="16"/>
        <v>24.842440624999995</v>
      </c>
      <c r="S68" s="4">
        <f t="shared" si="17"/>
        <v>23.600318593749993</v>
      </c>
      <c r="T68" s="4">
        <f t="shared" si="17"/>
        <v>22.420302664062493</v>
      </c>
      <c r="U68" s="4">
        <f t="shared" si="17"/>
        <v>21.299287530859367</v>
      </c>
      <c r="V68" s="4">
        <f t="shared" si="17"/>
        <v>20.234323154316396</v>
      </c>
      <c r="W68" s="4">
        <f t="shared" si="9"/>
        <v>4</v>
      </c>
      <c r="X68" s="4">
        <f t="shared" si="18"/>
        <v>3.8</v>
      </c>
      <c r="Y68" s="4">
        <f t="shared" si="27"/>
        <v>1.8049999999999999</v>
      </c>
      <c r="Z68" s="4">
        <f t="shared" si="26"/>
        <v>0.85737499999999989</v>
      </c>
      <c r="AA68" s="4">
        <f t="shared" si="19"/>
        <v>0.40725312499999994</v>
      </c>
      <c r="AB68" s="4">
        <f t="shared" si="20"/>
        <v>0.19344523437499997</v>
      </c>
      <c r="AC68" s="4">
        <f t="shared" si="21"/>
        <v>9.1886486328124975E-2</v>
      </c>
      <c r="AD68" s="4">
        <f t="shared" si="22"/>
        <v>4.3646081005859358E-2</v>
      </c>
      <c r="AE68" s="4">
        <f t="shared" si="23"/>
        <v>2.0731888477783195E-2</v>
      </c>
    </row>
    <row r="69" spans="1:31">
      <c r="A69">
        <f t="shared" si="29"/>
        <v>25</v>
      </c>
      <c r="B69">
        <f t="shared" si="0"/>
        <v>368</v>
      </c>
      <c r="C69">
        <f t="shared" si="1"/>
        <v>166</v>
      </c>
      <c r="D69">
        <f t="shared" si="4"/>
        <v>11</v>
      </c>
      <c r="E69">
        <f t="shared" si="11"/>
        <v>15.090909090909092</v>
      </c>
      <c r="F69">
        <f t="shared" si="25"/>
        <v>0.5</v>
      </c>
      <c r="G69">
        <f t="shared" si="2"/>
        <v>1</v>
      </c>
      <c r="H69" s="4">
        <f t="shared" si="12"/>
        <v>34.499999999999979</v>
      </c>
      <c r="I69">
        <f t="shared" si="13"/>
        <v>165.99999999999997</v>
      </c>
      <c r="J69">
        <f t="shared" si="5"/>
        <v>3018.1818181818176</v>
      </c>
      <c r="K69">
        <f t="shared" si="14"/>
        <v>5274940.5</v>
      </c>
      <c r="L69">
        <f t="shared" si="6"/>
        <v>166</v>
      </c>
      <c r="M69">
        <f t="shared" si="15"/>
        <v>131.5</v>
      </c>
      <c r="N69" s="4">
        <f t="shared" si="7"/>
        <v>30.5</v>
      </c>
      <c r="O69" s="4">
        <f t="shared" si="16"/>
        <v>28.974999999999998</v>
      </c>
      <c r="P69" s="4">
        <f t="shared" si="16"/>
        <v>27.526249999999997</v>
      </c>
      <c r="Q69" s="4">
        <f t="shared" si="16"/>
        <v>26.149937499999997</v>
      </c>
      <c r="R69" s="4">
        <f t="shared" si="16"/>
        <v>24.842440624999995</v>
      </c>
      <c r="S69" s="4">
        <f t="shared" si="17"/>
        <v>23.600318593749993</v>
      </c>
      <c r="T69" s="4">
        <f t="shared" si="17"/>
        <v>22.420302664062493</v>
      </c>
      <c r="U69" s="4">
        <f t="shared" si="17"/>
        <v>21.299287530859367</v>
      </c>
      <c r="V69" s="4">
        <f t="shared" si="17"/>
        <v>20.234323154316396</v>
      </c>
      <c r="W69" s="4">
        <f t="shared" si="9"/>
        <v>4</v>
      </c>
      <c r="X69" s="4">
        <f t="shared" si="18"/>
        <v>3.8</v>
      </c>
      <c r="Y69" s="4">
        <f t="shared" si="27"/>
        <v>1.8049999999999999</v>
      </c>
      <c r="Z69" s="4">
        <f t="shared" si="26"/>
        <v>0.85737499999999989</v>
      </c>
      <c r="AA69" s="4">
        <f t="shared" si="19"/>
        <v>0.40725312499999994</v>
      </c>
      <c r="AB69" s="4">
        <f t="shared" si="20"/>
        <v>0.19344523437499997</v>
      </c>
      <c r="AC69" s="4">
        <f t="shared" si="21"/>
        <v>9.1886486328124975E-2</v>
      </c>
      <c r="AD69" s="4">
        <f t="shared" si="22"/>
        <v>4.3646081005859358E-2</v>
      </c>
      <c r="AE69" s="4">
        <f t="shared" si="23"/>
        <v>2.0731888477783195E-2</v>
      </c>
    </row>
    <row r="70" spans="1:31">
      <c r="A70">
        <f t="shared" si="29"/>
        <v>26</v>
      </c>
      <c r="B70">
        <f t="shared" si="0"/>
        <v>368</v>
      </c>
      <c r="C70">
        <f t="shared" si="1"/>
        <v>166</v>
      </c>
      <c r="D70">
        <f t="shared" si="4"/>
        <v>11</v>
      </c>
      <c r="E70">
        <f t="shared" si="11"/>
        <v>15.090909090909092</v>
      </c>
      <c r="F70">
        <f t="shared" si="25"/>
        <v>0.5</v>
      </c>
      <c r="G70">
        <f t="shared" si="2"/>
        <v>1</v>
      </c>
      <c r="H70" s="4">
        <f t="shared" si="12"/>
        <v>34.499999999999979</v>
      </c>
      <c r="I70">
        <f t="shared" si="13"/>
        <v>165.99999999999997</v>
      </c>
      <c r="J70">
        <f t="shared" si="5"/>
        <v>3018.1818181818176</v>
      </c>
      <c r="K70">
        <f t="shared" si="14"/>
        <v>5274940.5</v>
      </c>
      <c r="L70">
        <f t="shared" si="6"/>
        <v>166</v>
      </c>
      <c r="M70">
        <f t="shared" si="15"/>
        <v>131.5</v>
      </c>
      <c r="N70" s="4">
        <f t="shared" si="7"/>
        <v>30.5</v>
      </c>
      <c r="O70" s="4">
        <f t="shared" si="16"/>
        <v>28.974999999999998</v>
      </c>
      <c r="P70" s="4">
        <f t="shared" si="16"/>
        <v>27.526249999999997</v>
      </c>
      <c r="Q70" s="4">
        <f t="shared" si="16"/>
        <v>26.149937499999997</v>
      </c>
      <c r="R70" s="4">
        <f t="shared" si="16"/>
        <v>24.842440624999995</v>
      </c>
      <c r="S70" s="4">
        <f t="shared" si="17"/>
        <v>23.600318593749993</v>
      </c>
      <c r="T70" s="4">
        <f t="shared" si="17"/>
        <v>22.420302664062493</v>
      </c>
      <c r="U70" s="4">
        <f t="shared" si="17"/>
        <v>21.299287530859367</v>
      </c>
      <c r="V70" s="4">
        <f t="shared" si="17"/>
        <v>20.234323154316396</v>
      </c>
      <c r="W70" s="4">
        <f t="shared" si="9"/>
        <v>4</v>
      </c>
      <c r="X70" s="4">
        <f t="shared" si="18"/>
        <v>3.8</v>
      </c>
      <c r="Y70" s="4">
        <f t="shared" si="27"/>
        <v>1.8049999999999999</v>
      </c>
      <c r="Z70" s="4">
        <f t="shared" si="26"/>
        <v>0.85737499999999989</v>
      </c>
      <c r="AA70" s="4">
        <f t="shared" si="19"/>
        <v>0.40725312499999994</v>
      </c>
      <c r="AB70" s="4">
        <f t="shared" si="20"/>
        <v>0.19344523437499997</v>
      </c>
      <c r="AC70" s="4">
        <f t="shared" si="21"/>
        <v>9.1886486328124975E-2</v>
      </c>
      <c r="AD70" s="4">
        <f t="shared" si="22"/>
        <v>4.3646081005859358E-2</v>
      </c>
      <c r="AE70" s="4">
        <f t="shared" si="23"/>
        <v>2.0731888477783195E-2</v>
      </c>
    </row>
    <row r="71" spans="1:31">
      <c r="A71">
        <f t="shared" si="29"/>
        <v>27</v>
      </c>
      <c r="B71">
        <f t="shared" si="0"/>
        <v>368</v>
      </c>
      <c r="C71">
        <f t="shared" si="1"/>
        <v>166</v>
      </c>
      <c r="D71">
        <f t="shared" si="4"/>
        <v>11</v>
      </c>
      <c r="E71">
        <f t="shared" si="11"/>
        <v>15.090909090909092</v>
      </c>
      <c r="F71">
        <f t="shared" si="25"/>
        <v>0.5</v>
      </c>
      <c r="G71">
        <f t="shared" si="2"/>
        <v>1</v>
      </c>
      <c r="H71" s="4">
        <f t="shared" si="12"/>
        <v>34.499999999999979</v>
      </c>
      <c r="I71">
        <f t="shared" si="13"/>
        <v>165.99999999999997</v>
      </c>
      <c r="J71">
        <f t="shared" si="5"/>
        <v>3018.1818181818176</v>
      </c>
      <c r="K71">
        <f t="shared" si="14"/>
        <v>5274940.5</v>
      </c>
      <c r="L71">
        <f t="shared" si="6"/>
        <v>166</v>
      </c>
      <c r="M71">
        <f t="shared" si="15"/>
        <v>131.5</v>
      </c>
      <c r="N71" s="4">
        <f t="shared" si="7"/>
        <v>30.5</v>
      </c>
      <c r="O71" s="4">
        <f t="shared" si="16"/>
        <v>28.974999999999998</v>
      </c>
      <c r="P71" s="4">
        <f t="shared" si="16"/>
        <v>27.526249999999997</v>
      </c>
      <c r="Q71" s="4">
        <f t="shared" si="16"/>
        <v>26.149937499999997</v>
      </c>
      <c r="R71" s="4">
        <f t="shared" si="16"/>
        <v>24.842440624999995</v>
      </c>
      <c r="S71" s="4">
        <f t="shared" si="17"/>
        <v>23.600318593749993</v>
      </c>
      <c r="T71" s="4">
        <f t="shared" si="17"/>
        <v>22.420302664062493</v>
      </c>
      <c r="U71" s="4">
        <f t="shared" si="17"/>
        <v>21.299287530859367</v>
      </c>
      <c r="V71" s="4">
        <f t="shared" si="17"/>
        <v>20.234323154316396</v>
      </c>
      <c r="W71" s="4">
        <f t="shared" si="9"/>
        <v>4</v>
      </c>
      <c r="X71" s="4">
        <f t="shared" si="18"/>
        <v>3.8</v>
      </c>
      <c r="Y71" s="4">
        <f t="shared" si="27"/>
        <v>1.8049999999999999</v>
      </c>
      <c r="Z71" s="4">
        <f t="shared" si="26"/>
        <v>0.85737499999999989</v>
      </c>
      <c r="AA71" s="4">
        <f t="shared" si="19"/>
        <v>0.40725312499999994</v>
      </c>
      <c r="AB71" s="4">
        <f t="shared" si="20"/>
        <v>0.19344523437499997</v>
      </c>
      <c r="AC71" s="4">
        <f t="shared" si="21"/>
        <v>9.1886486328124975E-2</v>
      </c>
      <c r="AD71" s="4">
        <f t="shared" si="22"/>
        <v>4.3646081005859358E-2</v>
      </c>
      <c r="AE71" s="4">
        <f t="shared" si="23"/>
        <v>2.0731888477783195E-2</v>
      </c>
    </row>
    <row r="72" spans="1:31">
      <c r="A72">
        <f t="shared" ref="A72:A75" si="30">A71+1</f>
        <v>28</v>
      </c>
      <c r="B72">
        <f t="shared" si="0"/>
        <v>368</v>
      </c>
      <c r="C72">
        <f t="shared" si="1"/>
        <v>166</v>
      </c>
      <c r="D72">
        <f t="shared" si="4"/>
        <v>11</v>
      </c>
      <c r="E72">
        <f t="shared" si="11"/>
        <v>15.090909090909092</v>
      </c>
      <c r="F72">
        <f t="shared" si="25"/>
        <v>0.5</v>
      </c>
      <c r="G72">
        <f t="shared" si="2"/>
        <v>1</v>
      </c>
      <c r="H72" s="4">
        <f t="shared" si="12"/>
        <v>34.499999999999979</v>
      </c>
      <c r="I72">
        <f t="shared" si="13"/>
        <v>165.99999999999997</v>
      </c>
      <c r="J72">
        <f t="shared" si="5"/>
        <v>3018.1818181818176</v>
      </c>
      <c r="K72">
        <f t="shared" si="14"/>
        <v>5274940.5</v>
      </c>
      <c r="L72">
        <f t="shared" si="6"/>
        <v>166</v>
      </c>
      <c r="M72">
        <f t="shared" si="15"/>
        <v>131.5</v>
      </c>
      <c r="N72" s="4">
        <f t="shared" si="7"/>
        <v>30.5</v>
      </c>
      <c r="O72" s="4">
        <f t="shared" si="16"/>
        <v>28.974999999999998</v>
      </c>
      <c r="P72" s="4">
        <f t="shared" si="16"/>
        <v>27.526249999999997</v>
      </c>
      <c r="Q72" s="4">
        <f t="shared" si="16"/>
        <v>26.149937499999997</v>
      </c>
      <c r="R72" s="4">
        <f t="shared" si="16"/>
        <v>24.842440624999995</v>
      </c>
      <c r="S72" s="4">
        <f t="shared" si="17"/>
        <v>23.600318593749993</v>
      </c>
      <c r="T72" s="4">
        <f t="shared" si="17"/>
        <v>22.420302664062493</v>
      </c>
      <c r="U72" s="4">
        <f t="shared" si="17"/>
        <v>21.299287530859367</v>
      </c>
      <c r="V72" s="4">
        <f t="shared" si="17"/>
        <v>20.234323154316396</v>
      </c>
      <c r="W72" s="4">
        <f t="shared" si="9"/>
        <v>4</v>
      </c>
      <c r="X72" s="4">
        <f t="shared" si="18"/>
        <v>3.8</v>
      </c>
      <c r="Y72" s="4">
        <f t="shared" si="27"/>
        <v>1.8049999999999999</v>
      </c>
      <c r="Z72" s="4">
        <f t="shared" si="26"/>
        <v>0.85737499999999989</v>
      </c>
      <c r="AA72" s="4">
        <f t="shared" si="19"/>
        <v>0.40725312499999994</v>
      </c>
      <c r="AB72" s="4">
        <f t="shared" si="20"/>
        <v>0.19344523437499997</v>
      </c>
      <c r="AC72" s="4">
        <f t="shared" si="21"/>
        <v>9.1886486328124975E-2</v>
      </c>
      <c r="AD72" s="4">
        <f t="shared" si="22"/>
        <v>4.3646081005859358E-2</v>
      </c>
      <c r="AE72" s="4">
        <f t="shared" si="23"/>
        <v>2.0731888477783195E-2</v>
      </c>
    </row>
    <row r="73" spans="1:31">
      <c r="A73">
        <f t="shared" si="30"/>
        <v>29</v>
      </c>
      <c r="B73">
        <f t="shared" si="0"/>
        <v>368</v>
      </c>
      <c r="C73">
        <f t="shared" si="1"/>
        <v>166</v>
      </c>
      <c r="D73">
        <f t="shared" si="4"/>
        <v>11</v>
      </c>
      <c r="E73">
        <f t="shared" si="11"/>
        <v>15.090909090909092</v>
      </c>
      <c r="F73">
        <f t="shared" si="25"/>
        <v>0.5</v>
      </c>
      <c r="G73">
        <f t="shared" si="2"/>
        <v>1</v>
      </c>
      <c r="H73" s="4">
        <f t="shared" si="12"/>
        <v>34.499999999999979</v>
      </c>
      <c r="I73">
        <f t="shared" si="13"/>
        <v>165.99999999999997</v>
      </c>
      <c r="J73">
        <f t="shared" si="5"/>
        <v>3018.1818181818176</v>
      </c>
      <c r="K73">
        <f t="shared" si="14"/>
        <v>5274940.5</v>
      </c>
      <c r="L73">
        <f t="shared" si="6"/>
        <v>166</v>
      </c>
      <c r="M73">
        <f t="shared" si="15"/>
        <v>131.5</v>
      </c>
      <c r="N73" s="4">
        <f t="shared" si="7"/>
        <v>30.5</v>
      </c>
      <c r="O73" s="4">
        <f t="shared" si="16"/>
        <v>28.974999999999998</v>
      </c>
      <c r="P73" s="4">
        <f t="shared" si="16"/>
        <v>27.526249999999997</v>
      </c>
      <c r="Q73" s="4">
        <f t="shared" si="16"/>
        <v>26.149937499999997</v>
      </c>
      <c r="R73" s="4">
        <f t="shared" si="16"/>
        <v>24.842440624999995</v>
      </c>
      <c r="S73" s="4">
        <f t="shared" si="17"/>
        <v>23.600318593749993</v>
      </c>
      <c r="T73" s="4">
        <f t="shared" si="17"/>
        <v>22.420302664062493</v>
      </c>
      <c r="U73" s="4">
        <f t="shared" si="17"/>
        <v>21.299287530859367</v>
      </c>
      <c r="V73" s="4">
        <f t="shared" si="17"/>
        <v>20.234323154316396</v>
      </c>
      <c r="W73" s="4">
        <f t="shared" si="9"/>
        <v>4</v>
      </c>
      <c r="X73" s="4">
        <f t="shared" si="18"/>
        <v>3.8</v>
      </c>
      <c r="Y73" s="4">
        <f t="shared" si="27"/>
        <v>1.8049999999999999</v>
      </c>
      <c r="Z73" s="4">
        <f t="shared" si="26"/>
        <v>0.85737499999999989</v>
      </c>
      <c r="AA73" s="4">
        <f t="shared" si="19"/>
        <v>0.40725312499999994</v>
      </c>
      <c r="AB73" s="4">
        <f t="shared" si="20"/>
        <v>0.19344523437499997</v>
      </c>
      <c r="AC73" s="4">
        <f t="shared" si="21"/>
        <v>9.1886486328124975E-2</v>
      </c>
      <c r="AD73" s="4">
        <f t="shared" si="22"/>
        <v>4.3646081005859358E-2</v>
      </c>
      <c r="AE73" s="4">
        <f t="shared" si="23"/>
        <v>2.0731888477783195E-2</v>
      </c>
    </row>
    <row r="74" spans="1:31">
      <c r="A74">
        <f t="shared" si="30"/>
        <v>30</v>
      </c>
      <c r="B74">
        <f t="shared" si="0"/>
        <v>368</v>
      </c>
      <c r="C74">
        <f t="shared" si="1"/>
        <v>166</v>
      </c>
      <c r="D74">
        <f t="shared" si="4"/>
        <v>11</v>
      </c>
      <c r="E74">
        <f t="shared" si="11"/>
        <v>15.090909090909092</v>
      </c>
      <c r="F74">
        <f t="shared" si="25"/>
        <v>0.5</v>
      </c>
      <c r="G74">
        <f t="shared" si="2"/>
        <v>1</v>
      </c>
      <c r="H74" s="4">
        <f t="shared" si="12"/>
        <v>34.499999999999979</v>
      </c>
      <c r="I74">
        <f t="shared" si="13"/>
        <v>165.99999999999997</v>
      </c>
      <c r="J74">
        <f t="shared" si="5"/>
        <v>3018.1818181818176</v>
      </c>
      <c r="K74">
        <f t="shared" si="14"/>
        <v>5274940.5</v>
      </c>
      <c r="L74">
        <f t="shared" si="6"/>
        <v>166</v>
      </c>
      <c r="M74">
        <f t="shared" si="15"/>
        <v>131.5</v>
      </c>
      <c r="N74" s="4">
        <f t="shared" si="7"/>
        <v>30.5</v>
      </c>
      <c r="O74" s="4">
        <f t="shared" si="16"/>
        <v>28.974999999999998</v>
      </c>
      <c r="P74" s="4">
        <f t="shared" si="16"/>
        <v>27.526249999999997</v>
      </c>
      <c r="Q74" s="4">
        <f t="shared" si="16"/>
        <v>26.149937499999997</v>
      </c>
      <c r="R74" s="4">
        <f t="shared" si="16"/>
        <v>24.842440624999995</v>
      </c>
      <c r="S74" s="4">
        <f t="shared" si="17"/>
        <v>23.600318593749993</v>
      </c>
      <c r="T74" s="4">
        <f t="shared" si="17"/>
        <v>22.420302664062493</v>
      </c>
      <c r="U74" s="4">
        <f t="shared" si="17"/>
        <v>21.299287530859367</v>
      </c>
      <c r="V74" s="4">
        <f t="shared" si="17"/>
        <v>20.234323154316396</v>
      </c>
      <c r="W74" s="4">
        <f t="shared" si="9"/>
        <v>4</v>
      </c>
      <c r="X74" s="4">
        <f t="shared" si="18"/>
        <v>3.8</v>
      </c>
      <c r="Y74" s="4">
        <f t="shared" si="27"/>
        <v>1.8049999999999999</v>
      </c>
      <c r="Z74" s="4">
        <f t="shared" si="26"/>
        <v>0.85737499999999989</v>
      </c>
      <c r="AA74" s="4">
        <f t="shared" si="19"/>
        <v>0.40725312499999994</v>
      </c>
      <c r="AB74" s="4">
        <f t="shared" si="20"/>
        <v>0.19344523437499997</v>
      </c>
      <c r="AC74" s="4">
        <f t="shared" si="21"/>
        <v>9.1886486328124975E-2</v>
      </c>
      <c r="AD74" s="4">
        <f t="shared" si="22"/>
        <v>4.3646081005859358E-2</v>
      </c>
      <c r="AE74" s="4">
        <f t="shared" si="23"/>
        <v>2.0731888477783195E-2</v>
      </c>
    </row>
    <row r="75" spans="1:31">
      <c r="A75">
        <f t="shared" si="30"/>
        <v>31</v>
      </c>
      <c r="B75">
        <f t="shared" si="0"/>
        <v>368</v>
      </c>
      <c r="C75">
        <f t="shared" si="1"/>
        <v>166</v>
      </c>
      <c r="D75">
        <f t="shared" si="4"/>
        <v>11</v>
      </c>
      <c r="E75">
        <f t="shared" si="11"/>
        <v>15.090909090909092</v>
      </c>
      <c r="F75">
        <f t="shared" si="25"/>
        <v>0.5</v>
      </c>
      <c r="G75">
        <f t="shared" si="2"/>
        <v>1</v>
      </c>
      <c r="H75" s="4">
        <f t="shared" si="12"/>
        <v>34.499999999999979</v>
      </c>
      <c r="I75">
        <f t="shared" si="13"/>
        <v>165.99999999999997</v>
      </c>
      <c r="J75">
        <f t="shared" si="5"/>
        <v>3018.1818181818176</v>
      </c>
      <c r="K75">
        <f t="shared" si="14"/>
        <v>5274940.5</v>
      </c>
      <c r="L75">
        <f t="shared" si="6"/>
        <v>166</v>
      </c>
      <c r="M75">
        <f t="shared" si="15"/>
        <v>131.5</v>
      </c>
      <c r="N75" s="4">
        <f t="shared" si="7"/>
        <v>30.5</v>
      </c>
      <c r="O75" s="4">
        <f t="shared" si="16"/>
        <v>28.974999999999998</v>
      </c>
      <c r="P75" s="4">
        <f t="shared" si="16"/>
        <v>27.526249999999997</v>
      </c>
      <c r="Q75" s="4">
        <f t="shared" si="16"/>
        <v>26.149937499999997</v>
      </c>
      <c r="R75" s="4">
        <f t="shared" si="16"/>
        <v>24.842440624999995</v>
      </c>
      <c r="S75" s="4">
        <f t="shared" si="17"/>
        <v>23.600318593749993</v>
      </c>
      <c r="T75" s="4">
        <f t="shared" si="17"/>
        <v>22.420302664062493</v>
      </c>
      <c r="U75" s="4">
        <f t="shared" si="17"/>
        <v>21.299287530859367</v>
      </c>
      <c r="V75" s="4">
        <f t="shared" si="17"/>
        <v>20.234323154316396</v>
      </c>
      <c r="W75" s="4">
        <f t="shared" si="9"/>
        <v>4</v>
      </c>
      <c r="X75" s="4">
        <f t="shared" si="18"/>
        <v>3.8</v>
      </c>
      <c r="Y75" s="4">
        <f t="shared" si="27"/>
        <v>1.8049999999999999</v>
      </c>
      <c r="Z75" s="4">
        <f t="shared" si="26"/>
        <v>0.85737499999999989</v>
      </c>
      <c r="AA75" s="4">
        <f t="shared" si="19"/>
        <v>0.40725312499999994</v>
      </c>
      <c r="AB75" s="4">
        <f t="shared" si="20"/>
        <v>0.19344523437499997</v>
      </c>
      <c r="AC75" s="4">
        <f t="shared" si="21"/>
        <v>9.1886486328124975E-2</v>
      </c>
      <c r="AD75" s="4">
        <f t="shared" si="22"/>
        <v>4.3646081005859358E-2</v>
      </c>
      <c r="AE75" s="4">
        <f t="shared" si="23"/>
        <v>2.0731888477783195E-2</v>
      </c>
    </row>
    <row r="76" spans="1:31">
      <c r="A76">
        <f t="shared" ref="A76:A80" si="31">A75+1</f>
        <v>32</v>
      </c>
      <c r="B76">
        <f t="shared" si="0"/>
        <v>368</v>
      </c>
      <c r="C76">
        <f t="shared" si="1"/>
        <v>166</v>
      </c>
      <c r="D76">
        <f t="shared" si="4"/>
        <v>11</v>
      </c>
      <c r="E76">
        <f t="shared" si="11"/>
        <v>15.090909090909092</v>
      </c>
      <c r="F76">
        <f t="shared" si="25"/>
        <v>0.5</v>
      </c>
      <c r="G76">
        <f t="shared" si="2"/>
        <v>1</v>
      </c>
      <c r="H76" s="4">
        <f t="shared" si="12"/>
        <v>34.499999999999979</v>
      </c>
      <c r="I76">
        <f t="shared" ref="I76:I80" si="32">IF(H76&gt;0,H76,0)+M76</f>
        <v>165.99999999999997</v>
      </c>
      <c r="J76">
        <f t="shared" si="5"/>
        <v>3018.1818181818176</v>
      </c>
      <c r="K76">
        <f t="shared" si="14"/>
        <v>5274940.5</v>
      </c>
      <c r="L76">
        <f t="shared" si="6"/>
        <v>166</v>
      </c>
      <c r="M76">
        <f t="shared" si="15"/>
        <v>131.5</v>
      </c>
      <c r="N76" s="4">
        <f t="shared" si="7"/>
        <v>30.5</v>
      </c>
      <c r="O76" s="4">
        <f t="shared" si="16"/>
        <v>28.974999999999998</v>
      </c>
      <c r="P76" s="4">
        <f t="shared" si="16"/>
        <v>27.526249999999997</v>
      </c>
      <c r="Q76" s="4">
        <f t="shared" si="16"/>
        <v>26.149937499999997</v>
      </c>
      <c r="R76" s="4">
        <f t="shared" si="16"/>
        <v>24.842440624999995</v>
      </c>
      <c r="S76" s="4">
        <f t="shared" si="17"/>
        <v>23.600318593749993</v>
      </c>
      <c r="T76" s="4">
        <f t="shared" si="17"/>
        <v>22.420302664062493</v>
      </c>
      <c r="U76" s="4">
        <f t="shared" si="17"/>
        <v>21.299287530859367</v>
      </c>
      <c r="V76" s="4">
        <f t="shared" si="17"/>
        <v>20.234323154316396</v>
      </c>
      <c r="W76" s="4">
        <f t="shared" si="9"/>
        <v>4</v>
      </c>
      <c r="X76" s="4">
        <f t="shared" si="18"/>
        <v>3.8</v>
      </c>
      <c r="Y76" s="4">
        <f t="shared" si="27"/>
        <v>1.8049999999999999</v>
      </c>
      <c r="Z76" s="4">
        <f t="shared" si="26"/>
        <v>0.85737499999999989</v>
      </c>
      <c r="AA76" s="4">
        <f t="shared" si="19"/>
        <v>0.40725312499999994</v>
      </c>
      <c r="AB76" s="4">
        <f t="shared" si="20"/>
        <v>0.19344523437499997</v>
      </c>
      <c r="AC76" s="4">
        <f t="shared" si="21"/>
        <v>9.1886486328124975E-2</v>
      </c>
      <c r="AD76" s="4">
        <f t="shared" si="22"/>
        <v>4.3646081005859358E-2</v>
      </c>
      <c r="AE76" s="4">
        <f t="shared" si="23"/>
        <v>2.0731888477783195E-2</v>
      </c>
    </row>
    <row r="77" spans="1:31">
      <c r="A77">
        <f t="shared" si="31"/>
        <v>33</v>
      </c>
      <c r="B77">
        <f t="shared" si="0"/>
        <v>368</v>
      </c>
      <c r="C77">
        <f t="shared" si="1"/>
        <v>166</v>
      </c>
      <c r="D77">
        <f t="shared" si="4"/>
        <v>11</v>
      </c>
      <c r="E77">
        <f t="shared" si="11"/>
        <v>15.090909090909092</v>
      </c>
      <c r="F77">
        <f t="shared" si="25"/>
        <v>0.5</v>
      </c>
      <c r="G77">
        <f t="shared" si="2"/>
        <v>1</v>
      </c>
      <c r="H77" s="4">
        <f t="shared" si="12"/>
        <v>34.499999999999979</v>
      </c>
      <c r="I77">
        <f t="shared" si="32"/>
        <v>165.99999999999997</v>
      </c>
      <c r="J77">
        <f t="shared" si="5"/>
        <v>3018.1818181818176</v>
      </c>
      <c r="K77">
        <f t="shared" si="14"/>
        <v>5274940.5</v>
      </c>
      <c r="L77">
        <f t="shared" si="6"/>
        <v>166</v>
      </c>
      <c r="M77">
        <f t="shared" si="15"/>
        <v>131.5</v>
      </c>
      <c r="N77" s="4">
        <f t="shared" si="7"/>
        <v>30.5</v>
      </c>
      <c r="O77" s="4">
        <f t="shared" si="16"/>
        <v>28.974999999999998</v>
      </c>
      <c r="P77" s="4">
        <f t="shared" si="16"/>
        <v>27.526249999999997</v>
      </c>
      <c r="Q77" s="4">
        <f t="shared" si="16"/>
        <v>26.149937499999997</v>
      </c>
      <c r="R77" s="4">
        <f t="shared" si="16"/>
        <v>24.842440624999995</v>
      </c>
      <c r="S77" s="4">
        <f t="shared" si="17"/>
        <v>23.600318593749993</v>
      </c>
      <c r="T77" s="4">
        <f t="shared" si="17"/>
        <v>22.420302664062493</v>
      </c>
      <c r="U77" s="4">
        <f t="shared" si="17"/>
        <v>21.299287530859367</v>
      </c>
      <c r="V77" s="4">
        <f t="shared" si="17"/>
        <v>20.234323154316396</v>
      </c>
      <c r="W77" s="4">
        <f t="shared" si="9"/>
        <v>4</v>
      </c>
      <c r="X77" s="4">
        <f t="shared" si="18"/>
        <v>3.8</v>
      </c>
      <c r="Y77" s="4">
        <f t="shared" si="27"/>
        <v>1.8049999999999999</v>
      </c>
      <c r="Z77" s="4">
        <f t="shared" si="26"/>
        <v>0.85737499999999989</v>
      </c>
      <c r="AA77" s="4">
        <f t="shared" si="19"/>
        <v>0.40725312499999994</v>
      </c>
      <c r="AB77" s="4">
        <f t="shared" si="20"/>
        <v>0.19344523437499997</v>
      </c>
      <c r="AC77" s="4">
        <f t="shared" si="21"/>
        <v>9.1886486328124975E-2</v>
      </c>
      <c r="AD77" s="4">
        <f t="shared" si="22"/>
        <v>4.3646081005859358E-2</v>
      </c>
      <c r="AE77" s="4">
        <f t="shared" si="23"/>
        <v>2.0731888477783195E-2</v>
      </c>
    </row>
    <row r="78" spans="1:31">
      <c r="A78">
        <f t="shared" si="31"/>
        <v>34</v>
      </c>
      <c r="B78">
        <f t="shared" si="0"/>
        <v>368</v>
      </c>
      <c r="C78">
        <f t="shared" si="1"/>
        <v>166</v>
      </c>
      <c r="D78">
        <f t="shared" si="4"/>
        <v>11</v>
      </c>
      <c r="E78">
        <f t="shared" si="11"/>
        <v>15.090909090909092</v>
      </c>
      <c r="F78">
        <f t="shared" si="25"/>
        <v>0.5</v>
      </c>
      <c r="G78">
        <f t="shared" si="2"/>
        <v>1</v>
      </c>
      <c r="H78" s="4">
        <f t="shared" si="12"/>
        <v>34.499999999999979</v>
      </c>
      <c r="I78">
        <f t="shared" si="32"/>
        <v>165.99999999999997</v>
      </c>
      <c r="J78">
        <f t="shared" si="5"/>
        <v>3018.1818181818176</v>
      </c>
      <c r="K78">
        <f t="shared" si="14"/>
        <v>5274940.5</v>
      </c>
      <c r="L78">
        <f t="shared" si="6"/>
        <v>166</v>
      </c>
      <c r="M78">
        <f t="shared" si="15"/>
        <v>131.5</v>
      </c>
      <c r="N78" s="4">
        <f t="shared" si="7"/>
        <v>30.5</v>
      </c>
      <c r="O78" s="4">
        <f t="shared" si="16"/>
        <v>28.974999999999998</v>
      </c>
      <c r="P78" s="4">
        <f t="shared" si="16"/>
        <v>27.526249999999997</v>
      </c>
      <c r="Q78" s="4">
        <f t="shared" si="16"/>
        <v>26.149937499999997</v>
      </c>
      <c r="R78" s="4">
        <f t="shared" si="16"/>
        <v>24.842440624999995</v>
      </c>
      <c r="S78" s="4">
        <f t="shared" si="17"/>
        <v>23.600318593749993</v>
      </c>
      <c r="T78" s="4">
        <f t="shared" si="17"/>
        <v>22.420302664062493</v>
      </c>
      <c r="U78" s="4">
        <f t="shared" si="17"/>
        <v>21.299287530859367</v>
      </c>
      <c r="V78" s="4">
        <f t="shared" si="17"/>
        <v>20.234323154316396</v>
      </c>
      <c r="W78" s="4">
        <f t="shared" si="9"/>
        <v>4</v>
      </c>
      <c r="X78" s="4">
        <f t="shared" si="18"/>
        <v>3.8</v>
      </c>
      <c r="Y78" s="4">
        <f t="shared" si="27"/>
        <v>1.8049999999999999</v>
      </c>
      <c r="Z78" s="4">
        <f t="shared" si="26"/>
        <v>0.85737499999999989</v>
      </c>
      <c r="AA78" s="4">
        <f t="shared" si="19"/>
        <v>0.40725312499999994</v>
      </c>
      <c r="AB78" s="4">
        <f t="shared" si="20"/>
        <v>0.19344523437499997</v>
      </c>
      <c r="AC78" s="4">
        <f t="shared" si="21"/>
        <v>9.1886486328124975E-2</v>
      </c>
      <c r="AD78" s="4">
        <f t="shared" si="22"/>
        <v>4.3646081005859358E-2</v>
      </c>
      <c r="AE78" s="4">
        <f t="shared" si="23"/>
        <v>2.0731888477783195E-2</v>
      </c>
    </row>
    <row r="79" spans="1:31">
      <c r="A79">
        <f t="shared" si="31"/>
        <v>35</v>
      </c>
      <c r="B79">
        <f t="shared" si="0"/>
        <v>368</v>
      </c>
      <c r="C79">
        <f t="shared" si="1"/>
        <v>166</v>
      </c>
      <c r="D79">
        <f t="shared" si="4"/>
        <v>11</v>
      </c>
      <c r="E79">
        <f t="shared" si="11"/>
        <v>15.090909090909092</v>
      </c>
      <c r="F79">
        <f t="shared" si="25"/>
        <v>0.5</v>
      </c>
      <c r="G79">
        <f t="shared" si="2"/>
        <v>1</v>
      </c>
      <c r="H79" s="4">
        <f t="shared" si="12"/>
        <v>34.499999999999979</v>
      </c>
      <c r="I79">
        <f t="shared" si="32"/>
        <v>165.99999999999997</v>
      </c>
      <c r="J79">
        <f t="shared" si="5"/>
        <v>3018.1818181818176</v>
      </c>
      <c r="K79">
        <f t="shared" si="14"/>
        <v>5274940.5</v>
      </c>
      <c r="L79">
        <f t="shared" si="6"/>
        <v>166</v>
      </c>
      <c r="M79">
        <f t="shared" si="15"/>
        <v>131.5</v>
      </c>
      <c r="N79" s="4">
        <f t="shared" si="7"/>
        <v>30.5</v>
      </c>
      <c r="O79" s="4">
        <f t="shared" si="16"/>
        <v>28.974999999999998</v>
      </c>
      <c r="P79" s="4">
        <f t="shared" si="16"/>
        <v>27.526249999999997</v>
      </c>
      <c r="Q79" s="4">
        <f t="shared" si="16"/>
        <v>26.149937499999997</v>
      </c>
      <c r="R79" s="4">
        <f t="shared" si="16"/>
        <v>24.842440624999995</v>
      </c>
      <c r="S79" s="4">
        <f t="shared" si="17"/>
        <v>23.600318593749993</v>
      </c>
      <c r="T79" s="4">
        <f t="shared" si="17"/>
        <v>22.420302664062493</v>
      </c>
      <c r="U79" s="4">
        <f t="shared" si="17"/>
        <v>21.299287530859367</v>
      </c>
      <c r="V79" s="4">
        <f t="shared" si="17"/>
        <v>20.234323154316396</v>
      </c>
      <c r="W79" s="4">
        <f t="shared" si="9"/>
        <v>4</v>
      </c>
      <c r="X79" s="4">
        <f t="shared" si="18"/>
        <v>3.8</v>
      </c>
      <c r="Y79" s="4">
        <f t="shared" si="27"/>
        <v>1.8049999999999999</v>
      </c>
      <c r="Z79" s="4">
        <f t="shared" si="26"/>
        <v>0.85737499999999989</v>
      </c>
      <c r="AA79" s="4">
        <f t="shared" si="19"/>
        <v>0.40725312499999994</v>
      </c>
      <c r="AB79" s="4">
        <f t="shared" si="20"/>
        <v>0.19344523437499997</v>
      </c>
      <c r="AC79" s="4">
        <f t="shared" si="21"/>
        <v>9.1886486328124975E-2</v>
      </c>
      <c r="AD79" s="4">
        <f t="shared" si="22"/>
        <v>4.3646081005859358E-2</v>
      </c>
      <c r="AE79" s="4">
        <f t="shared" si="23"/>
        <v>2.0731888477783195E-2</v>
      </c>
    </row>
    <row r="80" spans="1:31">
      <c r="A80">
        <f t="shared" si="31"/>
        <v>36</v>
      </c>
      <c r="B80">
        <f t="shared" si="0"/>
        <v>368</v>
      </c>
      <c r="C80">
        <f t="shared" si="1"/>
        <v>166</v>
      </c>
      <c r="D80">
        <f t="shared" si="4"/>
        <v>11</v>
      </c>
      <c r="E80">
        <f>IF(D80&gt;0,C80/D80,0)</f>
        <v>15.090909090909092</v>
      </c>
      <c r="F80">
        <f t="shared" si="25"/>
        <v>0.5</v>
      </c>
      <c r="G80">
        <f t="shared" si="2"/>
        <v>1</v>
      </c>
      <c r="H80" s="4">
        <f t="shared" si="12"/>
        <v>34.499999999999979</v>
      </c>
      <c r="I80">
        <f t="shared" si="32"/>
        <v>165.99999999999997</v>
      </c>
      <c r="J80">
        <f t="shared" si="5"/>
        <v>3018.1818181818176</v>
      </c>
      <c r="K80">
        <f t="shared" si="14"/>
        <v>5274940.5</v>
      </c>
      <c r="L80">
        <f t="shared" si="6"/>
        <v>166</v>
      </c>
      <c r="M80">
        <f t="shared" si="15"/>
        <v>131.5</v>
      </c>
      <c r="N80" s="4">
        <f t="shared" si="7"/>
        <v>30.5</v>
      </c>
      <c r="O80" s="4">
        <f t="shared" si="16"/>
        <v>28.974999999999998</v>
      </c>
      <c r="P80" s="4">
        <f t="shared" si="16"/>
        <v>27.526249999999997</v>
      </c>
      <c r="Q80" s="4">
        <f t="shared" si="16"/>
        <v>26.149937499999997</v>
      </c>
      <c r="R80" s="4">
        <f t="shared" si="16"/>
        <v>24.842440624999995</v>
      </c>
      <c r="S80" s="4">
        <f t="shared" si="17"/>
        <v>23.600318593749993</v>
      </c>
      <c r="T80" s="4">
        <f t="shared" si="17"/>
        <v>22.420302664062493</v>
      </c>
      <c r="U80" s="4">
        <f t="shared" si="17"/>
        <v>21.299287530859367</v>
      </c>
      <c r="V80" s="4">
        <f t="shared" si="17"/>
        <v>20.234323154316396</v>
      </c>
      <c r="W80" s="4">
        <f t="shared" si="9"/>
        <v>4</v>
      </c>
      <c r="X80" s="4">
        <f t="shared" si="18"/>
        <v>3.8</v>
      </c>
      <c r="Y80" s="4">
        <f t="shared" si="27"/>
        <v>1.8049999999999999</v>
      </c>
      <c r="Z80" s="4">
        <f t="shared" si="26"/>
        <v>0.85737499999999989</v>
      </c>
      <c r="AA80" s="4">
        <f t="shared" si="19"/>
        <v>0.40725312499999994</v>
      </c>
      <c r="AB80" s="4">
        <f t="shared" si="20"/>
        <v>0.19344523437499997</v>
      </c>
      <c r="AC80" s="4">
        <f t="shared" si="21"/>
        <v>9.1886486328124975E-2</v>
      </c>
      <c r="AD80" s="4">
        <f t="shared" si="22"/>
        <v>4.3646081005859358E-2</v>
      </c>
      <c r="AE80" s="4">
        <f t="shared" si="23"/>
        <v>2.0731888477783195E-2</v>
      </c>
    </row>
    <row r="81" spans="5:5">
      <c r="E81">
        <f t="shared" si="11"/>
        <v>0</v>
      </c>
    </row>
  </sheetData>
  <pageMargins left="0.7" right="0.7" top="0.75" bottom="0.75" header="0.3" footer="0.3"/>
  <pageSetup orientation="portrait" horizontalDpi="0" verticalDpi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AAF59-74DD-8741-972D-AB9022076D4B}">
  <dimension ref="A1:F60"/>
  <sheetViews>
    <sheetView topLeftCell="A26" workbookViewId="0">
      <selection activeCell="B8" sqref="B8"/>
    </sheetView>
  </sheetViews>
  <sheetFormatPr baseColWidth="10" defaultRowHeight="16"/>
  <cols>
    <col min="1" max="1" width="29" bestFit="1" customWidth="1"/>
  </cols>
  <sheetData>
    <row r="1" spans="1:4">
      <c r="A1" t="s">
        <v>114</v>
      </c>
      <c r="B1">
        <f>Vehicle!E21</f>
        <v>3136</v>
      </c>
    </row>
    <row r="3" spans="1:4">
      <c r="A3" t="s">
        <v>232</v>
      </c>
    </row>
    <row r="5" spans="1:4">
      <c r="A5" t="s">
        <v>233</v>
      </c>
      <c r="B5">
        <f>Agriculture!D11</f>
        <v>4.3886882891414132</v>
      </c>
    </row>
    <row r="6" spans="1:4">
      <c r="A6" t="s">
        <v>237</v>
      </c>
      <c r="B6">
        <f>B5*B1+SUM(B26:D26)+B43+B59</f>
        <v>1000426.9217998997</v>
      </c>
    </row>
    <row r="7" spans="1:4">
      <c r="A7" t="s">
        <v>234</v>
      </c>
      <c r="B7">
        <v>1</v>
      </c>
    </row>
    <row r="8" spans="1:4">
      <c r="A8" t="s">
        <v>235</v>
      </c>
      <c r="B8">
        <f>B6/B7</f>
        <v>1000426.9217998997</v>
      </c>
    </row>
    <row r="9" spans="1:4">
      <c r="A9" t="s">
        <v>236</v>
      </c>
      <c r="B9">
        <v>2</v>
      </c>
    </row>
    <row r="10" spans="1:4">
      <c r="A10" t="s">
        <v>427</v>
      </c>
      <c r="B10">
        <f>B8*B9</f>
        <v>2000853.8435997993</v>
      </c>
    </row>
    <row r="12" spans="1:4">
      <c r="A12" t="s">
        <v>256</v>
      </c>
      <c r="B12" t="s">
        <v>262</v>
      </c>
      <c r="C12" t="s">
        <v>263</v>
      </c>
      <c r="D12" t="s">
        <v>264</v>
      </c>
    </row>
    <row r="13" spans="1:4">
      <c r="A13" t="s">
        <v>295</v>
      </c>
      <c r="B13">
        <f>Agriculture!D13*B1</f>
        <v>42763.63636363636</v>
      </c>
    </row>
    <row r="14" spans="1:4">
      <c r="A14" t="s">
        <v>268</v>
      </c>
      <c r="B14">
        <v>0.1</v>
      </c>
    </row>
    <row r="15" spans="1:4">
      <c r="A15" t="s">
        <v>257</v>
      </c>
      <c r="B15">
        <f>B16/B1</f>
        <v>3.4090909090909087</v>
      </c>
      <c r="C15">
        <f>C16/B1</f>
        <v>10.227272727272727</v>
      </c>
      <c r="D15">
        <f>D16/B1</f>
        <v>0.68181818181818177</v>
      </c>
    </row>
    <row r="16" spans="1:4">
      <c r="A16" t="s">
        <v>258</v>
      </c>
      <c r="B16">
        <f>B13*0.25</f>
        <v>10690.90909090909</v>
      </c>
      <c r="C16">
        <f>B13*0.75</f>
        <v>32072.727272727272</v>
      </c>
      <c r="D16">
        <f>B13*0.05</f>
        <v>2138.181818181818</v>
      </c>
    </row>
    <row r="17" spans="1:6">
      <c r="A17" t="s">
        <v>259</v>
      </c>
      <c r="B17">
        <v>0.66</v>
      </c>
      <c r="C17">
        <v>0.66</v>
      </c>
      <c r="D17">
        <v>0.66</v>
      </c>
    </row>
    <row r="18" spans="1:6">
      <c r="A18" t="s">
        <v>260</v>
      </c>
      <c r="B18">
        <f>B16/B17</f>
        <v>16198.347107438014</v>
      </c>
      <c r="C18">
        <f>C16/C17</f>
        <v>48595.041322314049</v>
      </c>
      <c r="D18">
        <f>D16/D17</f>
        <v>3239.6694214876029</v>
      </c>
    </row>
    <row r="19" spans="1:6">
      <c r="A19" t="s">
        <v>310</v>
      </c>
      <c r="B19">
        <f>B18/2</f>
        <v>8099.173553719007</v>
      </c>
      <c r="C19">
        <f>C18/6</f>
        <v>8099.1735537190079</v>
      </c>
      <c r="D19">
        <f>D18/4</f>
        <v>809.91735537190073</v>
      </c>
    </row>
    <row r="20" spans="1:6">
      <c r="A20" t="s">
        <v>430</v>
      </c>
      <c r="B20">
        <f>SUM(B19:D19)</f>
        <v>17008.264462809915</v>
      </c>
    </row>
    <row r="21" spans="1:6">
      <c r="A21" t="s">
        <v>311</v>
      </c>
      <c r="B21">
        <v>0.27100000000000002</v>
      </c>
      <c r="C21" t="s">
        <v>18</v>
      </c>
    </row>
    <row r="22" spans="1:6">
      <c r="A22" t="s">
        <v>309</v>
      </c>
      <c r="B22">
        <f>SUM(B19:D19)*B21*11</f>
        <v>50701.636363636368</v>
      </c>
    </row>
    <row r="23" spans="1:6">
      <c r="A23" t="s">
        <v>266</v>
      </c>
      <c r="B23">
        <f>B24*0.25</f>
        <v>0.55555555555555558</v>
      </c>
      <c r="C23">
        <f t="shared" ref="C23:D23" si="0">C24*0.25</f>
        <v>1.4583333333333333</v>
      </c>
      <c r="D23">
        <f t="shared" si="0"/>
        <v>1.4583333333333333</v>
      </c>
      <c r="F23" t="s">
        <v>261</v>
      </c>
    </row>
    <row r="24" spans="1:6">
      <c r="A24" t="s">
        <v>236</v>
      </c>
      <c r="B24">
        <f>(1+1.5+1.5)/1.8</f>
        <v>2.2222222222222223</v>
      </c>
      <c r="C24">
        <f>(1+5+4.5)/1.8</f>
        <v>5.833333333333333</v>
      </c>
      <c r="D24">
        <f>(1+5+4.5)/1.8</f>
        <v>5.833333333333333</v>
      </c>
    </row>
    <row r="25" spans="1:6">
      <c r="A25" t="s">
        <v>265</v>
      </c>
      <c r="B25">
        <f>B18*B24</f>
        <v>35996.326905417809</v>
      </c>
      <c r="C25">
        <f>C18*C24</f>
        <v>283471.07438016526</v>
      </c>
      <c r="D25">
        <f>D18*D24</f>
        <v>18898.07162534435</v>
      </c>
    </row>
    <row r="26" spans="1:6">
      <c r="A26" t="s">
        <v>267</v>
      </c>
      <c r="B26">
        <f>B25*$B$14</f>
        <v>3599.6326905417809</v>
      </c>
      <c r="C26">
        <f t="shared" ref="C26:D26" si="1">C25*$B$14</f>
        <v>28347.107438016526</v>
      </c>
      <c r="D26">
        <f t="shared" si="1"/>
        <v>1889.8071625344351</v>
      </c>
    </row>
    <row r="27" spans="1:6">
      <c r="A27" t="s">
        <v>427</v>
      </c>
      <c r="B27">
        <f>SUM(B25:D25)-SUM(B26:D26)</f>
        <v>304528.92561983463</v>
      </c>
    </row>
    <row r="29" spans="1:6">
      <c r="A29" t="s">
        <v>287</v>
      </c>
      <c r="B29" t="s">
        <v>294</v>
      </c>
    </row>
    <row r="31" spans="1:6">
      <c r="A31" t="s">
        <v>295</v>
      </c>
      <c r="B31">
        <f>Agriculture!D14*B1</f>
        <v>14254.545454545452</v>
      </c>
    </row>
    <row r="32" spans="1:6">
      <c r="A32" t="s">
        <v>259</v>
      </c>
      <c r="B32">
        <v>0.75</v>
      </c>
    </row>
    <row r="33" spans="1:4">
      <c r="A33" t="s">
        <v>260</v>
      </c>
      <c r="B33">
        <f>B31/B32</f>
        <v>19006.060606060604</v>
      </c>
    </row>
    <row r="34" spans="1:4">
      <c r="A34" t="s">
        <v>296</v>
      </c>
      <c r="B34">
        <v>105</v>
      </c>
    </row>
    <row r="35" spans="1:4">
      <c r="A35" t="s">
        <v>297</v>
      </c>
      <c r="B35">
        <f>B33/B34</f>
        <v>181.01010101010098</v>
      </c>
    </row>
    <row r="36" spans="1:4">
      <c r="A36" t="s">
        <v>308</v>
      </c>
      <c r="B36">
        <v>4</v>
      </c>
    </row>
    <row r="37" spans="1:4">
      <c r="A37" t="s">
        <v>309</v>
      </c>
      <c r="B37">
        <f>B35*B36*11</f>
        <v>7964.4444444444434</v>
      </c>
    </row>
    <row r="38" spans="1:4">
      <c r="A38" t="s">
        <v>266</v>
      </c>
      <c r="B38">
        <f>B39*0.25</f>
        <v>0.81168831168831157</v>
      </c>
    </row>
    <row r="39" spans="1:4">
      <c r="A39" t="s">
        <v>236</v>
      </c>
      <c r="B39">
        <f>B41/B33</f>
        <v>3.2467532467532463</v>
      </c>
    </row>
    <row r="40" spans="1:4">
      <c r="A40" t="s">
        <v>298</v>
      </c>
      <c r="B40">
        <f>750/2.2</f>
        <v>340.90909090909088</v>
      </c>
      <c r="C40" t="s">
        <v>300</v>
      </c>
      <c r="D40" t="s">
        <v>299</v>
      </c>
    </row>
    <row r="41" spans="1:4">
      <c r="A41" t="s">
        <v>265</v>
      </c>
      <c r="B41">
        <f>B40*B35</f>
        <v>61707.98898071624</v>
      </c>
    </row>
    <row r="42" spans="1:4">
      <c r="A42" t="s">
        <v>306</v>
      </c>
      <c r="C42">
        <v>0</v>
      </c>
    </row>
    <row r="43" spans="1:4">
      <c r="A43" t="s">
        <v>267</v>
      </c>
      <c r="B43">
        <f>(B41-C42)*B14</f>
        <v>6170.7988980716245</v>
      </c>
    </row>
    <row r="44" spans="1:4">
      <c r="A44" t="s">
        <v>427</v>
      </c>
      <c r="B44">
        <f>B41-C42</f>
        <v>61707.98898071624</v>
      </c>
    </row>
    <row r="46" spans="1:4">
      <c r="A46" t="s">
        <v>554</v>
      </c>
    </row>
    <row r="48" spans="1:4">
      <c r="A48" t="s">
        <v>295</v>
      </c>
      <c r="B48">
        <f>Agriculture!D15*B18</f>
        <v>291570.24793388427</v>
      </c>
      <c r="D48" t="s">
        <v>555</v>
      </c>
    </row>
    <row r="49" spans="1:3">
      <c r="A49" t="s">
        <v>259</v>
      </c>
      <c r="B49">
        <v>0.75</v>
      </c>
    </row>
    <row r="50" spans="1:3">
      <c r="A50" t="s">
        <v>260</v>
      </c>
      <c r="B50">
        <f>B48/B49</f>
        <v>388760.33057851234</v>
      </c>
    </row>
    <row r="51" spans="1:3">
      <c r="A51" t="s">
        <v>296</v>
      </c>
      <c r="B51">
        <v>105</v>
      </c>
    </row>
    <row r="52" spans="1:3">
      <c r="A52" t="s">
        <v>297</v>
      </c>
      <c r="B52">
        <f>B50/B51</f>
        <v>3702.4793388429748</v>
      </c>
    </row>
    <row r="53" spans="1:3">
      <c r="A53" t="s">
        <v>308</v>
      </c>
      <c r="B53">
        <v>4</v>
      </c>
    </row>
    <row r="54" spans="1:3">
      <c r="A54" t="s">
        <v>309</v>
      </c>
      <c r="B54">
        <f>B52*B53*11</f>
        <v>162909.09090909088</v>
      </c>
    </row>
    <row r="55" spans="1:3">
      <c r="A55" t="s">
        <v>266</v>
      </c>
      <c r="B55">
        <f>B56*0.25</f>
        <v>0.81168831168831168</v>
      </c>
    </row>
    <row r="56" spans="1:3">
      <c r="A56" t="s">
        <v>236</v>
      </c>
      <c r="B56">
        <f>B58/B50</f>
        <v>3.2467532467532467</v>
      </c>
    </row>
    <row r="57" spans="1:3">
      <c r="A57" t="s">
        <v>298</v>
      </c>
      <c r="B57">
        <f>750/2.2</f>
        <v>340.90909090909088</v>
      </c>
      <c r="C57" t="s">
        <v>556</v>
      </c>
    </row>
    <row r="58" spans="1:3">
      <c r="A58" t="s">
        <v>265</v>
      </c>
      <c r="B58">
        <f>B57*B52</f>
        <v>1262208.8655146505</v>
      </c>
    </row>
    <row r="59" spans="1:3">
      <c r="A59" t="s">
        <v>267</v>
      </c>
      <c r="B59">
        <f>B58*0.75</f>
        <v>946656.64913598786</v>
      </c>
    </row>
    <row r="60" spans="1:3">
      <c r="A60" t="s">
        <v>427</v>
      </c>
      <c r="B60">
        <f>B58-B59</f>
        <v>315552.21637866262</v>
      </c>
    </row>
  </sheetData>
  <pageMargins left="0.7" right="0.7" top="0.75" bottom="0.75" header="0.3" footer="0.3"/>
  <pageSetup orientation="portrait" horizontalDpi="0" verticalDpi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D0D86-477E-CD4E-8E1C-4C6B21809367}">
  <dimension ref="A1:H24"/>
  <sheetViews>
    <sheetView workbookViewId="0">
      <selection activeCell="D20" sqref="D20:G24"/>
    </sheetView>
  </sheetViews>
  <sheetFormatPr baseColWidth="10" defaultRowHeight="16"/>
  <cols>
    <col min="1" max="1" width="17.33203125" bestFit="1" customWidth="1"/>
    <col min="7" max="7" width="55.6640625" bestFit="1" customWidth="1"/>
    <col min="8" max="8" width="46.6640625" bestFit="1" customWidth="1"/>
  </cols>
  <sheetData>
    <row r="1" spans="1:8">
      <c r="A1" t="s">
        <v>320</v>
      </c>
    </row>
    <row r="2" spans="1:8">
      <c r="B2" t="s">
        <v>322</v>
      </c>
      <c r="C2" t="s">
        <v>323</v>
      </c>
      <c r="D2" t="s">
        <v>315</v>
      </c>
      <c r="E2" t="s">
        <v>324</v>
      </c>
    </row>
    <row r="3" spans="1:8">
      <c r="A3" t="s">
        <v>321</v>
      </c>
      <c r="B3">
        <v>1240000</v>
      </c>
      <c r="C3" s="63">
        <v>930000000</v>
      </c>
      <c r="D3">
        <v>110</v>
      </c>
      <c r="E3">
        <f>C3/B3</f>
        <v>750</v>
      </c>
      <c r="G3" t="s">
        <v>318</v>
      </c>
      <c r="H3" t="s">
        <v>319</v>
      </c>
    </row>
    <row r="4" spans="1:8">
      <c r="A4" t="s">
        <v>325</v>
      </c>
      <c r="B4">
        <v>217045</v>
      </c>
      <c r="C4">
        <v>40000000</v>
      </c>
      <c r="D4">
        <v>64</v>
      </c>
      <c r="E4">
        <f>C4/B4</f>
        <v>184.29357967241816</v>
      </c>
      <c r="G4" t="s">
        <v>326</v>
      </c>
    </row>
    <row r="5" spans="1:8">
      <c r="A5" t="s">
        <v>328</v>
      </c>
      <c r="B5">
        <v>52000</v>
      </c>
      <c r="D5">
        <v>36</v>
      </c>
    </row>
    <row r="7" spans="1:8">
      <c r="B7">
        <f>222.97</f>
        <v>222.97</v>
      </c>
      <c r="C7">
        <f>74.4*2000/2.2</f>
        <v>67636.363636363632</v>
      </c>
      <c r="D7">
        <v>1</v>
      </c>
      <c r="E7">
        <f>C7/B7</f>
        <v>303.34288754704056</v>
      </c>
      <c r="G7" t="s">
        <v>329</v>
      </c>
    </row>
    <row r="8" spans="1:8">
      <c r="G8" t="s">
        <v>330</v>
      </c>
    </row>
    <row r="11" spans="1:8">
      <c r="D11" t="s">
        <v>893</v>
      </c>
    </row>
    <row r="13" spans="1:8">
      <c r="D13" t="s">
        <v>894</v>
      </c>
      <c r="E13" t="s">
        <v>895</v>
      </c>
      <c r="F13" t="s">
        <v>896</v>
      </c>
      <c r="G13" t="s">
        <v>897</v>
      </c>
    </row>
    <row r="14" spans="1:8">
      <c r="D14">
        <v>355</v>
      </c>
      <c r="E14">
        <v>5</v>
      </c>
      <c r="F14">
        <f>E14/D14</f>
        <v>1.4084507042253521E-2</v>
      </c>
      <c r="G14">
        <f>F14*100</f>
        <v>1.4084507042253522</v>
      </c>
    </row>
    <row r="15" spans="1:8">
      <c r="D15">
        <v>100</v>
      </c>
      <c r="E15">
        <v>5</v>
      </c>
      <c r="F15">
        <f>E15/D15</f>
        <v>0.05</v>
      </c>
      <c r="G15">
        <f>F15*100</f>
        <v>5</v>
      </c>
    </row>
    <row r="16" spans="1:8">
      <c r="D16">
        <v>25</v>
      </c>
      <c r="E16">
        <v>5</v>
      </c>
      <c r="F16">
        <f>E16/D16</f>
        <v>0.2</v>
      </c>
      <c r="G16">
        <f>F16*100</f>
        <v>20</v>
      </c>
    </row>
    <row r="17" spans="4:7">
      <c r="D17">
        <f>E17/F17</f>
        <v>33.333333333333336</v>
      </c>
      <c r="E17">
        <v>5</v>
      </c>
      <c r="F17">
        <f>G17/100</f>
        <v>0.15</v>
      </c>
      <c r="G17">
        <v>15</v>
      </c>
    </row>
    <row r="18" spans="4:7">
      <c r="D18">
        <f>D17/2</f>
        <v>16.666666666666668</v>
      </c>
    </row>
    <row r="20" spans="4:7">
      <c r="D20" t="s">
        <v>583</v>
      </c>
      <c r="E20" s="74">
        <f>1260/1.107</f>
        <v>1138.2113821138212</v>
      </c>
      <c r="F20" t="s">
        <v>584</v>
      </c>
      <c r="G20" s="75">
        <f>Vehicle!B91*E20</f>
        <v>17179778657.879494</v>
      </c>
    </row>
    <row r="21" spans="4:7">
      <c r="D21" t="s">
        <v>586</v>
      </c>
      <c r="E21">
        <f>314*10</f>
        <v>3140</v>
      </c>
      <c r="F21" t="s">
        <v>584</v>
      </c>
      <c r="G21" s="75">
        <f>Vehicle!B92*E21</f>
        <v>1421823024267.0466</v>
      </c>
    </row>
    <row r="22" spans="4:7">
      <c r="D22" t="s">
        <v>587</v>
      </c>
      <c r="E22">
        <f>164*2</f>
        <v>328</v>
      </c>
      <c r="F22" t="s">
        <v>584</v>
      </c>
      <c r="G22" s="75">
        <f>Vehicle!B92*Buildings!E22</f>
        <v>148521640751.46219</v>
      </c>
    </row>
    <row r="24" spans="4:7">
      <c r="D24" t="s">
        <v>585</v>
      </c>
      <c r="E24">
        <f>0.04*2.2</f>
        <v>8.8000000000000009E-2</v>
      </c>
      <c r="F24" t="s">
        <v>584</v>
      </c>
      <c r="G24" s="75">
        <f>Vehicle!B79*Buildings!E24</f>
        <v>44299131.538911052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2</vt:i4>
      </vt:variant>
    </vt:vector>
  </HeadingPairs>
  <TitlesOfParts>
    <vt:vector size="22" baseType="lpstr">
      <vt:lpstr>Mission</vt:lpstr>
      <vt:lpstr>DateConvert</vt:lpstr>
      <vt:lpstr>Calendar</vt:lpstr>
      <vt:lpstr>Vehicle</vt:lpstr>
      <vt:lpstr>Automation</vt:lpstr>
      <vt:lpstr>Conversion</vt:lpstr>
      <vt:lpstr>Geometry</vt:lpstr>
      <vt:lpstr>Gravity</vt:lpstr>
      <vt:lpstr>Power Consumption</vt:lpstr>
      <vt:lpstr>Propulsion</vt:lpstr>
      <vt:lpstr>Population</vt:lpstr>
      <vt:lpstr>Population Model</vt:lpstr>
      <vt:lpstr>Vocations</vt:lpstr>
      <vt:lpstr>Agriculture</vt:lpstr>
      <vt:lpstr>Crops</vt:lpstr>
      <vt:lpstr>Diet</vt:lpstr>
      <vt:lpstr>Aquaculture</vt:lpstr>
      <vt:lpstr>Cattle</vt:lpstr>
      <vt:lpstr>Protein</vt:lpstr>
      <vt:lpstr>Buildings</vt:lpstr>
      <vt:lpstr>Vocations!Criteria</vt:lpstr>
      <vt:lpstr>Vocations!Extract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cp:lastPrinted>2019-03-27T01:25:21Z</cp:lastPrinted>
  <dcterms:created xsi:type="dcterms:W3CDTF">2019-01-31T03:30:08Z</dcterms:created>
  <dcterms:modified xsi:type="dcterms:W3CDTF">2020-07-22T18:28:57Z</dcterms:modified>
</cp:coreProperties>
</file>