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eandeelywoods/www/etoyoc/sites/sublight/content/3f3119be-a6e8-4ba3-9afa-8a8e09e26e07/"/>
    </mc:Choice>
  </mc:AlternateContent>
  <xr:revisionPtr revIDLastSave="0" documentId="13_ncr:1_{A09FCDC2-44D0-B64D-AE0C-07E98A67AA80}" xr6:coauthVersionLast="36" xr6:coauthVersionMax="36" xr10:uidLastSave="{00000000-0000-0000-0000-000000000000}"/>
  <bookViews>
    <workbookView xWindow="1320" yWindow="460" windowWidth="26000" windowHeight="17540" activeTab="1" xr2:uid="{C5C5FF5A-7655-834A-B11B-272060538216}"/>
  </bookViews>
  <sheets>
    <sheet name="design" sheetId="3" r:id="rId1"/>
    <sheet name="structure" sheetId="5" r:id="rId2"/>
    <sheet name="accomodation" sheetId="4" r:id="rId3"/>
    <sheet name="performance" sheetId="1" r:id="rId4"/>
    <sheet name="constants" sheetId="2" r:id="rId5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1" i="5" l="1"/>
  <c r="F8" i="5"/>
  <c r="E8" i="5"/>
  <c r="D10" i="5"/>
  <c r="D12" i="5" s="1"/>
  <c r="D11" i="5"/>
  <c r="D8" i="5"/>
  <c r="G7" i="5"/>
  <c r="G12" i="5"/>
  <c r="G13" i="5" s="1"/>
  <c r="G9" i="5"/>
  <c r="C6" i="4"/>
  <c r="F17" i="3"/>
  <c r="C24" i="4"/>
  <c r="H16" i="3" l="1"/>
  <c r="H15" i="3"/>
  <c r="H22" i="3"/>
  <c r="C4" i="2"/>
  <c r="C37" i="2" l="1"/>
  <c r="E9" i="1"/>
  <c r="E11" i="5" l="1"/>
  <c r="B12" i="5" l="1"/>
  <c r="C12" i="5" s="1"/>
  <c r="C13" i="5" s="1"/>
  <c r="B8" i="5"/>
  <c r="F20" i="3"/>
  <c r="C10" i="4"/>
  <c r="B7" i="5"/>
  <c r="E34" i="2"/>
  <c r="B14" i="5"/>
  <c r="B17" i="5"/>
  <c r="B18" i="5"/>
  <c r="B19" i="5"/>
  <c r="B20" i="5"/>
  <c r="B21" i="5"/>
  <c r="B16" i="5"/>
  <c r="C27" i="2"/>
  <c r="E24" i="4" l="1"/>
  <c r="B3" i="5"/>
  <c r="C3" i="5" s="1"/>
  <c r="B4" i="5"/>
  <c r="C4" i="5" s="1"/>
  <c r="C3" i="3" s="1"/>
  <c r="B9" i="5"/>
  <c r="D16" i="5" s="1"/>
  <c r="C28" i="5"/>
  <c r="B13" i="5"/>
  <c r="F14" i="3" l="1"/>
  <c r="C4" i="3"/>
  <c r="E4" i="3" s="1"/>
  <c r="E3" i="3"/>
  <c r="D20" i="5"/>
  <c r="C20" i="5"/>
  <c r="D18" i="5"/>
  <c r="D21" i="5"/>
  <c r="D17" i="5"/>
  <c r="C21" i="5"/>
  <c r="C18" i="5"/>
  <c r="C16" i="5"/>
  <c r="D19" i="5"/>
  <c r="C10" i="5"/>
  <c r="C19" i="5"/>
  <c r="C17" i="5"/>
  <c r="B14" i="3" l="1"/>
  <c r="H14" i="3" s="1"/>
  <c r="E3" i="5"/>
  <c r="E6" i="1"/>
  <c r="B13" i="3" l="1"/>
  <c r="C27" i="1" s="1"/>
  <c r="C7" i="1"/>
  <c r="A39" i="1" l="1"/>
  <c r="C6" i="2"/>
  <c r="C7" i="2"/>
  <c r="C5" i="2"/>
  <c r="C23" i="2" l="1"/>
  <c r="C28" i="2" l="1"/>
  <c r="C22" i="2"/>
  <c r="C21" i="2"/>
  <c r="D21" i="3" l="1"/>
  <c r="H21" i="3" s="1"/>
  <c r="C17" i="2" l="1"/>
  <c r="C14" i="2" l="1"/>
  <c r="E3" i="2"/>
  <c r="C3" i="2" s="1"/>
  <c r="C11" i="4" l="1"/>
  <c r="C9" i="4"/>
  <c r="C5" i="4" l="1"/>
  <c r="C21" i="4" s="1"/>
  <c r="C20" i="4" l="1"/>
  <c r="C16" i="4"/>
  <c r="C14" i="4"/>
  <c r="C12" i="4"/>
  <c r="G20" i="1" s="1"/>
  <c r="E9" i="4"/>
  <c r="C18" i="4" l="1"/>
  <c r="C25" i="4" s="1"/>
  <c r="C9" i="3"/>
  <c r="D17" i="3" l="1"/>
  <c r="H17" i="3" s="1"/>
  <c r="C23" i="1"/>
  <c r="E14" i="4"/>
  <c r="E20" i="1" l="1"/>
  <c r="C20" i="1" s="1"/>
  <c r="C26" i="5"/>
  <c r="E10" i="4" l="1"/>
  <c r="B35" i="1" l="1"/>
  <c r="C29" i="5" l="1"/>
  <c r="C33" i="1"/>
  <c r="C30" i="5"/>
  <c r="F16" i="3"/>
  <c r="F15" i="3" l="1"/>
  <c r="F13" i="3" s="1"/>
  <c r="D18" i="3" s="1"/>
  <c r="C31" i="5"/>
  <c r="G3" i="3"/>
  <c r="H18" i="3" l="1"/>
  <c r="I2" i="3"/>
  <c r="C9" i="1"/>
  <c r="C4" i="1" s="1"/>
  <c r="G4" i="3"/>
  <c r="C10" i="1" l="1"/>
  <c r="D19" i="3" s="1"/>
  <c r="H19" i="3" s="1"/>
  <c r="C14" i="1"/>
  <c r="C6" i="3"/>
  <c r="C5" i="1"/>
  <c r="E5" i="1" l="1"/>
  <c r="F38" i="1"/>
  <c r="G19" i="1"/>
  <c r="E19" i="1" s="1"/>
  <c r="C19" i="1" s="1"/>
  <c r="F39" i="1"/>
  <c r="C22" i="1"/>
  <c r="C25" i="5" s="1"/>
  <c r="F14" i="1"/>
  <c r="C16" i="1"/>
  <c r="E14" i="1"/>
  <c r="H39" i="1" l="1"/>
  <c r="H38" i="1"/>
  <c r="C17" i="1"/>
  <c r="C18" i="1" s="1"/>
  <c r="G16" i="1"/>
  <c r="D20" i="3"/>
  <c r="H20" i="3" s="1"/>
  <c r="C33" i="5"/>
  <c r="C34" i="5" s="1"/>
  <c r="C32" i="5"/>
  <c r="E32" i="5" s="1"/>
  <c r="D13" i="3" l="1"/>
  <c r="H13" i="3"/>
  <c r="E2" i="3" l="1"/>
  <c r="C5" i="3" s="1"/>
  <c r="C26" i="1"/>
  <c r="C28" i="1" s="1"/>
  <c r="C39" i="1" s="1"/>
  <c r="B39" i="1" s="1"/>
  <c r="H11" i="3"/>
  <c r="G2" i="3"/>
  <c r="C11" i="1" l="1"/>
  <c r="K39" i="1" l="1"/>
  <c r="C38" i="1" l="1"/>
  <c r="E39" i="1"/>
  <c r="D39" i="1" s="1"/>
  <c r="L39" i="1" s="1"/>
  <c r="G39" i="1"/>
  <c r="J39" i="1"/>
  <c r="K38" i="1" l="1"/>
  <c r="B38" i="1"/>
  <c r="G38" i="1" l="1"/>
  <c r="E38" i="1"/>
  <c r="C31" i="1" s="1"/>
  <c r="J38" i="1"/>
  <c r="D38" i="1" l="1"/>
  <c r="L38" i="1" l="1"/>
  <c r="L36" i="1" s="1"/>
  <c r="B33" i="1"/>
  <c r="C30" i="1"/>
</calcChain>
</file>

<file path=xl/sharedStrings.xml><?xml version="1.0" encoding="utf-8"?>
<sst xmlns="http://schemas.openxmlformats.org/spreadsheetml/2006/main" count="281" uniqueCount="185">
  <si>
    <t>kg/m^3</t>
  </si>
  <si>
    <t>Kg/m^2 manned space</t>
  </si>
  <si>
    <t>long ton/ft^3</t>
  </si>
  <si>
    <t>Radition Shielding</t>
  </si>
  <si>
    <t>kg/m^2</t>
  </si>
  <si>
    <t>AU</t>
  </si>
  <si>
    <t>m</t>
  </si>
  <si>
    <t>gvm</t>
  </si>
  <si>
    <t>kg</t>
  </si>
  <si>
    <t>Voyage</t>
  </si>
  <si>
    <t>Propellent</t>
  </si>
  <si>
    <t>Performance</t>
  </si>
  <si>
    <t>mdot</t>
  </si>
  <si>
    <t>kg/s</t>
  </si>
  <si>
    <t>1400 MJ/kg</t>
  </si>
  <si>
    <t>https://en.wikipedia.org/wiki/Specific_impulse</t>
  </si>
  <si>
    <t>ve</t>
  </si>
  <si>
    <t>iSP</t>
  </si>
  <si>
    <t>s</t>
  </si>
  <si>
    <t>Impulse</t>
  </si>
  <si>
    <t>N</t>
  </si>
  <si>
    <t>m/s/s</t>
  </si>
  <si>
    <t>Fusion Fuel Usage</t>
  </si>
  <si>
    <t>Fuel Mass Fac</t>
  </si>
  <si>
    <t>kg/kwh</t>
  </si>
  <si>
    <t>Engines</t>
  </si>
  <si>
    <t>kg/day</t>
  </si>
  <si>
    <t>kwh</t>
  </si>
  <si>
    <t>Habitat</t>
  </si>
  <si>
    <t>Structure</t>
  </si>
  <si>
    <t>m^2</t>
  </si>
  <si>
    <t>Volume</t>
  </si>
  <si>
    <t>Dry Mass</t>
  </si>
  <si>
    <t>days</t>
  </si>
  <si>
    <t>souls</t>
  </si>
  <si>
    <t>Fuel Capacity</t>
  </si>
  <si>
    <t>hours</t>
  </si>
  <si>
    <t>m/s</t>
  </si>
  <si>
    <t>au/day</t>
  </si>
  <si>
    <t>Fuel</t>
  </si>
  <si>
    <t>Time</t>
  </si>
  <si>
    <t>au</t>
  </si>
  <si>
    <t>Mission Duration</t>
  </si>
  <si>
    <t>Food</t>
  </si>
  <si>
    <t>tons</t>
  </si>
  <si>
    <t>Engine mass</t>
  </si>
  <si>
    <t>w/kg</t>
  </si>
  <si>
    <t>Reactor</t>
  </si>
  <si>
    <t>Reactor Mass</t>
  </si>
  <si>
    <t>m^3</t>
  </si>
  <si>
    <t>Height</t>
  </si>
  <si>
    <t>volume</t>
  </si>
  <si>
    <t>Nimitz Carrier</t>
  </si>
  <si>
    <t>Mass</t>
  </si>
  <si>
    <t>Saturn v</t>
  </si>
  <si>
    <t>Crew</t>
  </si>
  <si>
    <t>All</t>
  </si>
  <si>
    <t>Area</t>
  </si>
  <si>
    <t>Water</t>
  </si>
  <si>
    <t>deltav</t>
  </si>
  <si>
    <t>Cruise Ship</t>
  </si>
  <si>
    <t>Cargo Density</t>
  </si>
  <si>
    <t>tons/person</t>
  </si>
  <si>
    <t>Meals Per Chef</t>
  </si>
  <si>
    <t>https://www.stripes.com/news/what-does-it-take-to-feed-an-aircraft-carrier-on-a-combat-mission-about-17-300-meals-1.527749</t>
  </si>
  <si>
    <t>Meal Mass</t>
  </si>
  <si>
    <t>kg/meal</t>
  </si>
  <si>
    <t>Personal Effects</t>
  </si>
  <si>
    <t>Total</t>
  </si>
  <si>
    <t>Vessel</t>
  </si>
  <si>
    <t>m^2/person</t>
  </si>
  <si>
    <t>ton/person</t>
  </si>
  <si>
    <t>Radius</t>
  </si>
  <si>
    <t>Payload</t>
  </si>
  <si>
    <t>actual</t>
  </si>
  <si>
    <t>Bulk Cargo</t>
  </si>
  <si>
    <t>Mass Budget</t>
  </si>
  <si>
    <t>Mission Profile</t>
  </si>
  <si>
    <t>Endurance</t>
  </si>
  <si>
    <t>Overall</t>
  </si>
  <si>
    <t>nuclear plasma</t>
  </si>
  <si>
    <t>Power Usage</t>
  </si>
  <si>
    <t>Power Requirements</t>
  </si>
  <si>
    <t>kwh/person/day</t>
  </si>
  <si>
    <t>kwh/day</t>
  </si>
  <si>
    <t>Peak Output</t>
  </si>
  <si>
    <t>w</t>
  </si>
  <si>
    <t>Efficiency</t>
  </si>
  <si>
    <t>Rector Volume</t>
  </si>
  <si>
    <t>Reactor Radius</t>
  </si>
  <si>
    <t>Based on international space station</t>
  </si>
  <si>
    <t>Radiator</t>
  </si>
  <si>
    <t>Energy Dissapation</t>
  </si>
  <si>
    <t>w/m^2</t>
  </si>
  <si>
    <t>Electrical Efficiency</t>
  </si>
  <si>
    <t>watt</t>
  </si>
  <si>
    <t>Surface area</t>
  </si>
  <si>
    <t>Thermal Heat (peak)</t>
  </si>
  <si>
    <t>Thermal Heat (coast)</t>
  </si>
  <si>
    <t>Thermal Management</t>
  </si>
  <si>
    <t>Engines Running</t>
  </si>
  <si>
    <t>Coasting</t>
  </si>
  <si>
    <t>radiated watts</t>
  </si>
  <si>
    <t>density</t>
  </si>
  <si>
    <t>Ice</t>
  </si>
  <si>
    <t>Enthalpy of react mass</t>
  </si>
  <si>
    <t>enthalpy of fusion</t>
  </si>
  <si>
    <t>J/kg</t>
  </si>
  <si>
    <t>enthalpy</t>
  </si>
  <si>
    <t>seconds</t>
  </si>
  <si>
    <t>Time to melt</t>
  </si>
  <si>
    <t>Temperature rise water</t>
  </si>
  <si>
    <t>dec c / second</t>
  </si>
  <si>
    <t>Full engine thrust</t>
  </si>
  <si>
    <t>Gyros</t>
  </si>
  <si>
    <t>Meals/day</t>
  </si>
  <si>
    <t>Life Support Equipment</t>
  </si>
  <si>
    <t>kg/person</t>
  </si>
  <si>
    <t>Voyage Stages</t>
  </si>
  <si>
    <t>reaction mass</t>
  </si>
  <si>
    <t>Internal Reaction Tank</t>
  </si>
  <si>
    <t>steel ship</t>
  </si>
  <si>
    <t>cryogenic fuel tank</t>
  </si>
  <si>
    <t>ice tank</t>
  </si>
  <si>
    <t>Based on Space Shuttle main tank</t>
  </si>
  <si>
    <t>solid propellant</t>
  </si>
  <si>
    <t>Ammonium Percolate</t>
  </si>
  <si>
    <t>Max Deltav</t>
  </si>
  <si>
    <t>dry mass</t>
  </si>
  <si>
    <t>payload</t>
  </si>
  <si>
    <t>External Tanks</t>
  </si>
  <si>
    <t>Stage</t>
  </si>
  <si>
    <t>m0</t>
  </si>
  <si>
    <t>mf</t>
  </si>
  <si>
    <t>stages</t>
  </si>
  <si>
    <t>Empty Mass</t>
  </si>
  <si>
    <t>propellant</t>
  </si>
  <si>
    <t>kg/kg</t>
  </si>
  <si>
    <t>Officers</t>
  </si>
  <si>
    <t>wat/kg</t>
  </si>
  <si>
    <t>kwh/kg</t>
  </si>
  <si>
    <t>Lithium Deutride is exploded in volumes of propellent to produce thrust</t>
  </si>
  <si>
    <t>Max G</t>
  </si>
  <si>
    <t>Deploy / Patrol / Return</t>
  </si>
  <si>
    <t>(With Drop Tank)</t>
  </si>
  <si>
    <t>total Propellent</t>
  </si>
  <si>
    <t>total fuel</t>
  </si>
  <si>
    <t>Accomdation</t>
  </si>
  <si>
    <t>Total Propellant</t>
  </si>
  <si>
    <t>Ferry Range</t>
  </si>
  <si>
    <t>distance</t>
  </si>
  <si>
    <t>Hexagon</t>
  </si>
  <si>
    <t>Vertex</t>
  </si>
  <si>
    <t>Theta</t>
  </si>
  <si>
    <t>x</t>
  </si>
  <si>
    <t>y</t>
  </si>
  <si>
    <t>Scale</t>
  </si>
  <si>
    <t>Thickness</t>
  </si>
  <si>
    <t>Yield Strength</t>
  </si>
  <si>
    <t>Steel (Maraging)</t>
  </si>
  <si>
    <t>Mpa</t>
  </si>
  <si>
    <t>Pa</t>
  </si>
  <si>
    <t>yield</t>
  </si>
  <si>
    <t>Shell</t>
  </si>
  <si>
    <t>Passenger</t>
  </si>
  <si>
    <t>Earth Escape Velocity</t>
  </si>
  <si>
    <t>km/h</t>
  </si>
  <si>
    <t>m/2</t>
  </si>
  <si>
    <t>Cargo Pods</t>
  </si>
  <si>
    <t>Fuel Pods</t>
  </si>
  <si>
    <t>737's</t>
  </si>
  <si>
    <t>ton</t>
  </si>
  <si>
    <t>Occupants</t>
  </si>
  <si>
    <t>Humans</t>
  </si>
  <si>
    <t>kg / person</t>
  </si>
  <si>
    <t>Max Range</t>
  </si>
  <si>
    <t>Boeing 737-400</t>
  </si>
  <si>
    <t>max takeoff</t>
  </si>
  <si>
    <t>EEV</t>
  </si>
  <si>
    <t>Aluminum</t>
  </si>
  <si>
    <t>MT</t>
  </si>
  <si>
    <t>Max Accel</t>
  </si>
  <si>
    <t>g</t>
  </si>
  <si>
    <t>containers</t>
  </si>
  <si>
    <t>Outer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</si>
</sst>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.0"/>
    <numFmt numFmtId="165" formatCode="0.0000E+00"/>
    <numFmt numFmtId="166" formatCode="0.000"/>
    <numFmt numFmtId="167" formatCode="0.000E+00"/>
    <numFmt numFmtId="168" formatCode="0.0000"/>
    <numFmt numFmtId="169" formatCode="0.000000"/>
  </numFmts>
  <fonts count="4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rgb="FF20212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1">
    <xf numFmtId="0" fontId="0" fillId="0" borderId="0" xfId="0"/>
    <xf numFmtId="0" fontId="0" fillId="2" borderId="0" xfId="0" applyFill="1"/>
    <xf numFmtId="11" fontId="0" fillId="2" borderId="0" xfId="0" applyNumberFormat="1" applyFill="1"/>
    <xf numFmtId="11" fontId="0" fillId="0" borderId="0" xfId="0" applyNumberFormat="1"/>
    <xf numFmtId="2" fontId="0" fillId="0" borderId="0" xfId="0" applyNumberFormat="1"/>
    <xf numFmtId="164" fontId="0" fillId="0" borderId="0" xfId="0" applyNumberFormat="1"/>
    <xf numFmtId="0" fontId="1" fillId="0" borderId="0" xfId="1"/>
    <xf numFmtId="2" fontId="2" fillId="0" borderId="0" xfId="0" applyNumberFormat="1" applyFont="1"/>
    <xf numFmtId="11" fontId="3" fillId="0" borderId="0" xfId="0" applyNumberFormat="1" applyFont="1"/>
    <xf numFmtId="1" fontId="0" fillId="0" borderId="0" xfId="0" applyNumberFormat="1"/>
    <xf numFmtId="11" fontId="0" fillId="3" borderId="0" xfId="0" applyNumberFormat="1" applyFill="1"/>
    <xf numFmtId="166" fontId="0" fillId="0" borderId="0" xfId="0" applyNumberFormat="1"/>
    <xf numFmtId="0" fontId="0" fillId="3" borderId="0" xfId="0" applyFill="1"/>
    <xf numFmtId="167" fontId="0" fillId="2" borderId="0" xfId="0" applyNumberFormat="1" applyFill="1"/>
    <xf numFmtId="2" fontId="0" fillId="2" borderId="0" xfId="0" applyNumberFormat="1" applyFill="1"/>
    <xf numFmtId="168" fontId="0" fillId="2" borderId="0" xfId="0" applyNumberFormat="1" applyFill="1"/>
    <xf numFmtId="0" fontId="2" fillId="0" borderId="0" xfId="0" applyFont="1"/>
    <xf numFmtId="11" fontId="2" fillId="0" borderId="0" xfId="0" applyNumberFormat="1" applyFont="1"/>
    <xf numFmtId="0" fontId="2" fillId="2" borderId="0" xfId="0" applyFont="1" applyFill="1"/>
    <xf numFmtId="2" fontId="0" fillId="5" borderId="0" xfId="0" applyNumberFormat="1" applyFill="1"/>
    <xf numFmtId="167" fontId="2" fillId="4" borderId="0" xfId="0" applyNumberFormat="1" applyFont="1" applyFill="1"/>
    <xf numFmtId="165" fontId="0" fillId="4" borderId="0" xfId="0" applyNumberFormat="1" applyFill="1"/>
    <xf numFmtId="165" fontId="0" fillId="2" borderId="0" xfId="0" applyNumberFormat="1" applyFill="1"/>
    <xf numFmtId="2" fontId="2" fillId="2" borderId="0" xfId="0" applyNumberFormat="1" applyFont="1" applyFill="1"/>
    <xf numFmtId="169" fontId="0" fillId="0" borderId="0" xfId="0" applyNumberFormat="1"/>
    <xf numFmtId="2" fontId="0" fillId="3" borderId="0" xfId="0" applyNumberFormat="1" applyFill="1"/>
    <xf numFmtId="0" fontId="0" fillId="0" borderId="0" xfId="0" applyNumberFormat="1"/>
    <xf numFmtId="167" fontId="0" fillId="0" borderId="0" xfId="0" applyNumberFormat="1"/>
    <xf numFmtId="2" fontId="2" fillId="5" borderId="0" xfId="0" applyNumberFormat="1" applyFont="1" applyFill="1"/>
    <xf numFmtId="1" fontId="2" fillId="5" borderId="0" xfId="0" applyNumberFormat="1" applyFont="1" applyFill="1"/>
    <xf numFmtId="164" fontId="0" fillId="3" borderId="0" xfId="0" applyNumberFormat="1" applyFill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stripes.com/news/what-does-it-take-to-feed-an-aircraft-carrier-on-a-combat-mission-about-17-300-meals-1.52774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858C3E-8F18-CE42-BC80-3608AE2005FD}">
  <dimension ref="A1:J23"/>
  <sheetViews>
    <sheetView workbookViewId="0">
      <selection activeCell="H17" sqref="H17"/>
    </sheetView>
  </sheetViews>
  <sheetFormatPr baseColWidth="10" defaultRowHeight="16" x14ac:dyDescent="0.2"/>
  <cols>
    <col min="1" max="1" width="19.6640625" bestFit="1" customWidth="1"/>
    <col min="2" max="2" width="18" bestFit="1" customWidth="1"/>
    <col min="3" max="3" width="15.6640625" bestFit="1" customWidth="1"/>
    <col min="5" max="5" width="12.1640625" bestFit="1" customWidth="1"/>
  </cols>
  <sheetData>
    <row r="1" spans="1:10" x14ac:dyDescent="0.2">
      <c r="A1" t="s">
        <v>79</v>
      </c>
    </row>
    <row r="2" spans="1:10" x14ac:dyDescent="0.2">
      <c r="A2" t="s">
        <v>144</v>
      </c>
      <c r="B2" t="s">
        <v>7</v>
      </c>
      <c r="C2" s="22">
        <v>262000</v>
      </c>
      <c r="D2" t="s">
        <v>8</v>
      </c>
      <c r="E2" s="21">
        <f>D13+B13+C3</f>
        <v>261622.71303045755</v>
      </c>
      <c r="F2" t="s">
        <v>74</v>
      </c>
      <c r="G2" s="19">
        <f>E2/1000</f>
        <v>261.62271303045753</v>
      </c>
      <c r="H2" t="s">
        <v>44</v>
      </c>
      <c r="I2" s="4">
        <f>C2/constants!$C$13</f>
        <v>4.1587301587301591</v>
      </c>
      <c r="J2" t="s">
        <v>170</v>
      </c>
    </row>
    <row r="3" spans="1:10" x14ac:dyDescent="0.2">
      <c r="B3" t="s">
        <v>119</v>
      </c>
      <c r="C3" s="13">
        <f>structure!C4</f>
        <v>216000</v>
      </c>
      <c r="E3" s="20">
        <f>C3/3</f>
        <v>72000</v>
      </c>
      <c r="F3" t="s">
        <v>74</v>
      </c>
      <c r="G3" s="19">
        <f>C3/1000</f>
        <v>216</v>
      </c>
      <c r="H3" t="s">
        <v>44</v>
      </c>
    </row>
    <row r="4" spans="1:10" x14ac:dyDescent="0.2">
      <c r="B4" s="9" t="s">
        <v>127</v>
      </c>
      <c r="C4" s="29">
        <f>performance!$C$6*LN((design!C2+design!C3)/design!C2)</f>
        <v>25253.181606675087</v>
      </c>
      <c r="D4" s="16" t="s">
        <v>37</v>
      </c>
      <c r="E4">
        <f>C4/constants!$C$10*3600*24</f>
        <v>1.4584932797554366E-2</v>
      </c>
      <c r="F4" s="17" t="s">
        <v>38</v>
      </c>
      <c r="G4" s="19">
        <f>C4/constants!$C$37</f>
        <v>2.2575477156969104</v>
      </c>
      <c r="H4" t="s">
        <v>178</v>
      </c>
    </row>
    <row r="5" spans="1:10" x14ac:dyDescent="0.2">
      <c r="B5" s="9" t="s">
        <v>181</v>
      </c>
      <c r="C5" s="28">
        <f>(performance!$C$4*performance!$C$6)/(E2-C3)/9.8</f>
        <v>5.7427536110158499</v>
      </c>
      <c r="D5" s="16" t="s">
        <v>182</v>
      </c>
      <c r="F5" s="17"/>
      <c r="G5" s="19"/>
    </row>
    <row r="6" spans="1:10" x14ac:dyDescent="0.2">
      <c r="B6" s="9" t="s">
        <v>175</v>
      </c>
      <c r="C6" s="23">
        <f>E4*C10</f>
        <v>0.43754798392663097</v>
      </c>
      <c r="D6" s="16" t="s">
        <v>41</v>
      </c>
      <c r="E6" s="18"/>
      <c r="F6" s="17"/>
      <c r="G6" s="19"/>
    </row>
    <row r="7" spans="1:10" x14ac:dyDescent="0.2">
      <c r="F7" s="17"/>
    </row>
    <row r="8" spans="1:10" x14ac:dyDescent="0.2">
      <c r="A8" t="s">
        <v>56</v>
      </c>
      <c r="D8" s="9"/>
    </row>
    <row r="9" spans="1:10" x14ac:dyDescent="0.2">
      <c r="A9" t="s">
        <v>77</v>
      </c>
      <c r="B9" s="9" t="s">
        <v>55</v>
      </c>
      <c r="C9" s="9">
        <f>accomodation!C5</f>
        <v>12</v>
      </c>
      <c r="D9" t="s">
        <v>34</v>
      </c>
      <c r="H9" s="3"/>
    </row>
    <row r="10" spans="1:10" x14ac:dyDescent="0.2">
      <c r="B10" t="s">
        <v>78</v>
      </c>
      <c r="C10">
        <v>30</v>
      </c>
      <c r="D10" t="s">
        <v>33</v>
      </c>
      <c r="G10" s="4"/>
    </row>
    <row r="11" spans="1:10" x14ac:dyDescent="0.2">
      <c r="A11" t="s">
        <v>76</v>
      </c>
      <c r="H11" s="3">
        <f>D13-B13</f>
        <v>23622.713030457562</v>
      </c>
    </row>
    <row r="12" spans="1:10" x14ac:dyDescent="0.2">
      <c r="B12" t="s">
        <v>73</v>
      </c>
      <c r="D12" t="s">
        <v>32</v>
      </c>
      <c r="F12" t="s">
        <v>31</v>
      </c>
    </row>
    <row r="13" spans="1:10" s="12" customFormat="1" x14ac:dyDescent="0.2">
      <c r="A13" s="12" t="s">
        <v>68</v>
      </c>
      <c r="B13" s="10">
        <f>SUM(B14:B23)</f>
        <v>11000</v>
      </c>
      <c r="D13" s="25">
        <f>SUM(D14:D22)</f>
        <v>34622.713030457562</v>
      </c>
      <c r="E13" s="12" t="s">
        <v>8</v>
      </c>
      <c r="F13" s="10">
        <f>SUM(F14:F23)</f>
        <v>317.37142857142857</v>
      </c>
      <c r="G13" s="12" t="s">
        <v>49</v>
      </c>
      <c r="H13" s="30">
        <f>SUM(H14:H22)</f>
        <v>45.622713030457561</v>
      </c>
      <c r="I13" s="12" t="s">
        <v>180</v>
      </c>
    </row>
    <row r="14" spans="1:10" x14ac:dyDescent="0.2">
      <c r="A14" t="s">
        <v>75</v>
      </c>
      <c r="B14" s="2">
        <f>structure!C3</f>
        <v>11000</v>
      </c>
      <c r="C14" t="s">
        <v>8</v>
      </c>
      <c r="D14" s="3"/>
      <c r="E14" t="s">
        <v>8</v>
      </c>
      <c r="F14" s="3">
        <f>structure!B3</f>
        <v>10</v>
      </c>
      <c r="G14" t="s">
        <v>49</v>
      </c>
      <c r="H14" s="30">
        <f>B14/1000</f>
        <v>11</v>
      </c>
      <c r="I14" s="12" t="s">
        <v>180</v>
      </c>
    </row>
    <row r="15" spans="1:10" x14ac:dyDescent="0.2">
      <c r="A15" t="s">
        <v>120</v>
      </c>
      <c r="B15" s="2"/>
      <c r="D15" s="3"/>
      <c r="E15" t="s">
        <v>8</v>
      </c>
      <c r="F15" s="3">
        <f>structure!B4</f>
        <v>80</v>
      </c>
      <c r="G15" t="s">
        <v>49</v>
      </c>
      <c r="H15" s="30">
        <f>D15/1000</f>
        <v>0</v>
      </c>
      <c r="I15" s="12" t="s">
        <v>180</v>
      </c>
    </row>
    <row r="16" spans="1:10" x14ac:dyDescent="0.2">
      <c r="A16" t="s">
        <v>35</v>
      </c>
      <c r="B16" s="2"/>
      <c r="C16" t="s">
        <v>8</v>
      </c>
      <c r="E16" t="s">
        <v>8</v>
      </c>
      <c r="F16" s="3">
        <f>structure!B4</f>
        <v>80</v>
      </c>
      <c r="G16" t="s">
        <v>49</v>
      </c>
      <c r="H16" s="30">
        <f>D16/1000</f>
        <v>0</v>
      </c>
      <c r="I16" s="12" t="s">
        <v>180</v>
      </c>
    </row>
    <row r="17" spans="1:9" x14ac:dyDescent="0.2">
      <c r="A17" t="s">
        <v>147</v>
      </c>
      <c r="C17" t="s">
        <v>8</v>
      </c>
      <c r="D17" s="10">
        <f>accomodation!C25</f>
        <v>13882</v>
      </c>
      <c r="E17" t="s">
        <v>8</v>
      </c>
      <c r="F17" s="3">
        <f>accomodation!C24</f>
        <v>127.37142857142857</v>
      </c>
      <c r="G17" t="s">
        <v>49</v>
      </c>
      <c r="H17" s="30">
        <f>D17/1000</f>
        <v>13.882</v>
      </c>
      <c r="I17" s="12" t="s">
        <v>180</v>
      </c>
    </row>
    <row r="18" spans="1:9" x14ac:dyDescent="0.2">
      <c r="A18" t="s">
        <v>29</v>
      </c>
      <c r="D18" s="3">
        <f>F13*constants!C4</f>
        <v>18762.639327363751</v>
      </c>
      <c r="E18" t="s">
        <v>8</v>
      </c>
      <c r="H18" s="30">
        <f>D18/1000</f>
        <v>18.76263932736375</v>
      </c>
      <c r="I18" s="12" t="s">
        <v>180</v>
      </c>
    </row>
    <row r="19" spans="1:9" x14ac:dyDescent="0.2">
      <c r="A19" t="s">
        <v>25</v>
      </c>
      <c r="D19" s="3">
        <f>performance!C10</f>
        <v>1097.6257030938141</v>
      </c>
      <c r="E19" t="s">
        <v>8</v>
      </c>
      <c r="F19" s="3"/>
      <c r="H19" s="30">
        <f>D19/1000</f>
        <v>1.0976257030938141</v>
      </c>
      <c r="I19" s="12" t="s">
        <v>180</v>
      </c>
    </row>
    <row r="20" spans="1:9" x14ac:dyDescent="0.2">
      <c r="A20" t="s">
        <v>47</v>
      </c>
      <c r="D20" s="3">
        <f>performance!C16</f>
        <v>880.44799999999998</v>
      </c>
      <c r="E20" t="s">
        <v>8</v>
      </c>
      <c r="F20" s="3">
        <f>structure!B11*2</f>
        <v>20</v>
      </c>
      <c r="G20" t="s">
        <v>49</v>
      </c>
      <c r="H20" s="30">
        <f>D20/1000</f>
        <v>0.88044800000000001</v>
      </c>
      <c r="I20" s="12" t="s">
        <v>180</v>
      </c>
    </row>
    <row r="21" spans="1:9" x14ac:dyDescent="0.2">
      <c r="A21" t="s">
        <v>114</v>
      </c>
      <c r="D21" s="3">
        <f>structure!C47</f>
        <v>0</v>
      </c>
      <c r="E21" t="s">
        <v>8</v>
      </c>
      <c r="H21" s="30">
        <f>D21/1000</f>
        <v>0</v>
      </c>
      <c r="I21" s="12" t="s">
        <v>180</v>
      </c>
    </row>
    <row r="22" spans="1:9" x14ac:dyDescent="0.2">
      <c r="A22" t="s">
        <v>130</v>
      </c>
      <c r="B22" s="3"/>
      <c r="D22" s="3"/>
      <c r="E22" t="s">
        <v>8</v>
      </c>
      <c r="H22" s="30">
        <f>D22/1000</f>
        <v>0</v>
      </c>
      <c r="I22" s="12" t="s">
        <v>180</v>
      </c>
    </row>
    <row r="23" spans="1:9" x14ac:dyDescent="0.2">
      <c r="B23" s="9"/>
      <c r="F23" s="3"/>
      <c r="H23" s="3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B87983-2C50-0141-ABEC-D1342E122A7D}">
  <dimension ref="A1:G50"/>
  <sheetViews>
    <sheetView tabSelected="1" zoomScale="119" workbookViewId="0">
      <selection activeCell="B11" sqref="B11"/>
    </sheetView>
  </sheetViews>
  <sheetFormatPr baseColWidth="10" defaultRowHeight="16" x14ac:dyDescent="0.2"/>
  <cols>
    <col min="1" max="1" width="27" bestFit="1" customWidth="1"/>
    <col min="2" max="2" width="18" bestFit="1" customWidth="1"/>
    <col min="3" max="3" width="12.1640625" bestFit="1" customWidth="1"/>
  </cols>
  <sheetData>
    <row r="1" spans="1:7" x14ac:dyDescent="0.2">
      <c r="A1" t="s">
        <v>118</v>
      </c>
    </row>
    <row r="2" spans="1:7" x14ac:dyDescent="0.2">
      <c r="B2" s="4" t="s">
        <v>31</v>
      </c>
      <c r="C2" t="s">
        <v>53</v>
      </c>
    </row>
    <row r="3" spans="1:7" x14ac:dyDescent="0.2">
      <c r="A3" t="s">
        <v>168</v>
      </c>
      <c r="B3" s="27">
        <f>D3*$B$12</f>
        <v>10</v>
      </c>
      <c r="C3" s="3">
        <f>B3*constants!$C$19</f>
        <v>11000</v>
      </c>
      <c r="D3">
        <v>0.5</v>
      </c>
      <c r="E3" s="4">
        <f>C3/1000</f>
        <v>11</v>
      </c>
    </row>
    <row r="4" spans="1:7" x14ac:dyDescent="0.2">
      <c r="A4" t="s">
        <v>169</v>
      </c>
      <c r="B4" s="27">
        <f>D4*$B$12</f>
        <v>80</v>
      </c>
      <c r="C4" s="3">
        <f>B4*constants!$C$39</f>
        <v>216000</v>
      </c>
      <c r="D4">
        <v>4</v>
      </c>
    </row>
    <row r="5" spans="1:7" x14ac:dyDescent="0.2">
      <c r="B5" s="3"/>
      <c r="C5" s="3"/>
    </row>
    <row r="6" spans="1:7" x14ac:dyDescent="0.2">
      <c r="A6" t="s">
        <v>151</v>
      </c>
      <c r="C6" t="s">
        <v>163</v>
      </c>
      <c r="D6" t="s">
        <v>184</v>
      </c>
    </row>
    <row r="7" spans="1:7" x14ac:dyDescent="0.2">
      <c r="A7" t="s">
        <v>158</v>
      </c>
      <c r="B7" s="3">
        <f>constants!E34</f>
        <v>2400000000</v>
      </c>
      <c r="G7" s="3">
        <f>constants!J34</f>
        <v>0</v>
      </c>
    </row>
    <row r="8" spans="1:7" x14ac:dyDescent="0.2">
      <c r="A8" t="s">
        <v>72</v>
      </c>
      <c r="B8">
        <f>SQRT(B11*2/(3*SQRT(3)))</f>
        <v>1.9618873042551412</v>
      </c>
      <c r="D8" s="24">
        <f>B8+B9</f>
        <v>2</v>
      </c>
      <c r="E8">
        <f>B8*2*1000</f>
        <v>3923.7746085102826</v>
      </c>
      <c r="F8">
        <f>B8*1000</f>
        <v>1961.8873042551413</v>
      </c>
      <c r="G8">
        <v>2</v>
      </c>
    </row>
    <row r="9" spans="1:7" x14ac:dyDescent="0.2">
      <c r="A9" t="s">
        <v>157</v>
      </c>
      <c r="B9" s="24">
        <f>2-B8</f>
        <v>3.811269574485876E-2</v>
      </c>
      <c r="C9">
        <v>1E-3</v>
      </c>
      <c r="G9" s="24">
        <f>2-G8</f>
        <v>0</v>
      </c>
    </row>
    <row r="10" spans="1:7" x14ac:dyDescent="0.2">
      <c r="A10" t="s">
        <v>50</v>
      </c>
      <c r="B10" s="24">
        <v>2</v>
      </c>
      <c r="C10" s="4">
        <f>B10+(B9*2)</f>
        <v>2.0762253914897175</v>
      </c>
      <c r="D10" s="24">
        <f>B10+B9</f>
        <v>2.038112695744859</v>
      </c>
      <c r="G10">
        <v>2</v>
      </c>
    </row>
    <row r="11" spans="1:7" x14ac:dyDescent="0.2">
      <c r="A11" t="s">
        <v>57</v>
      </c>
      <c r="B11">
        <v>10</v>
      </c>
      <c r="C11" s="4">
        <f>((D11*2)+6*D8*D10)</f>
        <v>45.241962039764836</v>
      </c>
      <c r="D11">
        <f>SQRT(3)*3/2*D8*D8</f>
        <v>10.392304845413264</v>
      </c>
      <c r="E11">
        <f>1219 * 1016/1000000</f>
        <v>1.238504</v>
      </c>
      <c r="G11">
        <v>10.1</v>
      </c>
    </row>
    <row r="12" spans="1:7" x14ac:dyDescent="0.2">
      <c r="A12" t="s">
        <v>31</v>
      </c>
      <c r="B12">
        <f>B11*B10</f>
        <v>20</v>
      </c>
      <c r="C12" s="4">
        <f>(D12-B12)*0.1</f>
        <v>0.11806884434875863</v>
      </c>
      <c r="D12">
        <f>D11*D10</f>
        <v>21.180688443487586</v>
      </c>
      <c r="G12">
        <f>G11*G10</f>
        <v>20.2</v>
      </c>
    </row>
    <row r="13" spans="1:7" x14ac:dyDescent="0.2">
      <c r="A13" t="s">
        <v>53</v>
      </c>
      <c r="B13" s="4">
        <f>B12*constants!C19+C13</f>
        <v>22193.632904731963</v>
      </c>
      <c r="C13" s="4">
        <f>C12*constants!C33*0.2</f>
        <v>193.63290473196415</v>
      </c>
      <c r="E13">
        <v>2086.5250000000001</v>
      </c>
      <c r="G13" s="4">
        <f>G12*constants!H19+H13</f>
        <v>0</v>
      </c>
    </row>
    <row r="14" spans="1:7" x14ac:dyDescent="0.2">
      <c r="A14" t="s">
        <v>156</v>
      </c>
      <c r="B14">
        <f>200/10</f>
        <v>20</v>
      </c>
    </row>
    <row r="15" spans="1:7" x14ac:dyDescent="0.2">
      <c r="A15" t="s">
        <v>152</v>
      </c>
      <c r="B15" t="s">
        <v>153</v>
      </c>
      <c r="C15" t="s">
        <v>154</v>
      </c>
      <c r="D15" t="s">
        <v>155</v>
      </c>
    </row>
    <row r="16" spans="1:7" x14ac:dyDescent="0.2">
      <c r="A16">
        <v>1</v>
      </c>
      <c r="B16">
        <f>2*PI()*A16/6</f>
        <v>1.0471975511965976</v>
      </c>
      <c r="C16" s="11">
        <f t="shared" ref="C16:C21" si="0">COS(B16)*($B$8+$B$9)*$B$14</f>
        <v>20.000000000000004</v>
      </c>
      <c r="D16" s="11">
        <f t="shared" ref="D16:D21" si="1">SIN(B16)*($B$8+$B$9)*$B$14</f>
        <v>34.641016151377542</v>
      </c>
    </row>
    <row r="17" spans="1:6" x14ac:dyDescent="0.2">
      <c r="A17">
        <v>2</v>
      </c>
      <c r="B17">
        <f t="shared" ref="B17:B21" si="2">2*PI()*A17/6</f>
        <v>2.0943951023931953</v>
      </c>
      <c r="C17" s="11">
        <f t="shared" si="0"/>
        <v>-19.999999999999993</v>
      </c>
      <c r="D17" s="11">
        <f t="shared" si="1"/>
        <v>34.641016151377549</v>
      </c>
    </row>
    <row r="18" spans="1:6" x14ac:dyDescent="0.2">
      <c r="A18">
        <v>3</v>
      </c>
      <c r="B18">
        <f t="shared" si="2"/>
        <v>3.1415926535897931</v>
      </c>
      <c r="C18" s="11">
        <f t="shared" si="0"/>
        <v>-40</v>
      </c>
      <c r="D18" s="11">
        <f t="shared" si="1"/>
        <v>4.90059381963448E-15</v>
      </c>
      <c r="E18" s="3"/>
    </row>
    <row r="19" spans="1:6" x14ac:dyDescent="0.2">
      <c r="A19">
        <v>4</v>
      </c>
      <c r="B19">
        <f t="shared" si="2"/>
        <v>4.1887902047863905</v>
      </c>
      <c r="C19" s="11">
        <f t="shared" si="0"/>
        <v>-20.000000000000018</v>
      </c>
      <c r="D19" s="11">
        <f t="shared" si="1"/>
        <v>-34.641016151377535</v>
      </c>
    </row>
    <row r="20" spans="1:6" x14ac:dyDescent="0.2">
      <c r="A20">
        <v>5</v>
      </c>
      <c r="B20">
        <f t="shared" si="2"/>
        <v>5.2359877559829888</v>
      </c>
      <c r="C20" s="11">
        <f t="shared" si="0"/>
        <v>20.000000000000004</v>
      </c>
      <c r="D20" s="11">
        <f t="shared" si="1"/>
        <v>-34.641016151377542</v>
      </c>
    </row>
    <row r="21" spans="1:6" x14ac:dyDescent="0.2">
      <c r="A21">
        <v>6</v>
      </c>
      <c r="B21">
        <f t="shared" si="2"/>
        <v>6.2831853071795862</v>
      </c>
      <c r="C21" s="11">
        <f t="shared" si="0"/>
        <v>40</v>
      </c>
      <c r="D21" s="11">
        <f t="shared" si="1"/>
        <v>-9.8011876392689601E-15</v>
      </c>
    </row>
    <row r="22" spans="1:6" x14ac:dyDescent="0.2">
      <c r="A22" t="s">
        <v>91</v>
      </c>
    </row>
    <row r="23" spans="1:6" x14ac:dyDescent="0.2">
      <c r="B23" t="s">
        <v>92</v>
      </c>
      <c r="C23">
        <v>350</v>
      </c>
      <c r="D23" t="s">
        <v>93</v>
      </c>
    </row>
    <row r="24" spans="1:6" x14ac:dyDescent="0.2">
      <c r="B24" t="s">
        <v>53</v>
      </c>
      <c r="C24">
        <v>1</v>
      </c>
      <c r="D24" t="s">
        <v>4</v>
      </c>
    </row>
    <row r="25" spans="1:6" x14ac:dyDescent="0.2">
      <c r="B25" t="s">
        <v>97</v>
      </c>
      <c r="C25" s="3">
        <f>performance!C22</f>
        <v>3521792</v>
      </c>
      <c r="D25" t="s">
        <v>95</v>
      </c>
    </row>
    <row r="26" spans="1:6" x14ac:dyDescent="0.2">
      <c r="B26" t="s">
        <v>98</v>
      </c>
      <c r="C26">
        <f>accomodation!C12/24/3600*1000</f>
        <v>4.6296296296296306</v>
      </c>
      <c r="D26" t="s">
        <v>95</v>
      </c>
    </row>
    <row r="28" spans="1:6" x14ac:dyDescent="0.2">
      <c r="B28" t="s">
        <v>96</v>
      </c>
      <c r="C28">
        <f>B8*B10*3*6</f>
        <v>70.627942953185084</v>
      </c>
      <c r="D28" t="s">
        <v>30</v>
      </c>
    </row>
    <row r="29" spans="1:6" x14ac:dyDescent="0.2">
      <c r="B29" t="s">
        <v>102</v>
      </c>
      <c r="C29" s="3">
        <f>C28*C23</f>
        <v>24719.780033614777</v>
      </c>
      <c r="D29" t="s">
        <v>95</v>
      </c>
      <c r="E29" s="11"/>
    </row>
    <row r="30" spans="1:6" x14ac:dyDescent="0.2">
      <c r="C30" s="3">
        <f>design!C3</f>
        <v>216000</v>
      </c>
      <c r="E30" s="11"/>
    </row>
    <row r="31" spans="1:6" x14ac:dyDescent="0.2">
      <c r="B31" t="s">
        <v>105</v>
      </c>
      <c r="C31" s="3">
        <f>C30*constants!C27</f>
        <v>72046800000</v>
      </c>
    </row>
    <row r="32" spans="1:6" x14ac:dyDescent="0.2">
      <c r="B32" t="s">
        <v>110</v>
      </c>
      <c r="C32" s="3">
        <f>C31/C25</f>
        <v>20457.426219379224</v>
      </c>
      <c r="D32" t="s">
        <v>109</v>
      </c>
      <c r="E32" s="4">
        <f>C32/24/3600</f>
        <v>0.23677576642800027</v>
      </c>
      <c r="F32" t="s">
        <v>33</v>
      </c>
    </row>
    <row r="33" spans="2:4" x14ac:dyDescent="0.2">
      <c r="B33" t="s">
        <v>111</v>
      </c>
      <c r="C33" s="3">
        <f>C25/(C30*constants!C28)</f>
        <v>3.8950292863336343E-3</v>
      </c>
      <c r="D33" t="s">
        <v>112</v>
      </c>
    </row>
    <row r="34" spans="2:4" x14ac:dyDescent="0.2">
      <c r="C34" s="4">
        <f>C33*(performance!C75+performance!C64)</f>
        <v>0</v>
      </c>
      <c r="D34" t="s">
        <v>113</v>
      </c>
    </row>
    <row r="37" spans="2:4" x14ac:dyDescent="0.2">
      <c r="C37" s="3"/>
    </row>
    <row r="38" spans="2:4" x14ac:dyDescent="0.2">
      <c r="C38" s="3"/>
    </row>
    <row r="39" spans="2:4" x14ac:dyDescent="0.2">
      <c r="C39" s="3"/>
    </row>
    <row r="40" spans="2:4" x14ac:dyDescent="0.2">
      <c r="C40" s="3"/>
    </row>
    <row r="47" spans="2:4" x14ac:dyDescent="0.2">
      <c r="C47" s="3"/>
    </row>
    <row r="49" spans="3:3" x14ac:dyDescent="0.2">
      <c r="C49" s="3"/>
    </row>
    <row r="50" spans="3:3" x14ac:dyDescent="0.2">
      <c r="C50" s="4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B56685-5D1E-AD4C-A969-3C8B8D65B0C6}">
  <dimension ref="A2:G65"/>
  <sheetViews>
    <sheetView workbookViewId="0">
      <selection activeCell="F25" sqref="F25"/>
    </sheetView>
  </sheetViews>
  <sheetFormatPr baseColWidth="10" defaultRowHeight="16" x14ac:dyDescent="0.2"/>
  <cols>
    <col min="2" max="2" width="20.5" bestFit="1" customWidth="1"/>
    <col min="7" max="7" width="18.5" bestFit="1" customWidth="1"/>
    <col min="8" max="8" width="20.6640625" bestFit="1" customWidth="1"/>
  </cols>
  <sheetData>
    <row r="2" spans="1:7" x14ac:dyDescent="0.2">
      <c r="A2" t="s">
        <v>55</v>
      </c>
      <c r="C2" s="9">
        <v>1</v>
      </c>
      <c r="E2" s="9"/>
    </row>
    <row r="3" spans="1:7" x14ac:dyDescent="0.2">
      <c r="A3" t="s">
        <v>138</v>
      </c>
      <c r="C3" s="9">
        <v>1</v>
      </c>
      <c r="E3" s="9"/>
    </row>
    <row r="4" spans="1:7" x14ac:dyDescent="0.2">
      <c r="A4" t="s">
        <v>164</v>
      </c>
      <c r="C4" s="9">
        <v>10</v>
      </c>
      <c r="E4" s="9"/>
    </row>
    <row r="5" spans="1:7" x14ac:dyDescent="0.2">
      <c r="A5" t="s">
        <v>56</v>
      </c>
      <c r="C5" s="9">
        <f>C2+C3+C4</f>
        <v>12</v>
      </c>
      <c r="E5" s="9"/>
    </row>
    <row r="6" spans="1:7" x14ac:dyDescent="0.2">
      <c r="A6" t="s">
        <v>42</v>
      </c>
      <c r="C6">
        <f>design!C10</f>
        <v>30</v>
      </c>
      <c r="D6" t="s">
        <v>33</v>
      </c>
    </row>
    <row r="8" spans="1:7" x14ac:dyDescent="0.2">
      <c r="A8" t="s">
        <v>69</v>
      </c>
    </row>
    <row r="9" spans="1:7" x14ac:dyDescent="0.2">
      <c r="B9" t="s">
        <v>57</v>
      </c>
      <c r="C9" s="9">
        <f>SUM(B50:B64)</f>
        <v>0</v>
      </c>
      <c r="D9" t="s">
        <v>30</v>
      </c>
      <c r="E9">
        <f>C9/C5</f>
        <v>0</v>
      </c>
      <c r="F9" t="s">
        <v>70</v>
      </c>
    </row>
    <row r="10" spans="1:7" x14ac:dyDescent="0.2">
      <c r="B10" t="s">
        <v>32</v>
      </c>
      <c r="C10" s="9">
        <f>SUM(F50:F65)</f>
        <v>0</v>
      </c>
      <c r="D10" t="s">
        <v>8</v>
      </c>
      <c r="E10">
        <f>C10/C5/1000</f>
        <v>0</v>
      </c>
      <c r="F10" t="s">
        <v>71</v>
      </c>
    </row>
    <row r="11" spans="1:7" x14ac:dyDescent="0.2">
      <c r="B11" t="s">
        <v>50</v>
      </c>
      <c r="C11">
        <f>SUM(C50:C63)</f>
        <v>0</v>
      </c>
      <c r="D11" t="s">
        <v>6</v>
      </c>
    </row>
    <row r="12" spans="1:7" x14ac:dyDescent="0.2">
      <c r="B12" t="s">
        <v>81</v>
      </c>
      <c r="C12" s="9">
        <f>C5*constants!C22</f>
        <v>400</v>
      </c>
      <c r="D12" t="s">
        <v>84</v>
      </c>
    </row>
    <row r="13" spans="1:7" x14ac:dyDescent="0.2">
      <c r="B13" t="s">
        <v>94</v>
      </c>
      <c r="C13" s="4">
        <v>0.8</v>
      </c>
    </row>
    <row r="14" spans="1:7" x14ac:dyDescent="0.2">
      <c r="B14" t="s">
        <v>116</v>
      </c>
      <c r="C14" s="3">
        <f>constants!C23*C5</f>
        <v>9322</v>
      </c>
      <c r="D14" t="s">
        <v>8</v>
      </c>
      <c r="E14" s="3">
        <f>C14/2000</f>
        <v>4.6609999999999996</v>
      </c>
      <c r="F14" t="s">
        <v>49</v>
      </c>
      <c r="G14" s="3" t="s">
        <v>51</v>
      </c>
    </row>
    <row r="15" spans="1:7" x14ac:dyDescent="0.2">
      <c r="A15" t="s">
        <v>43</v>
      </c>
    </row>
    <row r="16" spans="1:7" x14ac:dyDescent="0.2">
      <c r="B16" t="s">
        <v>115</v>
      </c>
      <c r="C16">
        <f>C5*3</f>
        <v>36</v>
      </c>
    </row>
    <row r="17" spans="1:6" x14ac:dyDescent="0.2">
      <c r="B17" t="s">
        <v>65</v>
      </c>
      <c r="C17">
        <v>2</v>
      </c>
      <c r="D17" t="s">
        <v>66</v>
      </c>
    </row>
    <row r="18" spans="1:6" x14ac:dyDescent="0.2">
      <c r="B18" t="s">
        <v>53</v>
      </c>
      <c r="C18">
        <f>C16*C6*C17</f>
        <v>2160</v>
      </c>
      <c r="D18" t="s">
        <v>8</v>
      </c>
    </row>
    <row r="19" spans="1:6" x14ac:dyDescent="0.2">
      <c r="A19" t="s">
        <v>172</v>
      </c>
    </row>
    <row r="20" spans="1:6" x14ac:dyDescent="0.2">
      <c r="B20" t="s">
        <v>173</v>
      </c>
      <c r="C20">
        <f>E20*C5</f>
        <v>1200</v>
      </c>
      <c r="D20" t="s">
        <v>8</v>
      </c>
      <c r="E20" s="9">
        <v>100</v>
      </c>
      <c r="F20" t="s">
        <v>174</v>
      </c>
    </row>
    <row r="21" spans="1:6" x14ac:dyDescent="0.2">
      <c r="B21" t="s">
        <v>67</v>
      </c>
      <c r="C21">
        <f>C5*E21</f>
        <v>1200</v>
      </c>
      <c r="D21" t="s">
        <v>8</v>
      </c>
      <c r="E21">
        <v>100</v>
      </c>
      <c r="F21" t="s">
        <v>8</v>
      </c>
    </row>
    <row r="23" spans="1:6" x14ac:dyDescent="0.2">
      <c r="A23" t="s">
        <v>68</v>
      </c>
      <c r="E23" s="9"/>
    </row>
    <row r="24" spans="1:6" x14ac:dyDescent="0.2">
      <c r="B24" t="s">
        <v>31</v>
      </c>
      <c r="C24" s="9">
        <f>74.3/7*C5</f>
        <v>127.37142857142857</v>
      </c>
      <c r="D24" t="s">
        <v>49</v>
      </c>
      <c r="E24">
        <f>C24/structure!B12</f>
        <v>6.3685714285714283</v>
      </c>
      <c r="F24" t="s">
        <v>183</v>
      </c>
    </row>
    <row r="25" spans="1:6" x14ac:dyDescent="0.2">
      <c r="B25" t="s">
        <v>53</v>
      </c>
      <c r="C25" s="3">
        <f>C20+C21+C18+C14</f>
        <v>13882</v>
      </c>
    </row>
    <row r="31" spans="1:6" x14ac:dyDescent="0.2">
      <c r="E31" s="9"/>
    </row>
    <row r="50" spans="4:6" x14ac:dyDescent="0.2">
      <c r="D50" s="11"/>
      <c r="F50" s="3"/>
    </row>
    <row r="51" spans="4:6" x14ac:dyDescent="0.2">
      <c r="D51" s="11"/>
      <c r="F51" s="3"/>
    </row>
    <row r="52" spans="4:6" x14ac:dyDescent="0.2">
      <c r="D52" s="11"/>
      <c r="F52" s="3"/>
    </row>
    <row r="53" spans="4:6" x14ac:dyDescent="0.2">
      <c r="D53" s="11"/>
      <c r="F53" s="3"/>
    </row>
    <row r="54" spans="4:6" x14ac:dyDescent="0.2">
      <c r="D54" s="11"/>
      <c r="F54" s="3"/>
    </row>
    <row r="55" spans="4:6" x14ac:dyDescent="0.2">
      <c r="D55" s="11"/>
      <c r="F55" s="3"/>
    </row>
    <row r="56" spans="4:6" x14ac:dyDescent="0.2">
      <c r="D56" s="11"/>
      <c r="F56" s="3"/>
    </row>
    <row r="57" spans="4:6" x14ac:dyDescent="0.2">
      <c r="D57" s="11"/>
      <c r="F57" s="3"/>
    </row>
    <row r="58" spans="4:6" x14ac:dyDescent="0.2">
      <c r="D58" s="11"/>
      <c r="F58" s="3"/>
    </row>
    <row r="59" spans="4:6" x14ac:dyDescent="0.2">
      <c r="D59" s="11"/>
      <c r="F59" s="3"/>
    </row>
    <row r="60" spans="4:6" x14ac:dyDescent="0.2">
      <c r="D60" s="11"/>
      <c r="F60" s="3"/>
    </row>
    <row r="61" spans="4:6" x14ac:dyDescent="0.2">
      <c r="D61" s="11"/>
      <c r="F61" s="3"/>
    </row>
    <row r="62" spans="4:6" x14ac:dyDescent="0.2">
      <c r="D62" s="11"/>
      <c r="F62" s="3"/>
    </row>
    <row r="63" spans="4:6" x14ac:dyDescent="0.2">
      <c r="D63" s="11"/>
      <c r="F63" s="3"/>
    </row>
    <row r="64" spans="4:6" x14ac:dyDescent="0.2">
      <c r="D64" s="11"/>
    </row>
    <row r="65" spans="4:4" x14ac:dyDescent="0.2">
      <c r="D65" s="1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F34FA7-CBD5-0B43-897C-990393E2A5D8}">
  <dimension ref="A1:M79"/>
  <sheetViews>
    <sheetView workbookViewId="0">
      <selection activeCell="C30" sqref="C30"/>
    </sheetView>
  </sheetViews>
  <sheetFormatPr baseColWidth="10" defaultRowHeight="16" x14ac:dyDescent="0.2"/>
  <cols>
    <col min="1" max="1" width="16.33203125" bestFit="1" customWidth="1"/>
    <col min="2" max="2" width="14.6640625" bestFit="1" customWidth="1"/>
    <col min="3" max="3" width="12.6640625" bestFit="1" customWidth="1"/>
    <col min="8" max="8" width="12.6640625" bestFit="1" customWidth="1"/>
    <col min="10" max="10" width="16.33203125" customWidth="1"/>
    <col min="11" max="11" width="11.1640625" bestFit="1" customWidth="1"/>
  </cols>
  <sheetData>
    <row r="1" spans="1:12" x14ac:dyDescent="0.2">
      <c r="A1" t="s">
        <v>9</v>
      </c>
    </row>
    <row r="3" spans="1:12" x14ac:dyDescent="0.2">
      <c r="A3" t="s">
        <v>11</v>
      </c>
      <c r="K3" s="4"/>
    </row>
    <row r="4" spans="1:12" x14ac:dyDescent="0.2">
      <c r="B4" t="s">
        <v>12</v>
      </c>
      <c r="C4" s="11">
        <f>C9/C6</f>
        <v>61.133333333333333</v>
      </c>
      <c r="D4" t="s">
        <v>13</v>
      </c>
      <c r="E4" t="s">
        <v>14</v>
      </c>
      <c r="F4" t="s">
        <v>15</v>
      </c>
    </row>
    <row r="5" spans="1:12" x14ac:dyDescent="0.2">
      <c r="B5" t="s">
        <v>59</v>
      </c>
      <c r="C5" s="9">
        <f>design!C4</f>
        <v>25253.181606675087</v>
      </c>
      <c r="D5" t="s">
        <v>37</v>
      </c>
      <c r="E5">
        <f>C5/constants!$C$10*3600*24</f>
        <v>1.4584932797554366E-2</v>
      </c>
      <c r="F5" t="s">
        <v>38</v>
      </c>
    </row>
    <row r="6" spans="1:12" x14ac:dyDescent="0.2">
      <c r="B6" t="s">
        <v>16</v>
      </c>
      <c r="C6" s="3">
        <v>42000</v>
      </c>
      <c r="D6" t="s">
        <v>80</v>
      </c>
      <c r="E6" s="3">
        <f>C6/200000000</f>
        <v>2.1000000000000001E-4</v>
      </c>
    </row>
    <row r="7" spans="1:12" x14ac:dyDescent="0.2">
      <c r="B7" t="s">
        <v>17</v>
      </c>
      <c r="C7" s="5">
        <f>C6/9.8</f>
        <v>4285.7142857142853</v>
      </c>
      <c r="D7" t="s">
        <v>18</v>
      </c>
      <c r="K7" s="7"/>
      <c r="L7" s="7"/>
    </row>
    <row r="8" spans="1:12" x14ac:dyDescent="0.2">
      <c r="B8" t="s">
        <v>87</v>
      </c>
      <c r="C8">
        <v>0.6</v>
      </c>
      <c r="K8" s="8"/>
    </row>
    <row r="9" spans="1:12" x14ac:dyDescent="0.2">
      <c r="B9" t="s">
        <v>19</v>
      </c>
      <c r="C9" s="3">
        <f>design!C2*E9</f>
        <v>2567600</v>
      </c>
      <c r="D9" t="s">
        <v>20</v>
      </c>
      <c r="E9">
        <f>9.8*1</f>
        <v>9.8000000000000007</v>
      </c>
      <c r="F9" t="s">
        <v>21</v>
      </c>
    </row>
    <row r="10" spans="1:12" x14ac:dyDescent="0.2">
      <c r="B10" t="s">
        <v>45</v>
      </c>
      <c r="C10" s="3">
        <f>C4/1000*constants!C3*E10</f>
        <v>1097.6257030938141</v>
      </c>
      <c r="D10" t="s">
        <v>8</v>
      </c>
      <c r="E10">
        <v>100</v>
      </c>
      <c r="F10" t="s">
        <v>46</v>
      </c>
    </row>
    <row r="11" spans="1:12" x14ac:dyDescent="0.2">
      <c r="B11" t="s">
        <v>135</v>
      </c>
      <c r="C11" s="3">
        <f>C26+C27</f>
        <v>45622.713030457562</v>
      </c>
    </row>
    <row r="12" spans="1:12" x14ac:dyDescent="0.2">
      <c r="A12" t="s">
        <v>22</v>
      </c>
    </row>
    <row r="13" spans="1:12" x14ac:dyDescent="0.2">
      <c r="B13" t="s">
        <v>23</v>
      </c>
      <c r="C13" s="3">
        <v>5.0520903105145081E-11</v>
      </c>
      <c r="D13" t="s">
        <v>24</v>
      </c>
    </row>
    <row r="14" spans="1:12" x14ac:dyDescent="0.2">
      <c r="B14" t="s">
        <v>85</v>
      </c>
      <c r="C14" s="3">
        <f>(G20)*3.6+(C9*(1-C8))</f>
        <v>8804480</v>
      </c>
      <c r="D14" t="s">
        <v>86</v>
      </c>
      <c r="E14">
        <f>POWER(C14,0.5)</f>
        <v>2967.2344026045535</v>
      </c>
      <c r="F14">
        <f>POWER(C14,0.3333)</f>
        <v>206.38101639840659</v>
      </c>
    </row>
    <row r="15" spans="1:12" x14ac:dyDescent="0.2">
      <c r="B15" t="s">
        <v>87</v>
      </c>
      <c r="C15" s="3">
        <v>0.6</v>
      </c>
    </row>
    <row r="16" spans="1:12" x14ac:dyDescent="0.2">
      <c r="B16" t="s">
        <v>48</v>
      </c>
      <c r="C16" s="3">
        <f>C14/E16</f>
        <v>880.44799999999998</v>
      </c>
      <c r="D16" t="s">
        <v>8</v>
      </c>
      <c r="E16">
        <v>10000</v>
      </c>
      <c r="F16" t="s">
        <v>46</v>
      </c>
      <c r="G16" s="26">
        <f>C16/1000</f>
        <v>0.88044800000000001</v>
      </c>
      <c r="H16" t="s">
        <v>171</v>
      </c>
    </row>
    <row r="17" spans="1:11" x14ac:dyDescent="0.2">
      <c r="B17" t="s">
        <v>88</v>
      </c>
      <c r="C17" s="3">
        <f>C16/7000</f>
        <v>0.1257782857142857</v>
      </c>
      <c r="D17" t="s">
        <v>30</v>
      </c>
      <c r="G17" s="3"/>
      <c r="I17" s="3"/>
    </row>
    <row r="18" spans="1:11" x14ac:dyDescent="0.2">
      <c r="B18" t="s">
        <v>89</v>
      </c>
      <c r="C18" s="5">
        <f>POWER(C17*3/(4*PI()),1/3)</f>
        <v>0.31081766056860399</v>
      </c>
      <c r="D18" t="s">
        <v>6</v>
      </c>
      <c r="G18" s="3"/>
    </row>
    <row r="19" spans="1:11" x14ac:dyDescent="0.2">
      <c r="B19" t="s">
        <v>25</v>
      </c>
      <c r="C19" s="3">
        <f>E19*C13</f>
        <v>7.6548812462847836E-6</v>
      </c>
      <c r="D19" t="s">
        <v>137</v>
      </c>
      <c r="E19" s="3">
        <f>G19/1000*3600</f>
        <v>151519.08964005052</v>
      </c>
      <c r="F19" t="s">
        <v>140</v>
      </c>
      <c r="G19" s="3">
        <f>C5/C8</f>
        <v>42088.636011125149</v>
      </c>
      <c r="H19" t="s">
        <v>139</v>
      </c>
      <c r="I19" s="3" t="s">
        <v>141</v>
      </c>
    </row>
    <row r="20" spans="1:11" x14ac:dyDescent="0.2">
      <c r="B20" t="s">
        <v>28</v>
      </c>
      <c r="C20" s="3">
        <f>E20/(24*3600)</f>
        <v>1.2632564706985584E-9</v>
      </c>
      <c r="D20" t="s">
        <v>13</v>
      </c>
      <c r="E20" s="3">
        <f>G20*$C$13</f>
        <v>1.0914535906835544E-4</v>
      </c>
      <c r="F20" t="s">
        <v>26</v>
      </c>
      <c r="G20" s="3">
        <f>accomodation!C12+90*1000*24</f>
        <v>2160400</v>
      </c>
      <c r="H20" t="s">
        <v>27</v>
      </c>
    </row>
    <row r="21" spans="1:11" x14ac:dyDescent="0.2">
      <c r="A21" t="s">
        <v>99</v>
      </c>
      <c r="C21" s="3"/>
      <c r="E21" s="3"/>
      <c r="G21" s="3"/>
    </row>
    <row r="22" spans="1:11" x14ac:dyDescent="0.2">
      <c r="B22" t="s">
        <v>100</v>
      </c>
      <c r="C22" s="3">
        <f>C14*(1-C15)</f>
        <v>3521792</v>
      </c>
      <c r="D22" t="s">
        <v>86</v>
      </c>
    </row>
    <row r="23" spans="1:11" x14ac:dyDescent="0.2">
      <c r="B23" t="s">
        <v>101</v>
      </c>
      <c r="C23" s="3">
        <f>G20/3600*1000</f>
        <v>600111.11111111112</v>
      </c>
      <c r="D23" t="s">
        <v>86</v>
      </c>
    </row>
    <row r="24" spans="1:11" x14ac:dyDescent="0.2">
      <c r="K24" s="3"/>
    </row>
    <row r="25" spans="1:11" x14ac:dyDescent="0.2">
      <c r="A25" t="s">
        <v>10</v>
      </c>
    </row>
    <row r="26" spans="1:11" x14ac:dyDescent="0.2">
      <c r="B26" t="s">
        <v>128</v>
      </c>
      <c r="C26" s="3">
        <f>design!D13</f>
        <v>34622.713030457562</v>
      </c>
    </row>
    <row r="27" spans="1:11" x14ac:dyDescent="0.2">
      <c r="B27" t="s">
        <v>129</v>
      </c>
      <c r="C27" s="3">
        <f>design!B13</f>
        <v>11000</v>
      </c>
    </row>
    <row r="28" spans="1:11" x14ac:dyDescent="0.2">
      <c r="B28" t="s">
        <v>133</v>
      </c>
      <c r="C28" s="3">
        <f>C26+C27</f>
        <v>45622.713030457562</v>
      </c>
    </row>
    <row r="29" spans="1:11" ht="13" customHeight="1" x14ac:dyDescent="0.2">
      <c r="B29" t="s">
        <v>134</v>
      </c>
      <c r="C29" s="9">
        <v>2</v>
      </c>
    </row>
    <row r="30" spans="1:11" x14ac:dyDescent="0.2">
      <c r="B30" t="s">
        <v>145</v>
      </c>
      <c r="C30" s="3">
        <f>SUM(D38:D39)</f>
        <v>106233.29976158307</v>
      </c>
    </row>
    <row r="31" spans="1:11" x14ac:dyDescent="0.2">
      <c r="B31" t="s">
        <v>146</v>
      </c>
      <c r="C31" s="3">
        <f>SUM(E38:E39)</f>
        <v>0.81320951909818906</v>
      </c>
      <c r="D31" s="3"/>
    </row>
    <row r="32" spans="1:11" x14ac:dyDescent="0.2">
      <c r="C32" s="3"/>
    </row>
    <row r="33" spans="1:13" x14ac:dyDescent="0.2">
      <c r="A33" t="s">
        <v>148</v>
      </c>
      <c r="B33" s="3">
        <f>SUM(D38:D39)</f>
        <v>106233.29976158307</v>
      </c>
      <c r="C33" s="3">
        <f>structure!C4</f>
        <v>216000</v>
      </c>
      <c r="D33" s="3"/>
      <c r="E33" s="3"/>
      <c r="F33" s="3"/>
      <c r="G33" s="3"/>
      <c r="H33" s="4"/>
      <c r="J33" s="4"/>
      <c r="K33" s="3"/>
    </row>
    <row r="34" spans="1:13" x14ac:dyDescent="0.2">
      <c r="B34" s="4"/>
      <c r="C34" s="3"/>
      <c r="D34" s="3"/>
      <c r="E34" s="3"/>
      <c r="F34" s="3"/>
      <c r="G34" s="3"/>
      <c r="H34" s="4"/>
      <c r="J34" s="4"/>
      <c r="K34" s="3"/>
    </row>
    <row r="35" spans="1:13" x14ac:dyDescent="0.2">
      <c r="A35" t="s">
        <v>149</v>
      </c>
      <c r="B35" s="4">
        <f>(J44+J46)+H44*(design!$C$10-L41)</f>
        <v>0</v>
      </c>
      <c r="C35" s="3" t="s">
        <v>41</v>
      </c>
      <c r="D35" s="3"/>
      <c r="E35" s="3"/>
      <c r="F35" s="3"/>
      <c r="G35" s="3"/>
      <c r="H35" s="4"/>
      <c r="J35" s="4"/>
      <c r="K35" s="3"/>
    </row>
    <row r="36" spans="1:13" x14ac:dyDescent="0.2">
      <c r="A36" t="s">
        <v>143</v>
      </c>
      <c r="L36" s="4">
        <f>SUM(L38:L39)/24</f>
        <v>2.0112629453225922E-2</v>
      </c>
    </row>
    <row r="37" spans="1:13" x14ac:dyDescent="0.2">
      <c r="A37" t="s">
        <v>131</v>
      </c>
      <c r="B37" t="s">
        <v>132</v>
      </c>
      <c r="C37" t="s">
        <v>133</v>
      </c>
      <c r="D37" t="s">
        <v>136</v>
      </c>
      <c r="E37" t="s">
        <v>39</v>
      </c>
      <c r="F37" t="s">
        <v>59</v>
      </c>
      <c r="H37" t="s">
        <v>74</v>
      </c>
      <c r="J37" t="s">
        <v>150</v>
      </c>
      <c r="K37" t="s">
        <v>142</v>
      </c>
      <c r="L37" t="s">
        <v>40</v>
      </c>
    </row>
    <row r="38" spans="1:13" x14ac:dyDescent="0.2">
      <c r="A38">
        <v>1</v>
      </c>
      <c r="B38" s="3">
        <f t="shared" ref="B38" si="0">EXP(F38/$C$6)*C38</f>
        <v>151856.82600155973</v>
      </c>
      <c r="C38" s="3">
        <f t="shared" ref="C38" si="1">B39</f>
        <v>83235.331406712648</v>
      </c>
      <c r="D38" s="3">
        <f>B38-C38-E38</f>
        <v>68620.969305455015</v>
      </c>
      <c r="E38" s="3">
        <f t="shared" ref="E38" si="2">(B38-C38)*$C$19</f>
        <v>0.52528939206612757</v>
      </c>
      <c r="F38" s="3">
        <f t="shared" ref="F38" si="3">$C$5</f>
        <v>25253.181606675087</v>
      </c>
      <c r="G38" s="3">
        <f>$C$6*LN(B38/C38)</f>
        <v>25253.181606675091</v>
      </c>
      <c r="H38" s="4">
        <f>F38/3600/1000</f>
        <v>7.0147726685208574E-3</v>
      </c>
      <c r="I38" t="s">
        <v>38</v>
      </c>
      <c r="J38" s="4">
        <f>$C$5*(B38/$C$4)*(1-(C38/B38)*(LOG(B38/C38)+1))/constants!$C$10</f>
        <v>1.2946749724000373E-4</v>
      </c>
      <c r="K38" s="4">
        <f>($C$6*$C$4)/C38/9.8</f>
        <v>3.1477017700547121</v>
      </c>
      <c r="L38" s="4">
        <f t="shared" ref="L38:L39" si="4">D38/$C$4/3600</f>
        <v>0.31180011498298349</v>
      </c>
      <c r="M38" t="s">
        <v>36</v>
      </c>
    </row>
    <row r="39" spans="1:13" x14ac:dyDescent="0.2">
      <c r="A39">
        <f t="shared" ref="A39" si="5">A38+1</f>
        <v>2</v>
      </c>
      <c r="B39" s="3">
        <f>EXP(F39/$C$6)*C39</f>
        <v>83235.331406712648</v>
      </c>
      <c r="C39" s="3">
        <f>$C$28</f>
        <v>45622.713030457562</v>
      </c>
      <c r="D39" s="3">
        <f>B39-C39-E39</f>
        <v>37612.330456128053</v>
      </c>
      <c r="E39" s="3">
        <f t="shared" ref="E39" si="6">(B39-C39)*$C$19</f>
        <v>0.28792012703206149</v>
      </c>
      <c r="F39" s="3">
        <f>$C$5</f>
        <v>25253.181606675087</v>
      </c>
      <c r="G39" s="3">
        <f t="shared" ref="G39" si="7">$C$6*LN(B39/C39)</f>
        <v>25253.181606675087</v>
      </c>
      <c r="H39" s="4">
        <f>F39*3600*24/constants!$C$10</f>
        <v>1.4584932797554368E-2</v>
      </c>
      <c r="I39" t="s">
        <v>38</v>
      </c>
      <c r="J39" s="4">
        <f>$C$5*(B39/$C$4)*(1-(C39/B39)*(LOG(B39/C39)+1))/constants!$C$10</f>
        <v>7.0963356227784417E-5</v>
      </c>
      <c r="K39" s="4">
        <f>($C$6*$C$4)/C39/9.8</f>
        <v>5.742753611015849</v>
      </c>
      <c r="L39" s="4">
        <f t="shared" si="4"/>
        <v>0.17090299189443861</v>
      </c>
      <c r="M39" t="s">
        <v>36</v>
      </c>
    </row>
    <row r="40" spans="1:13" x14ac:dyDescent="0.2">
      <c r="B40" s="3"/>
      <c r="C40" s="3"/>
      <c r="D40" s="3"/>
      <c r="E40" s="3"/>
    </row>
    <row r="41" spans="1:13" x14ac:dyDescent="0.2">
      <c r="B41" s="3"/>
      <c r="C41" s="3"/>
      <c r="D41" s="3"/>
      <c r="E41" s="3"/>
    </row>
    <row r="43" spans="1:13" x14ac:dyDescent="0.2">
      <c r="B43" s="3"/>
      <c r="C43" s="3"/>
      <c r="D43" s="3"/>
      <c r="E43" s="3"/>
      <c r="F43" s="3"/>
      <c r="G43" s="3"/>
      <c r="H43" s="4"/>
      <c r="J43" s="4"/>
      <c r="L43" s="4"/>
    </row>
    <row r="44" spans="1:13" x14ac:dyDescent="0.2">
      <c r="B44" s="3"/>
      <c r="C44" s="3"/>
      <c r="D44" s="3"/>
      <c r="E44" s="3"/>
      <c r="F44" s="3"/>
      <c r="G44" s="3"/>
      <c r="H44" s="4"/>
      <c r="J44" s="4"/>
      <c r="L44" s="4"/>
    </row>
    <row r="45" spans="1:13" x14ac:dyDescent="0.2">
      <c r="B45" s="3"/>
      <c r="C45" s="3"/>
      <c r="D45" s="3"/>
      <c r="E45" s="3"/>
      <c r="F45" s="3"/>
      <c r="G45" s="3"/>
      <c r="H45" s="4"/>
      <c r="J45" s="4"/>
      <c r="L45" s="4"/>
    </row>
    <row r="46" spans="1:13" x14ac:dyDescent="0.2">
      <c r="B46" s="3"/>
      <c r="C46" s="3"/>
      <c r="D46" s="3"/>
      <c r="E46" s="3"/>
      <c r="F46" s="3"/>
      <c r="G46" s="3"/>
      <c r="H46" s="4"/>
      <c r="J46" s="4"/>
      <c r="K46" s="3"/>
      <c r="L46" s="4"/>
    </row>
    <row r="47" spans="1:13" x14ac:dyDescent="0.2">
      <c r="B47" s="3"/>
      <c r="C47" s="3"/>
      <c r="D47" s="3"/>
      <c r="E47" s="3"/>
      <c r="F47" s="3"/>
      <c r="G47" s="3"/>
      <c r="H47" s="4"/>
      <c r="J47" s="4"/>
      <c r="K47" s="3"/>
    </row>
    <row r="48" spans="1:13" x14ac:dyDescent="0.2">
      <c r="B48" s="3"/>
      <c r="C48" s="3"/>
      <c r="D48" s="3"/>
      <c r="E48" s="3"/>
      <c r="F48" s="3"/>
      <c r="G48" s="3"/>
      <c r="H48" s="4"/>
      <c r="J48" s="4"/>
      <c r="K48" s="3"/>
    </row>
    <row r="49" spans="2:12" x14ac:dyDescent="0.2">
      <c r="B49" s="3"/>
      <c r="C49" s="3"/>
      <c r="D49" s="3"/>
      <c r="E49" s="3"/>
      <c r="F49" s="3"/>
      <c r="G49" s="3"/>
      <c r="H49" s="4"/>
      <c r="J49" s="4"/>
      <c r="K49" s="3"/>
    </row>
    <row r="50" spans="2:12" x14ac:dyDescent="0.2">
      <c r="B50" s="4"/>
      <c r="C50" s="3"/>
      <c r="D50" s="3"/>
      <c r="E50" s="3"/>
      <c r="F50" s="3"/>
      <c r="G50" s="3"/>
      <c r="H50" s="4"/>
      <c r="J50" s="4"/>
      <c r="K50" s="3"/>
    </row>
    <row r="51" spans="2:12" x14ac:dyDescent="0.2">
      <c r="B51" s="4"/>
      <c r="C51" s="3"/>
      <c r="D51" s="3"/>
      <c r="E51" s="3"/>
      <c r="F51" s="3"/>
      <c r="G51" s="3"/>
      <c r="H51" s="4"/>
      <c r="J51" s="4"/>
      <c r="K51" s="3"/>
    </row>
    <row r="52" spans="2:12" x14ac:dyDescent="0.2">
      <c r="L52" s="4"/>
    </row>
    <row r="54" spans="2:12" x14ac:dyDescent="0.2">
      <c r="B54" s="3"/>
      <c r="C54" s="3"/>
      <c r="D54" s="3"/>
      <c r="E54" s="3"/>
      <c r="F54" s="3"/>
      <c r="G54" s="3"/>
      <c r="H54" s="4"/>
      <c r="J54" s="4"/>
      <c r="K54" s="4"/>
      <c r="L54" s="4"/>
    </row>
    <row r="55" spans="2:12" x14ac:dyDescent="0.2">
      <c r="B55" s="3"/>
      <c r="C55" s="3"/>
      <c r="D55" s="3"/>
      <c r="E55" s="3"/>
      <c r="F55" s="3"/>
      <c r="G55" s="3"/>
      <c r="H55" s="4"/>
      <c r="J55" s="4"/>
      <c r="K55" s="4"/>
      <c r="L55" s="4"/>
    </row>
    <row r="56" spans="2:12" x14ac:dyDescent="0.2">
      <c r="B56" s="3"/>
      <c r="C56" s="3"/>
      <c r="D56" s="3"/>
      <c r="E56" s="3"/>
      <c r="F56" s="3"/>
      <c r="G56" s="3"/>
      <c r="H56" s="4"/>
      <c r="J56" s="4"/>
      <c r="K56" s="4"/>
      <c r="L56" s="4"/>
    </row>
    <row r="57" spans="2:12" x14ac:dyDescent="0.2">
      <c r="B57" s="3"/>
      <c r="C57" s="3"/>
      <c r="D57" s="3"/>
      <c r="E57" s="3"/>
      <c r="F57" s="3"/>
      <c r="G57" s="3"/>
      <c r="H57" s="4"/>
      <c r="J57" s="4"/>
      <c r="K57" s="4"/>
      <c r="L57" s="4"/>
    </row>
    <row r="58" spans="2:12" x14ac:dyDescent="0.2">
      <c r="B58" s="3"/>
      <c r="C58" s="3"/>
      <c r="D58" s="3"/>
      <c r="E58" s="3"/>
      <c r="F58" s="3"/>
      <c r="G58" s="3"/>
      <c r="H58" s="4"/>
      <c r="J58" s="4"/>
      <c r="K58" s="4"/>
      <c r="L58" s="4"/>
    </row>
    <row r="59" spans="2:12" x14ac:dyDescent="0.2">
      <c r="B59" s="3"/>
      <c r="C59" s="3"/>
      <c r="D59" s="3"/>
      <c r="E59" s="3"/>
      <c r="F59" s="3"/>
      <c r="G59" s="3"/>
      <c r="H59" s="4"/>
      <c r="J59" s="4"/>
      <c r="K59" s="4"/>
      <c r="L59" s="4"/>
    </row>
    <row r="60" spans="2:12" x14ac:dyDescent="0.2">
      <c r="B60" s="3"/>
      <c r="C60" s="3"/>
      <c r="E60" s="3"/>
      <c r="F60" s="3"/>
      <c r="G60" s="3"/>
      <c r="H60" s="4"/>
      <c r="J60" s="4"/>
      <c r="K60" s="3"/>
      <c r="L60" s="4"/>
    </row>
    <row r="62" spans="2:12" x14ac:dyDescent="0.2">
      <c r="B62" s="3"/>
      <c r="C62" s="3"/>
      <c r="D62" s="3"/>
      <c r="E62" s="3"/>
      <c r="F62" s="3"/>
      <c r="G62" s="3"/>
      <c r="H62" s="4"/>
      <c r="J62" s="4"/>
      <c r="K62" s="4"/>
      <c r="L62" s="4"/>
    </row>
    <row r="63" spans="2:12" x14ac:dyDescent="0.2">
      <c r="B63" s="3"/>
      <c r="C63" s="3"/>
      <c r="D63" s="3"/>
      <c r="E63" s="3"/>
      <c r="F63" s="3"/>
      <c r="G63" s="3"/>
      <c r="H63" s="4"/>
      <c r="J63" s="4"/>
      <c r="K63" s="4"/>
      <c r="L63" s="4"/>
    </row>
    <row r="64" spans="2:12" x14ac:dyDescent="0.2">
      <c r="C64" s="3"/>
      <c r="E64" s="4"/>
    </row>
    <row r="65" spans="3:7" x14ac:dyDescent="0.2">
      <c r="C65" s="3"/>
      <c r="E65" s="4"/>
      <c r="G65" s="4"/>
    </row>
    <row r="66" spans="3:7" x14ac:dyDescent="0.2">
      <c r="C66" s="3"/>
      <c r="E66" s="4"/>
    </row>
    <row r="67" spans="3:7" x14ac:dyDescent="0.2">
      <c r="C67" s="3"/>
      <c r="E67" s="4"/>
    </row>
    <row r="68" spans="3:7" x14ac:dyDescent="0.2">
      <c r="C68" s="4"/>
      <c r="E68" s="4"/>
      <c r="G68" s="6"/>
    </row>
    <row r="70" spans="3:7" x14ac:dyDescent="0.2">
      <c r="C70" s="3"/>
    </row>
    <row r="71" spans="3:7" x14ac:dyDescent="0.2">
      <c r="C71" s="3"/>
    </row>
    <row r="73" spans="3:7" x14ac:dyDescent="0.2">
      <c r="C73" s="3"/>
    </row>
    <row r="74" spans="3:7" x14ac:dyDescent="0.2">
      <c r="C74" s="3"/>
    </row>
    <row r="75" spans="3:7" x14ac:dyDescent="0.2">
      <c r="C75" s="3"/>
      <c r="E75" s="4"/>
    </row>
    <row r="76" spans="3:7" x14ac:dyDescent="0.2">
      <c r="C76" s="3"/>
      <c r="E76" s="4"/>
    </row>
    <row r="77" spans="3:7" x14ac:dyDescent="0.2">
      <c r="C77" s="3"/>
      <c r="E77" s="4"/>
    </row>
    <row r="78" spans="3:7" x14ac:dyDescent="0.2">
      <c r="C78" s="3"/>
      <c r="E78" s="4"/>
    </row>
    <row r="79" spans="3:7" x14ac:dyDescent="0.2">
      <c r="C79" s="4"/>
      <c r="E79" s="4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D00A72-FCD9-6846-89AF-16882FB656F4}">
  <dimension ref="A2:F39"/>
  <sheetViews>
    <sheetView zoomScale="99" workbookViewId="0">
      <selection activeCell="C5" sqref="C5"/>
    </sheetView>
  </sheetViews>
  <sheetFormatPr baseColWidth="10" defaultRowHeight="16" x14ac:dyDescent="0.2"/>
  <cols>
    <col min="1" max="1" width="20.1640625" bestFit="1" customWidth="1"/>
    <col min="2" max="2" width="16.6640625" bestFit="1" customWidth="1"/>
    <col min="3" max="3" width="12.33203125" bestFit="1" customWidth="1"/>
    <col min="5" max="5" width="11" bestFit="1" customWidth="1"/>
  </cols>
  <sheetData>
    <row r="2" spans="1:6" x14ac:dyDescent="0.2">
      <c r="A2" t="s">
        <v>0</v>
      </c>
    </row>
    <row r="3" spans="1:6" x14ac:dyDescent="0.2">
      <c r="B3" t="s">
        <v>121</v>
      </c>
      <c r="C3" s="1">
        <f>E3*1016.04691/0.0283168466</f>
        <v>179.54618916474604</v>
      </c>
      <c r="D3" t="s">
        <v>0</v>
      </c>
      <c r="E3" s="1">
        <f>3220/(390*55*30)</f>
        <v>5.0038850038850039E-3</v>
      </c>
      <c r="F3" t="s">
        <v>2</v>
      </c>
    </row>
    <row r="4" spans="1:6" x14ac:dyDescent="0.2">
      <c r="B4" t="s">
        <v>121</v>
      </c>
      <c r="C4" s="1">
        <f>C3*C39/C33</f>
        <v>59.118867164001742</v>
      </c>
      <c r="D4" t="s">
        <v>0</v>
      </c>
      <c r="E4" s="1"/>
    </row>
    <row r="5" spans="1:6" x14ac:dyDescent="0.2">
      <c r="B5" t="s">
        <v>122</v>
      </c>
      <c r="C5" s="14">
        <f>26500/(553358+1497440)*1000</f>
        <v>12.921799221571311</v>
      </c>
      <c r="E5" t="s">
        <v>124</v>
      </c>
    </row>
    <row r="6" spans="1:6" x14ac:dyDescent="0.2">
      <c r="B6" t="s">
        <v>123</v>
      </c>
      <c r="C6" s="15">
        <f>C7</f>
        <v>2.7777777777777775E-3</v>
      </c>
    </row>
    <row r="7" spans="1:6" x14ac:dyDescent="0.2">
      <c r="B7" t="s">
        <v>125</v>
      </c>
      <c r="C7" s="2">
        <f>(500*907.18470008/C32)/(90*907.18470008)</f>
        <v>2.7777777777777775E-3</v>
      </c>
      <c r="D7" t="s">
        <v>0</v>
      </c>
    </row>
    <row r="8" spans="1:6" x14ac:dyDescent="0.2">
      <c r="A8" t="s">
        <v>1</v>
      </c>
      <c r="C8" s="1">
        <v>310</v>
      </c>
    </row>
    <row r="9" spans="1:6" x14ac:dyDescent="0.2">
      <c r="A9" t="s">
        <v>3</v>
      </c>
      <c r="C9" s="1">
        <v>2000</v>
      </c>
      <c r="D9" t="s">
        <v>4</v>
      </c>
    </row>
    <row r="10" spans="1:6" x14ac:dyDescent="0.2">
      <c r="A10" t="s">
        <v>5</v>
      </c>
      <c r="C10">
        <v>149597870700</v>
      </c>
      <c r="D10" t="s">
        <v>6</v>
      </c>
    </row>
    <row r="12" spans="1:6" x14ac:dyDescent="0.2">
      <c r="A12" t="s">
        <v>53</v>
      </c>
    </row>
    <row r="13" spans="1:6" x14ac:dyDescent="0.2">
      <c r="A13" t="s">
        <v>176</v>
      </c>
      <c r="B13" t="s">
        <v>177</v>
      </c>
      <c r="C13">
        <v>63000</v>
      </c>
      <c r="D13" t="s">
        <v>8</v>
      </c>
    </row>
    <row r="14" spans="1:6" x14ac:dyDescent="0.2">
      <c r="A14" t="s">
        <v>52</v>
      </c>
      <c r="C14">
        <f>1046000*1016.4</f>
        <v>1063154400</v>
      </c>
      <c r="D14" t="s">
        <v>8</v>
      </c>
    </row>
    <row r="15" spans="1:6" x14ac:dyDescent="0.2">
      <c r="A15" t="s">
        <v>54</v>
      </c>
      <c r="C15">
        <v>2970000</v>
      </c>
      <c r="D15" t="s">
        <v>8</v>
      </c>
    </row>
    <row r="17" spans="1:5" x14ac:dyDescent="0.2">
      <c r="A17" t="s">
        <v>60</v>
      </c>
      <c r="C17">
        <f>226963/5479</f>
        <v>41.424164993611974</v>
      </c>
      <c r="D17" t="s">
        <v>62</v>
      </c>
    </row>
    <row r="19" spans="1:5" x14ac:dyDescent="0.2">
      <c r="A19" t="s">
        <v>61</v>
      </c>
      <c r="C19" s="2">
        <v>1100</v>
      </c>
      <c r="D19" t="s">
        <v>0</v>
      </c>
    </row>
    <row r="21" spans="1:5" x14ac:dyDescent="0.2">
      <c r="A21" t="s">
        <v>63</v>
      </c>
      <c r="C21">
        <f>17300/114</f>
        <v>151.75438596491227</v>
      </c>
      <c r="E21" s="6" t="s">
        <v>64</v>
      </c>
    </row>
    <row r="22" spans="1:5" x14ac:dyDescent="0.2">
      <c r="A22" t="s">
        <v>82</v>
      </c>
      <c r="C22">
        <f>100/3</f>
        <v>33.333333333333336</v>
      </c>
      <c r="D22" t="s">
        <v>83</v>
      </c>
      <c r="E22" t="s">
        <v>90</v>
      </c>
    </row>
    <row r="23" spans="1:5" x14ac:dyDescent="0.2">
      <c r="A23" t="s">
        <v>116</v>
      </c>
      <c r="C23">
        <f>4661/6</f>
        <v>776.83333333333337</v>
      </c>
      <c r="D23" t="s">
        <v>117</v>
      </c>
    </row>
    <row r="25" spans="1:5" x14ac:dyDescent="0.2">
      <c r="A25" t="s">
        <v>58</v>
      </c>
    </row>
    <row r="26" spans="1:5" x14ac:dyDescent="0.2">
      <c r="B26" t="s">
        <v>103</v>
      </c>
      <c r="C26">
        <v>999.8</v>
      </c>
      <c r="D26" t="s">
        <v>0</v>
      </c>
    </row>
    <row r="27" spans="1:5" x14ac:dyDescent="0.2">
      <c r="B27" t="s">
        <v>106</v>
      </c>
      <c r="C27">
        <f>333.55*1000</f>
        <v>333550</v>
      </c>
      <c r="D27" t="s">
        <v>107</v>
      </c>
    </row>
    <row r="28" spans="1:5" x14ac:dyDescent="0.2">
      <c r="B28" t="s">
        <v>108</v>
      </c>
      <c r="C28">
        <f>4186</f>
        <v>4186</v>
      </c>
      <c r="D28" t="s">
        <v>107</v>
      </c>
    </row>
    <row r="29" spans="1:5" x14ac:dyDescent="0.2">
      <c r="A29" t="s">
        <v>104</v>
      </c>
    </row>
    <row r="30" spans="1:5" x14ac:dyDescent="0.2">
      <c r="B30" t="s">
        <v>103</v>
      </c>
      <c r="C30">
        <v>916.7</v>
      </c>
      <c r="D30" t="s">
        <v>0</v>
      </c>
    </row>
    <row r="31" spans="1:5" x14ac:dyDescent="0.2">
      <c r="A31" t="s">
        <v>126</v>
      </c>
    </row>
    <row r="32" spans="1:5" x14ac:dyDescent="0.2">
      <c r="B32" t="s">
        <v>103</v>
      </c>
      <c r="C32">
        <v>2000</v>
      </c>
      <c r="D32" t="s">
        <v>0</v>
      </c>
    </row>
    <row r="33" spans="1:6" x14ac:dyDescent="0.2">
      <c r="A33" t="s">
        <v>159</v>
      </c>
      <c r="B33" t="s">
        <v>103</v>
      </c>
      <c r="C33">
        <v>8200</v>
      </c>
      <c r="D33" t="s">
        <v>0</v>
      </c>
    </row>
    <row r="34" spans="1:6" x14ac:dyDescent="0.2">
      <c r="B34" t="s">
        <v>162</v>
      </c>
      <c r="C34">
        <v>2400</v>
      </c>
      <c r="D34" t="s">
        <v>160</v>
      </c>
      <c r="E34" s="3">
        <f>1000000*C34</f>
        <v>2400000000</v>
      </c>
      <c r="F34" t="s">
        <v>161</v>
      </c>
    </row>
    <row r="36" spans="1:6" x14ac:dyDescent="0.2">
      <c r="A36" t="s">
        <v>165</v>
      </c>
      <c r="C36">
        <v>40270</v>
      </c>
      <c r="D36" t="s">
        <v>166</v>
      </c>
    </row>
    <row r="37" spans="1:6" x14ac:dyDescent="0.2">
      <c r="C37">
        <f>C36*0.2777778</f>
        <v>11186.112006000001</v>
      </c>
      <c r="D37" t="s">
        <v>167</v>
      </c>
    </row>
    <row r="39" spans="1:6" x14ac:dyDescent="0.2">
      <c r="A39" t="s">
        <v>179</v>
      </c>
      <c r="B39" t="s">
        <v>103</v>
      </c>
      <c r="C39">
        <v>2700</v>
      </c>
      <c r="D39" t="s">
        <v>0</v>
      </c>
    </row>
  </sheetData>
  <hyperlinks>
    <hyperlink ref="E21" r:id="rId1" xr:uid="{C2539AE1-F1A8-074A-A25B-2167B3DFA4F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design</vt:lpstr>
      <vt:lpstr>structure</vt:lpstr>
      <vt:lpstr>accomodation</vt:lpstr>
      <vt:lpstr>performance</vt:lpstr>
      <vt:lpstr>constants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Sean Woods</dc:creator>
  <cp:lastModifiedBy>Sean Woods</cp:lastModifiedBy>
  <dcterms:created xsi:type="dcterms:W3CDTF">2020-10-08T20:50:23Z</dcterms:created>
  <dcterms:modified xsi:type="dcterms:W3CDTF">2021-02-19T01:01:34Z</dcterms:modified>
</cp:coreProperties>
</file>