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eandeelywoods/www/etoyoc/sites/plaidhatter/content/2edbc23f-5f78-4f45-aac4-e0188ea9f853/"/>
    </mc:Choice>
  </mc:AlternateContent>
  <xr:revisionPtr revIDLastSave="0" documentId="13_ncr:1_{7C85C9AA-389D-B043-A53E-B2E69E8BFA35}" xr6:coauthVersionLast="36" xr6:coauthVersionMax="36" xr10:uidLastSave="{00000000-0000-0000-0000-000000000000}"/>
  <bookViews>
    <workbookView xWindow="6020" yWindow="1100" windowWidth="19900" windowHeight="15640" firstSheet="4" activeTab="9" xr2:uid="{20718141-F9D4-A04D-8D50-E9BB2D5E08CE}"/>
  </bookViews>
  <sheets>
    <sheet name="Vehicle" sheetId="1" r:id="rId1"/>
    <sheet name="Automation" sheetId="26" r:id="rId2"/>
    <sheet name="Conversion" sheetId="27" r:id="rId3"/>
    <sheet name="Costs" sheetId="23" r:id="rId4"/>
    <sheet name="Geometry" sheetId="18" r:id="rId5"/>
    <sheet name="Gravity" sheetId="19" r:id="rId6"/>
    <sheet name="Sheet2" sheetId="17" r:id="rId7"/>
    <sheet name="Power Consumption" sheetId="13" r:id="rId8"/>
    <sheet name="Propulsion" sheetId="7" r:id="rId9"/>
    <sheet name="Population" sheetId="6" r:id="rId10"/>
    <sheet name="Population Model" sheetId="28" r:id="rId11"/>
    <sheet name="Vocations" sheetId="24" r:id="rId12"/>
    <sheet name="Billet" sheetId="29" r:id="rId13"/>
    <sheet name="Agriculture" sheetId="9" r:id="rId14"/>
    <sheet name="Crops" sheetId="21" r:id="rId15"/>
    <sheet name="Diet" sheetId="20" r:id="rId16"/>
    <sheet name="Aquaculture" sheetId="14" r:id="rId17"/>
    <sheet name="Cattle" sheetId="8" r:id="rId18"/>
    <sheet name="Protein" sheetId="15" r:id="rId19"/>
  </sheets>
  <definedNames>
    <definedName name="_xlnm._FilterDatabase" localSheetId="11" hidden="1">Vocations!$A:$A</definedName>
    <definedName name="_xlnm.Criteria" localSheetId="11">Vocations!$A:$A</definedName>
    <definedName name="_xlnm.Extract" localSheetId="11">Vocations!$B$14</definedName>
    <definedName name="_xlnm.Print_Area" localSheetId="11">Vocations!$A$1:$G$42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8" i="24" l="1"/>
  <c r="E13" i="24"/>
  <c r="U3" i="6"/>
  <c r="AB4" i="6"/>
  <c r="AB5" i="6"/>
  <c r="AB6" i="6"/>
  <c r="E41" i="18" l="1"/>
  <c r="E45" i="18"/>
  <c r="J27" i="18"/>
  <c r="K27" i="18"/>
  <c r="I27" i="18"/>
  <c r="H27" i="18"/>
  <c r="G27" i="18"/>
  <c r="D43" i="27" l="1"/>
  <c r="J4" i="6" l="1"/>
  <c r="C18" i="1"/>
  <c r="V3" i="6"/>
  <c r="W3" i="6" s="1"/>
  <c r="X3" i="6" s="1"/>
  <c r="Y3" i="6" s="1"/>
  <c r="AB3" i="6" s="1"/>
  <c r="B4" i="1" l="1"/>
  <c r="B6" i="6"/>
  <c r="C43" i="13"/>
  <c r="C38" i="13"/>
  <c r="J5" i="6"/>
  <c r="B15" i="6" l="1"/>
  <c r="J3" i="6"/>
  <c r="J6" i="6"/>
  <c r="K31" i="6"/>
  <c r="K44" i="6"/>
  <c r="K45" i="6"/>
  <c r="K28" i="6"/>
  <c r="K30" i="6"/>
  <c r="K29" i="6"/>
  <c r="J7" i="6"/>
  <c r="J8" i="6" s="1"/>
  <c r="B16" i="6" s="1"/>
  <c r="B6" i="24"/>
  <c r="O13" i="26"/>
  <c r="N13" i="26"/>
  <c r="M13" i="26"/>
  <c r="K13" i="26"/>
  <c r="T13" i="26" s="1"/>
  <c r="I13" i="26"/>
  <c r="B65" i="1"/>
  <c r="B73" i="1" s="1"/>
  <c r="M46" i="6"/>
  <c r="O46" i="6" s="1"/>
  <c r="M31" i="6"/>
  <c r="M29" i="6"/>
  <c r="O29" i="6" s="1"/>
  <c r="M30" i="6"/>
  <c r="N30" i="6" s="1"/>
  <c r="M32" i="6"/>
  <c r="O32" i="6" s="1"/>
  <c r="M33" i="6"/>
  <c r="M34" i="6"/>
  <c r="O34" i="6" s="1"/>
  <c r="M35" i="6"/>
  <c r="M36" i="6"/>
  <c r="O36" i="6" s="1"/>
  <c r="M37" i="6"/>
  <c r="O37" i="6" s="1"/>
  <c r="M38" i="6"/>
  <c r="N38" i="6" s="1"/>
  <c r="M39" i="6"/>
  <c r="M40" i="6"/>
  <c r="O40" i="6" s="1"/>
  <c r="M41" i="6"/>
  <c r="M42" i="6"/>
  <c r="O42" i="6" s="1"/>
  <c r="M43" i="6"/>
  <c r="O43" i="6" s="1"/>
  <c r="M44" i="6"/>
  <c r="O44" i="6" s="1"/>
  <c r="M45" i="6"/>
  <c r="O45" i="6" s="1"/>
  <c r="M28" i="6"/>
  <c r="O28" i="6" s="1"/>
  <c r="N48" i="6"/>
  <c r="N47" i="6"/>
  <c r="N49" i="6"/>
  <c r="O30" i="6"/>
  <c r="B12" i="6"/>
  <c r="B11" i="6" s="1"/>
  <c r="F43" i="27"/>
  <c r="B14" i="6"/>
  <c r="AC9" i="21"/>
  <c r="D12" i="8"/>
  <c r="AC126" i="21"/>
  <c r="Y126" i="21"/>
  <c r="X126" i="21"/>
  <c r="W126" i="21"/>
  <c r="D11" i="8"/>
  <c r="D10" i="8"/>
  <c r="D5" i="9"/>
  <c r="W10" i="21"/>
  <c r="Y10" i="21"/>
  <c r="AC10" i="21"/>
  <c r="D4" i="27"/>
  <c r="D3" i="27"/>
  <c r="C37" i="27"/>
  <c r="B37" i="27"/>
  <c r="B36" i="27"/>
  <c r="C24" i="13"/>
  <c r="I34" i="6"/>
  <c r="I35" i="6"/>
  <c r="I36" i="6"/>
  <c r="I37" i="6"/>
  <c r="I38" i="6"/>
  <c r="I39" i="6"/>
  <c r="I40" i="6"/>
  <c r="I41" i="6"/>
  <c r="I42" i="6"/>
  <c r="I43" i="6"/>
  <c r="I44" i="6"/>
  <c r="I45" i="6"/>
  <c r="I33" i="6"/>
  <c r="I32" i="6"/>
  <c r="D45" i="6"/>
  <c r="A29" i="6"/>
  <c r="A30" i="6" s="1"/>
  <c r="A32" i="6" s="1"/>
  <c r="A34" i="6" s="1"/>
  <c r="A36" i="6" s="1"/>
  <c r="A38" i="6" s="1"/>
  <c r="A40" i="6" s="1"/>
  <c r="A42" i="6" s="1"/>
  <c r="A43" i="6" s="1"/>
  <c r="A44" i="6" s="1"/>
  <c r="A4" i="28"/>
  <c r="A5" i="28" s="1"/>
  <c r="A6" i="28" s="1"/>
  <c r="A7" i="28" s="1"/>
  <c r="A8" i="28" s="1"/>
  <c r="A9" i="28" s="1"/>
  <c r="A10" i="28" s="1"/>
  <c r="A11" i="28" s="1"/>
  <c r="A12" i="28" s="1"/>
  <c r="A13" i="28" s="1"/>
  <c r="A14" i="28" s="1"/>
  <c r="A15" i="28" s="1"/>
  <c r="A16" i="28" s="1"/>
  <c r="A17" i="28" s="1"/>
  <c r="AA1" i="28"/>
  <c r="AB1" i="28" s="1"/>
  <c r="AD1" i="28" s="1"/>
  <c r="AF1" i="28" s="1"/>
  <c r="AH1" i="28" s="1"/>
  <c r="AJ1" i="28" s="1"/>
  <c r="AL1" i="28" s="1"/>
  <c r="AN1" i="28" s="1"/>
  <c r="AO1" i="28" s="1"/>
  <c r="AP1" i="28" s="1"/>
  <c r="C14" i="18"/>
  <c r="D15" i="18"/>
  <c r="D16" i="18"/>
  <c r="B3" i="27"/>
  <c r="N46" i="6" l="1"/>
  <c r="K33" i="6"/>
  <c r="K38" i="6"/>
  <c r="K32" i="6"/>
  <c r="A18" i="28"/>
  <c r="A19" i="28" s="1"/>
  <c r="A20" i="28" s="1"/>
  <c r="A21" i="28" s="1"/>
  <c r="A22" i="28" s="1"/>
  <c r="A23" i="28" s="1"/>
  <c r="A24" i="28" s="1"/>
  <c r="A25" i="28" s="1"/>
  <c r="A26" i="28" s="1"/>
  <c r="A27" i="28" s="1"/>
  <c r="A28" i="28" s="1"/>
  <c r="A29" i="28" s="1"/>
  <c r="A30" i="28" s="1"/>
  <c r="A31" i="28" s="1"/>
  <c r="A32" i="28" s="1"/>
  <c r="A33" i="28" s="1"/>
  <c r="A34" i="28" s="1"/>
  <c r="A35" i="28" s="1"/>
  <c r="A36" i="28" s="1"/>
  <c r="A37" i="28" s="1"/>
  <c r="A38" i="28" s="1"/>
  <c r="A39" i="28" s="1"/>
  <c r="A40" i="28" s="1"/>
  <c r="A41" i="28" s="1"/>
  <c r="A42" i="28" s="1"/>
  <c r="A43" i="28" s="1"/>
  <c r="A44" i="28" s="1"/>
  <c r="A45" i="28" s="1"/>
  <c r="A46" i="28" s="1"/>
  <c r="A47" i="28" s="1"/>
  <c r="A48" i="28" s="1"/>
  <c r="A49" i="28" s="1"/>
  <c r="A50" i="28" s="1"/>
  <c r="A51" i="28" s="1"/>
  <c r="A52" i="28" s="1"/>
  <c r="A53" i="28" s="1"/>
  <c r="A54" i="28" s="1"/>
  <c r="A55" i="28" s="1"/>
  <c r="A56" i="28" s="1"/>
  <c r="A57" i="28" s="1"/>
  <c r="A58" i="28" s="1"/>
  <c r="A59" i="28" s="1"/>
  <c r="A60" i="28" s="1"/>
  <c r="A61" i="28" s="1"/>
  <c r="A62" i="28" s="1"/>
  <c r="A63" i="28" s="1"/>
  <c r="A64" i="28" s="1"/>
  <c r="A65" i="28" s="1"/>
  <c r="A66" i="28" s="1"/>
  <c r="A67" i="28" s="1"/>
  <c r="A68" i="28" s="1"/>
  <c r="A69" i="28" s="1"/>
  <c r="A70" i="28" s="1"/>
  <c r="A71" i="28" s="1"/>
  <c r="A72" i="28" s="1"/>
  <c r="A73" i="28" s="1"/>
  <c r="A74" i="28" s="1"/>
  <c r="A75" i="28" s="1"/>
  <c r="A76" i="28" s="1"/>
  <c r="A77" i="28" s="1"/>
  <c r="A78" i="28" s="1"/>
  <c r="A79" i="28" s="1"/>
  <c r="A80" i="28" s="1"/>
  <c r="A81" i="28" s="1"/>
  <c r="A82" i="28" s="1"/>
  <c r="A83" i="28" s="1"/>
  <c r="A84" i="28" s="1"/>
  <c r="A85" i="28" s="1"/>
  <c r="A86" i="28" s="1"/>
  <c r="A87" i="28" s="1"/>
  <c r="A88" i="28" s="1"/>
  <c r="A89" i="28" s="1"/>
  <c r="A90" i="28" s="1"/>
  <c r="A91" i="28" s="1"/>
  <c r="A92" i="28" s="1"/>
  <c r="A93" i="28" s="1"/>
  <c r="A94" i="28" s="1"/>
  <c r="A95" i="28" s="1"/>
  <c r="A96" i="28" s="1"/>
  <c r="A97" i="28" s="1"/>
  <c r="A98" i="28" s="1"/>
  <c r="A99" i="28" s="1"/>
  <c r="A100" i="28" s="1"/>
  <c r="A101" i="28" s="1"/>
  <c r="A102" i="28" s="1"/>
  <c r="A103" i="28" s="1"/>
  <c r="A104" i="28" s="1"/>
  <c r="A105" i="28" s="1"/>
  <c r="A106" i="28" s="1"/>
  <c r="A107" i="28" s="1"/>
  <c r="A108" i="28" s="1"/>
  <c r="A109" i="28" s="1"/>
  <c r="A110" i="28" s="1"/>
  <c r="A111" i="28" s="1"/>
  <c r="A112" i="28" s="1"/>
  <c r="A113" i="28" s="1"/>
  <c r="A114" i="28" s="1"/>
  <c r="A115" i="28" s="1"/>
  <c r="K36" i="6"/>
  <c r="K34" i="6"/>
  <c r="K41" i="6"/>
  <c r="K42" i="6"/>
  <c r="K35" i="6"/>
  <c r="K37" i="6"/>
  <c r="K40" i="6"/>
  <c r="K43" i="6"/>
  <c r="N42" i="6"/>
  <c r="N34" i="6"/>
  <c r="K39" i="6"/>
  <c r="O38" i="6"/>
  <c r="N28" i="6"/>
  <c r="N36" i="6"/>
  <c r="N45" i="6"/>
  <c r="N32" i="6"/>
  <c r="N44" i="6"/>
  <c r="N43" i="6"/>
  <c r="N29" i="6"/>
  <c r="N40" i="6"/>
  <c r="L13" i="26"/>
  <c r="G13" i="26" s="1"/>
  <c r="O33" i="6"/>
  <c r="O41" i="6"/>
  <c r="O39" i="6"/>
  <c r="O31" i="6"/>
  <c r="O35" i="6"/>
  <c r="AB126" i="21"/>
  <c r="AD126" i="21" s="1"/>
  <c r="Z126" i="21"/>
  <c r="B2" i="1"/>
  <c r="C1" i="13"/>
  <c r="C8" i="13"/>
  <c r="C9" i="13" s="1"/>
  <c r="C36" i="27"/>
  <c r="B4" i="27"/>
  <c r="C3" i="27"/>
  <c r="C4" i="27" s="1"/>
  <c r="B39" i="27"/>
  <c r="B33" i="27"/>
  <c r="B5" i="24"/>
  <c r="B22" i="24"/>
  <c r="B24" i="24"/>
  <c r="B36" i="1"/>
  <c r="D19" i="18" s="1"/>
  <c r="O11" i="26"/>
  <c r="N11" i="26"/>
  <c r="M11" i="26"/>
  <c r="K11" i="26"/>
  <c r="T11" i="26" s="1"/>
  <c r="O12" i="26"/>
  <c r="N12" i="26"/>
  <c r="M12" i="26"/>
  <c r="K12" i="26"/>
  <c r="I12" i="26"/>
  <c r="AB15" i="21"/>
  <c r="AD15" i="21" s="1"/>
  <c r="AB16" i="21"/>
  <c r="AD16" i="21" s="1"/>
  <c r="AB19" i="21"/>
  <c r="AD19" i="21" s="1"/>
  <c r="AB20" i="21"/>
  <c r="AD20" i="21" s="1"/>
  <c r="AB44" i="21"/>
  <c r="AB45" i="21"/>
  <c r="AB82" i="21"/>
  <c r="AD82" i="21" s="1"/>
  <c r="AB83" i="21"/>
  <c r="AD83" i="21" s="1"/>
  <c r="AB87" i="21"/>
  <c r="AB88" i="21"/>
  <c r="AB99" i="21"/>
  <c r="AB100" i="21"/>
  <c r="AB113" i="21"/>
  <c r="AB114" i="21"/>
  <c r="B24" i="27"/>
  <c r="B23" i="27"/>
  <c r="B31" i="27"/>
  <c r="B8" i="27"/>
  <c r="C8" i="27"/>
  <c r="D18" i="27"/>
  <c r="C17" i="27"/>
  <c r="E16" i="27"/>
  <c r="D15" i="27"/>
  <c r="AC95" i="21"/>
  <c r="AC94" i="21"/>
  <c r="AC93" i="21"/>
  <c r="AC92" i="21"/>
  <c r="AC91" i="21"/>
  <c r="AC90" i="21"/>
  <c r="AC89" i="21"/>
  <c r="AC98" i="21"/>
  <c r="AC97" i="21"/>
  <c r="AC96" i="21"/>
  <c r="AC101" i="21"/>
  <c r="AC102" i="21"/>
  <c r="AC104" i="21"/>
  <c r="AC105" i="21"/>
  <c r="AC106" i="21"/>
  <c r="AC107" i="21"/>
  <c r="AC108" i="21"/>
  <c r="AC109" i="21"/>
  <c r="AC110" i="21"/>
  <c r="AC112" i="21"/>
  <c r="AC111" i="21"/>
  <c r="AC118" i="21"/>
  <c r="AC103" i="21"/>
  <c r="AC4" i="21"/>
  <c r="AC22" i="21"/>
  <c r="AC23" i="21"/>
  <c r="AC24" i="21"/>
  <c r="AC25" i="21"/>
  <c r="AC26" i="21"/>
  <c r="AC27" i="21"/>
  <c r="AC28" i="21"/>
  <c r="AC29" i="21"/>
  <c r="AC30" i="21"/>
  <c r="AC31" i="21"/>
  <c r="AC32" i="21"/>
  <c r="AC33" i="21"/>
  <c r="AC34" i="21"/>
  <c r="AC35" i="21"/>
  <c r="AC36" i="21"/>
  <c r="AC37" i="21"/>
  <c r="AC38" i="21"/>
  <c r="AC39" i="21"/>
  <c r="AC40" i="21"/>
  <c r="AC41" i="21"/>
  <c r="AC42" i="21"/>
  <c r="AC43" i="21"/>
  <c r="AC44" i="21"/>
  <c r="AC45" i="21"/>
  <c r="AC46" i="21"/>
  <c r="AC47" i="21"/>
  <c r="AC48" i="21"/>
  <c r="AC49" i="21"/>
  <c r="AC50" i="21"/>
  <c r="AC51" i="21"/>
  <c r="AC52" i="21"/>
  <c r="AC53" i="21"/>
  <c r="AC54" i="21"/>
  <c r="AC55" i="21"/>
  <c r="AC56" i="21"/>
  <c r="AC57" i="21"/>
  <c r="AC58" i="21"/>
  <c r="AC59" i="21"/>
  <c r="AC60" i="21"/>
  <c r="AC61" i="21"/>
  <c r="AC62" i="21"/>
  <c r="AC63" i="21"/>
  <c r="AC64" i="21"/>
  <c r="AC65" i="21"/>
  <c r="AC66" i="21"/>
  <c r="AC67" i="21"/>
  <c r="AC68" i="21"/>
  <c r="AC69" i="21"/>
  <c r="AC70" i="21"/>
  <c r="AC71" i="21"/>
  <c r="AC72" i="21"/>
  <c r="AC73" i="21"/>
  <c r="AC74" i="21"/>
  <c r="AC75" i="21"/>
  <c r="AC76" i="21"/>
  <c r="AC77" i="21"/>
  <c r="AC78" i="21"/>
  <c r="AC79" i="21"/>
  <c r="AC80" i="21"/>
  <c r="AC81" i="21"/>
  <c r="AC82" i="21"/>
  <c r="AC83" i="21"/>
  <c r="AC84" i="21"/>
  <c r="AC85" i="21"/>
  <c r="AC86" i="21"/>
  <c r="AC87" i="21"/>
  <c r="AC88" i="21"/>
  <c r="AC99" i="21"/>
  <c r="AC100" i="21"/>
  <c r="AC113" i="21"/>
  <c r="AC114" i="21"/>
  <c r="AC115" i="21"/>
  <c r="AC116" i="21"/>
  <c r="AC117" i="21"/>
  <c r="AC119" i="21"/>
  <c r="AC21" i="21"/>
  <c r="AC18" i="21"/>
  <c r="AC17" i="21"/>
  <c r="AC14" i="21"/>
  <c r="AC5" i="21"/>
  <c r="AC6" i="21"/>
  <c r="AC7" i="21"/>
  <c r="AC8" i="21"/>
  <c r="AC11" i="21"/>
  <c r="AC12" i="21"/>
  <c r="M10" i="26"/>
  <c r="L10" i="26" s="1"/>
  <c r="G10" i="26" s="1"/>
  <c r="K8" i="26"/>
  <c r="T8" i="26" s="1"/>
  <c r="L8" i="26" s="1"/>
  <c r="G8" i="26" s="1"/>
  <c r="K10" i="26"/>
  <c r="I10" i="26"/>
  <c r="I8" i="26" s="1"/>
  <c r="I11" i="26" s="1"/>
  <c r="N7" i="26"/>
  <c r="O8" i="26"/>
  <c r="O10" i="26"/>
  <c r="N8" i="26"/>
  <c r="N10" i="26"/>
  <c r="M8" i="26"/>
  <c r="B42" i="24"/>
  <c r="B36" i="24" s="1"/>
  <c r="C36" i="24"/>
  <c r="B7" i="24"/>
  <c r="K23" i="6" l="1"/>
  <c r="B10" i="6"/>
  <c r="AD114" i="21"/>
  <c r="AD113" i="21"/>
  <c r="AD44" i="21"/>
  <c r="AD100" i="21"/>
  <c r="AD99" i="21"/>
  <c r="AD88" i="21"/>
  <c r="AD87" i="21"/>
  <c r="AD45" i="21"/>
  <c r="B5" i="1"/>
  <c r="L12" i="26"/>
  <c r="G12" i="26" s="1"/>
  <c r="L11" i="26"/>
  <c r="G11" i="26" s="1"/>
  <c r="B17" i="24"/>
  <c r="C22" i="1"/>
  <c r="C114" i="21"/>
  <c r="C100" i="21"/>
  <c r="C88" i="21"/>
  <c r="C83" i="21"/>
  <c r="C45" i="21"/>
  <c r="C20" i="21"/>
  <c r="C16" i="21"/>
  <c r="B3" i="23" l="1"/>
  <c r="B5" i="23"/>
  <c r="B2" i="23"/>
  <c r="B1" i="23"/>
  <c r="C55" i="13" l="1"/>
  <c r="C53" i="13"/>
  <c r="C51" i="13"/>
  <c r="C11" i="13"/>
  <c r="C12" i="13" s="1"/>
  <c r="C13" i="13" s="1"/>
  <c r="E2" i="18"/>
  <c r="E1" i="18"/>
  <c r="F41" i="18" s="1"/>
  <c r="X9" i="21"/>
  <c r="F9" i="21"/>
  <c r="B114" i="21"/>
  <c r="A114" i="21"/>
  <c r="B100" i="21"/>
  <c r="A100" i="21"/>
  <c r="B88" i="21"/>
  <c r="A88" i="21"/>
  <c r="B83" i="21"/>
  <c r="A83" i="21"/>
  <c r="B45" i="21"/>
  <c r="A45" i="21"/>
  <c r="A20" i="21"/>
  <c r="A16" i="21"/>
  <c r="F34" i="9"/>
  <c r="I126" i="21"/>
  <c r="Y98" i="21"/>
  <c r="W98" i="21"/>
  <c r="T98" i="21"/>
  <c r="K98" i="21"/>
  <c r="Y97" i="21"/>
  <c r="W97" i="21"/>
  <c r="T97" i="21"/>
  <c r="K97" i="21"/>
  <c r="Y96" i="21"/>
  <c r="W96" i="21"/>
  <c r="T96" i="21"/>
  <c r="K96" i="21"/>
  <c r="Y119" i="21"/>
  <c r="W119" i="21"/>
  <c r="T119" i="21"/>
  <c r="K119" i="21"/>
  <c r="Y116" i="21"/>
  <c r="W116" i="21"/>
  <c r="T116" i="21"/>
  <c r="K116" i="21"/>
  <c r="Y92" i="21"/>
  <c r="W92" i="21"/>
  <c r="T92" i="21"/>
  <c r="K92" i="21"/>
  <c r="Y91" i="21"/>
  <c r="W91" i="21"/>
  <c r="T91" i="21"/>
  <c r="K91" i="21"/>
  <c r="Y90" i="21"/>
  <c r="W90" i="21"/>
  <c r="T90" i="21"/>
  <c r="K90" i="21"/>
  <c r="Y89" i="21"/>
  <c r="W89" i="21"/>
  <c r="T89" i="21"/>
  <c r="K89" i="21"/>
  <c r="Y35" i="21"/>
  <c r="W35" i="21"/>
  <c r="T35" i="21"/>
  <c r="K35" i="21"/>
  <c r="Y34" i="21"/>
  <c r="W34" i="21"/>
  <c r="T34" i="21"/>
  <c r="K34" i="21"/>
  <c r="Y33" i="21"/>
  <c r="W33" i="21"/>
  <c r="T33" i="21"/>
  <c r="K33" i="21"/>
  <c r="Y32" i="21"/>
  <c r="W32" i="21"/>
  <c r="T32" i="21"/>
  <c r="K32" i="21"/>
  <c r="Y26" i="21"/>
  <c r="W26" i="21"/>
  <c r="T26" i="21"/>
  <c r="K26" i="21"/>
  <c r="Y22" i="21"/>
  <c r="W22" i="21"/>
  <c r="T22" i="21"/>
  <c r="K22" i="21"/>
  <c r="Y112" i="21"/>
  <c r="W112" i="21"/>
  <c r="T112" i="21"/>
  <c r="K112" i="21"/>
  <c r="Y111" i="21"/>
  <c r="W111" i="21"/>
  <c r="T111" i="21"/>
  <c r="K111" i="21"/>
  <c r="Y110" i="21"/>
  <c r="W110" i="21"/>
  <c r="T110" i="21"/>
  <c r="K110" i="21"/>
  <c r="Y118" i="21"/>
  <c r="W118" i="21"/>
  <c r="T118" i="21"/>
  <c r="K118" i="21"/>
  <c r="Y107" i="21"/>
  <c r="W107" i="21"/>
  <c r="T107" i="21"/>
  <c r="K107" i="21"/>
  <c r="Y106" i="21"/>
  <c r="W106" i="21"/>
  <c r="T106" i="21"/>
  <c r="K106" i="21"/>
  <c r="Y84" i="21"/>
  <c r="W84" i="21"/>
  <c r="T84" i="21"/>
  <c r="K84" i="21"/>
  <c r="W104" i="21"/>
  <c r="T104" i="21"/>
  <c r="L104" i="21"/>
  <c r="K104" i="21"/>
  <c r="W31" i="21"/>
  <c r="T31" i="21"/>
  <c r="L31" i="21"/>
  <c r="K31" i="21"/>
  <c r="W102" i="21"/>
  <c r="T102" i="21"/>
  <c r="L102" i="21"/>
  <c r="K102" i="21"/>
  <c r="W101" i="21"/>
  <c r="T101" i="21"/>
  <c r="L101" i="21"/>
  <c r="K101" i="21"/>
  <c r="Y78" i="21"/>
  <c r="W78" i="21"/>
  <c r="T78" i="21"/>
  <c r="K78" i="21"/>
  <c r="Y77" i="21"/>
  <c r="W77" i="21"/>
  <c r="T77" i="21"/>
  <c r="K77" i="21"/>
  <c r="Y73" i="21"/>
  <c r="W73" i="21"/>
  <c r="T73" i="21"/>
  <c r="K73" i="21"/>
  <c r="Y95" i="21"/>
  <c r="W95" i="21"/>
  <c r="T95" i="21"/>
  <c r="K95" i="21"/>
  <c r="Y94" i="21"/>
  <c r="W94" i="21"/>
  <c r="T94" i="21"/>
  <c r="K94" i="21"/>
  <c r="Y70" i="21"/>
  <c r="W70" i="21"/>
  <c r="T70" i="21"/>
  <c r="K70" i="21"/>
  <c r="Y67" i="21"/>
  <c r="W67" i="21"/>
  <c r="T67" i="21"/>
  <c r="K67" i="21"/>
  <c r="Y103" i="21"/>
  <c r="W103" i="21"/>
  <c r="T103" i="21"/>
  <c r="K103" i="21"/>
  <c r="Y64" i="21"/>
  <c r="W64" i="21"/>
  <c r="T64" i="21"/>
  <c r="K64" i="21"/>
  <c r="Y93" i="21"/>
  <c r="W93" i="21"/>
  <c r="T93" i="21"/>
  <c r="K93" i="21"/>
  <c r="Y27" i="21"/>
  <c r="W27" i="21"/>
  <c r="T27" i="21"/>
  <c r="K27" i="21"/>
  <c r="Y57" i="21"/>
  <c r="W57" i="21"/>
  <c r="T57" i="21"/>
  <c r="K57" i="21"/>
  <c r="Y55" i="21"/>
  <c r="W55" i="21"/>
  <c r="T55" i="21"/>
  <c r="K55" i="21"/>
  <c r="Y54" i="21"/>
  <c r="W54" i="21"/>
  <c r="T54" i="21"/>
  <c r="K54" i="21"/>
  <c r="Y53" i="21"/>
  <c r="W53" i="21"/>
  <c r="T53" i="21"/>
  <c r="K53" i="21"/>
  <c r="Y23" i="21"/>
  <c r="W23" i="21"/>
  <c r="T23" i="21"/>
  <c r="K23" i="21"/>
  <c r="Y51" i="21"/>
  <c r="W51" i="21"/>
  <c r="T51" i="21"/>
  <c r="K51" i="21"/>
  <c r="Y50" i="21"/>
  <c r="W50" i="21"/>
  <c r="T50" i="21"/>
  <c r="K50" i="21"/>
  <c r="Y49" i="21"/>
  <c r="W49" i="21"/>
  <c r="T49" i="21"/>
  <c r="K49" i="21"/>
  <c r="Y48" i="21"/>
  <c r="W48" i="21"/>
  <c r="T48" i="21"/>
  <c r="K48" i="21"/>
  <c r="W115" i="21"/>
  <c r="T115" i="21"/>
  <c r="L115" i="21"/>
  <c r="K115" i="21"/>
  <c r="Y86" i="21"/>
  <c r="W86" i="21"/>
  <c r="T86" i="21"/>
  <c r="K86" i="21"/>
  <c r="Y81" i="21"/>
  <c r="W81" i="21"/>
  <c r="T81" i="21"/>
  <c r="K81" i="21"/>
  <c r="Y43" i="21"/>
  <c r="W43" i="21"/>
  <c r="T43" i="21"/>
  <c r="K43" i="21"/>
  <c r="Y80" i="21"/>
  <c r="W80" i="21"/>
  <c r="T80" i="21"/>
  <c r="K80" i="21"/>
  <c r="Y109" i="21"/>
  <c r="W109" i="21"/>
  <c r="T109" i="21"/>
  <c r="K109" i="21"/>
  <c r="Y85" i="21"/>
  <c r="W85" i="21"/>
  <c r="T85" i="21"/>
  <c r="K85" i="21"/>
  <c r="Y42" i="21"/>
  <c r="W42" i="21"/>
  <c r="T42" i="21"/>
  <c r="K42" i="21"/>
  <c r="Y18" i="21"/>
  <c r="W18" i="21"/>
  <c r="T18" i="21"/>
  <c r="K18" i="21"/>
  <c r="Y17" i="21"/>
  <c r="W17" i="21"/>
  <c r="T17" i="21"/>
  <c r="K17" i="21"/>
  <c r="Y79" i="21"/>
  <c r="W79" i="21"/>
  <c r="T79" i="21"/>
  <c r="K79" i="21"/>
  <c r="Y108" i="21"/>
  <c r="W108" i="21"/>
  <c r="T108" i="21"/>
  <c r="K108" i="21"/>
  <c r="Y41" i="21"/>
  <c r="W41" i="21"/>
  <c r="T41" i="21"/>
  <c r="K41" i="21"/>
  <c r="Y40" i="21"/>
  <c r="W40" i="21"/>
  <c r="T40" i="21"/>
  <c r="K40" i="21"/>
  <c r="Y117" i="21"/>
  <c r="W117" i="21"/>
  <c r="T117" i="21"/>
  <c r="K117" i="21"/>
  <c r="W39" i="21"/>
  <c r="T39" i="21"/>
  <c r="L39" i="21"/>
  <c r="K39" i="21"/>
  <c r="Y105" i="21"/>
  <c r="W105" i="21"/>
  <c r="T105" i="21"/>
  <c r="K105" i="21"/>
  <c r="Y38" i="21"/>
  <c r="W38" i="21"/>
  <c r="T38" i="21"/>
  <c r="K38" i="21"/>
  <c r="Y76" i="21"/>
  <c r="W76" i="21"/>
  <c r="T76" i="21"/>
  <c r="K76" i="21"/>
  <c r="Y75" i="21"/>
  <c r="W75" i="21"/>
  <c r="T75" i="21"/>
  <c r="K75" i="21"/>
  <c r="Y74" i="21"/>
  <c r="W74" i="21"/>
  <c r="T74" i="21"/>
  <c r="K74" i="21"/>
  <c r="Y37" i="21"/>
  <c r="W37" i="21"/>
  <c r="T37" i="21"/>
  <c r="K37" i="21"/>
  <c r="Y36" i="21"/>
  <c r="W36" i="21"/>
  <c r="T36" i="21"/>
  <c r="K36" i="21"/>
  <c r="Y72" i="21"/>
  <c r="W72" i="21"/>
  <c r="T72" i="21"/>
  <c r="K72" i="21"/>
  <c r="Y71" i="21"/>
  <c r="W71" i="21"/>
  <c r="T71" i="21"/>
  <c r="K71" i="21"/>
  <c r="Y69" i="21"/>
  <c r="W69" i="21"/>
  <c r="T69" i="21"/>
  <c r="K69" i="21"/>
  <c r="Y68" i="21"/>
  <c r="W68" i="21"/>
  <c r="T68" i="21"/>
  <c r="Y66" i="21"/>
  <c r="W66" i="21"/>
  <c r="T66" i="21"/>
  <c r="K66" i="21"/>
  <c r="Y65" i="21"/>
  <c r="W65" i="21"/>
  <c r="T65" i="21"/>
  <c r="Y63" i="21"/>
  <c r="W63" i="21"/>
  <c r="T63" i="21"/>
  <c r="K63" i="21"/>
  <c r="Y62" i="21"/>
  <c r="W62" i="21"/>
  <c r="T62" i="21"/>
  <c r="K62" i="21"/>
  <c r="Y30" i="21"/>
  <c r="W30" i="21"/>
  <c r="T30" i="21"/>
  <c r="K30" i="21"/>
  <c r="Y61" i="21"/>
  <c r="W61" i="21"/>
  <c r="T61" i="21"/>
  <c r="K61" i="21"/>
  <c r="Y60" i="21"/>
  <c r="W60" i="21"/>
  <c r="T60" i="21"/>
  <c r="K60" i="21"/>
  <c r="Y29" i="21"/>
  <c r="W29" i="21"/>
  <c r="T29" i="21"/>
  <c r="K29" i="21"/>
  <c r="W28" i="21"/>
  <c r="T28" i="21"/>
  <c r="L28" i="21"/>
  <c r="K28" i="21"/>
  <c r="Y59" i="21"/>
  <c r="W59" i="21"/>
  <c r="T59" i="21"/>
  <c r="K59" i="21"/>
  <c r="Y58" i="21"/>
  <c r="W58" i="21"/>
  <c r="T58" i="21"/>
  <c r="K58" i="21"/>
  <c r="Y25" i="21"/>
  <c r="W25" i="21"/>
  <c r="T25" i="21"/>
  <c r="K25" i="21"/>
  <c r="Y24" i="21"/>
  <c r="W24" i="21"/>
  <c r="T24" i="21"/>
  <c r="K24" i="21"/>
  <c r="Y56" i="21"/>
  <c r="W56" i="21"/>
  <c r="T56" i="21"/>
  <c r="K56" i="21"/>
  <c r="Y52" i="21"/>
  <c r="W52" i="21"/>
  <c r="T52" i="21"/>
  <c r="K52" i="21"/>
  <c r="Y47" i="21"/>
  <c r="W47" i="21"/>
  <c r="T47" i="21"/>
  <c r="K47" i="21"/>
  <c r="Y46" i="21"/>
  <c r="W46" i="21"/>
  <c r="T46" i="21"/>
  <c r="K46" i="21"/>
  <c r="Y21" i="21"/>
  <c r="W21" i="21"/>
  <c r="K21" i="21"/>
  <c r="W14" i="21"/>
  <c r="T14" i="21"/>
  <c r="K14" i="21"/>
  <c r="Y12" i="21"/>
  <c r="W12" i="21"/>
  <c r="T12" i="21"/>
  <c r="K12" i="21"/>
  <c r="Y11" i="21"/>
  <c r="W11" i="21"/>
  <c r="T11" i="21"/>
  <c r="K11" i="21"/>
  <c r="W9" i="21"/>
  <c r="T9" i="21"/>
  <c r="Y8" i="21"/>
  <c r="W8" i="21"/>
  <c r="T8" i="21"/>
  <c r="K8" i="21"/>
  <c r="Y7" i="21"/>
  <c r="W7" i="21"/>
  <c r="T7" i="21"/>
  <c r="K7" i="21"/>
  <c r="Y6" i="21"/>
  <c r="W6" i="21"/>
  <c r="T6" i="21"/>
  <c r="K6" i="21"/>
  <c r="Y5" i="21"/>
  <c r="W5" i="21"/>
  <c r="T5" i="21"/>
  <c r="K5" i="21"/>
  <c r="W4" i="21"/>
  <c r="K4" i="21"/>
  <c r="X4" i="21" s="1"/>
  <c r="F4" i="21"/>
  <c r="B57" i="15"/>
  <c r="D12" i="9"/>
  <c r="D32" i="8" s="1"/>
  <c r="E33" i="9"/>
  <c r="G33" i="9" s="1"/>
  <c r="E32" i="9"/>
  <c r="G32" i="9" s="1"/>
  <c r="D100" i="21" s="1"/>
  <c r="E31" i="9"/>
  <c r="G31" i="9" s="1"/>
  <c r="D88" i="21" s="1"/>
  <c r="E30" i="9"/>
  <c r="G30" i="9" s="1"/>
  <c r="D83" i="21" s="1"/>
  <c r="E29" i="9"/>
  <c r="G29" i="9" s="1"/>
  <c r="D45" i="21" s="1"/>
  <c r="E28" i="9"/>
  <c r="G28" i="9" s="1"/>
  <c r="E27" i="9"/>
  <c r="G27" i="9" s="1"/>
  <c r="D37" i="9" s="1"/>
  <c r="E26" i="9"/>
  <c r="G26" i="9" s="1"/>
  <c r="D20" i="21" s="1"/>
  <c r="E25" i="9"/>
  <c r="G25" i="9" s="1"/>
  <c r="D16" i="21" s="1"/>
  <c r="E24" i="9"/>
  <c r="G24" i="9" s="1"/>
  <c r="E5" i="20"/>
  <c r="P5" i="20"/>
  <c r="O5" i="20"/>
  <c r="N5" i="20"/>
  <c r="M5" i="20"/>
  <c r="L5" i="20"/>
  <c r="K5" i="20"/>
  <c r="J5" i="20"/>
  <c r="I5" i="20"/>
  <c r="H5" i="20"/>
  <c r="G5" i="20"/>
  <c r="E15" i="20"/>
  <c r="F15" i="20"/>
  <c r="E14" i="20"/>
  <c r="F14" i="20"/>
  <c r="E11" i="20"/>
  <c r="F11" i="20"/>
  <c r="F10" i="20"/>
  <c r="F12" i="20"/>
  <c r="F13" i="20"/>
  <c r="F16" i="20"/>
  <c r="F17" i="20"/>
  <c r="F18" i="20"/>
  <c r="F19" i="20"/>
  <c r="F20" i="20"/>
  <c r="F21" i="20"/>
  <c r="F9" i="20"/>
  <c r="E10" i="20"/>
  <c r="E12" i="20"/>
  <c r="E13" i="20"/>
  <c r="E16" i="20"/>
  <c r="E17" i="20"/>
  <c r="E18" i="20"/>
  <c r="E19" i="20"/>
  <c r="E20" i="20"/>
  <c r="E21" i="20"/>
  <c r="E9" i="20"/>
  <c r="D21" i="9"/>
  <c r="B46" i="1"/>
  <c r="A8" i="19"/>
  <c r="B68" i="1"/>
  <c r="B69" i="1" s="1"/>
  <c r="E6" i="18" s="1"/>
  <c r="E33" i="18"/>
  <c r="E7" i="17"/>
  <c r="B7" i="17"/>
  <c r="C7" i="17"/>
  <c r="E4" i="17"/>
  <c r="E3" i="17"/>
  <c r="B40" i="15"/>
  <c r="D14" i="9"/>
  <c r="D13" i="9"/>
  <c r="C10" i="18" l="1"/>
  <c r="E42" i="18"/>
  <c r="C13" i="18"/>
  <c r="C49" i="9"/>
  <c r="E4" i="18"/>
  <c r="C12" i="18" s="1"/>
  <c r="D12" i="18" s="1"/>
  <c r="A9" i="19"/>
  <c r="D74" i="21"/>
  <c r="D49" i="21"/>
  <c r="D53" i="21"/>
  <c r="D51" i="21"/>
  <c r="D63" i="21"/>
  <c r="D66" i="21"/>
  <c r="D62" i="21"/>
  <c r="D80" i="21"/>
  <c r="D55" i="21"/>
  <c r="D79" i="21"/>
  <c r="D76" i="21"/>
  <c r="D61" i="21"/>
  <c r="D58" i="21"/>
  <c r="D78" i="21"/>
  <c r="D68" i="21"/>
  <c r="D72" i="21"/>
  <c r="D47" i="21"/>
  <c r="D57" i="21"/>
  <c r="D71" i="21"/>
  <c r="D50" i="21"/>
  <c r="D70" i="21"/>
  <c r="D60" i="21"/>
  <c r="D64" i="21"/>
  <c r="D65" i="21"/>
  <c r="D67" i="21"/>
  <c r="D46" i="21"/>
  <c r="D81" i="21"/>
  <c r="D54" i="21"/>
  <c r="D52" i="21"/>
  <c r="D56" i="21"/>
  <c r="D73" i="21"/>
  <c r="D77" i="21"/>
  <c r="D75" i="21"/>
  <c r="D48" i="21"/>
  <c r="D69" i="21"/>
  <c r="D59" i="21"/>
  <c r="D98" i="21"/>
  <c r="D93" i="21"/>
  <c r="D90" i="21"/>
  <c r="D91" i="21"/>
  <c r="D89" i="21"/>
  <c r="D97" i="21"/>
  <c r="D92" i="21"/>
  <c r="D96" i="21"/>
  <c r="D95" i="21"/>
  <c r="D94" i="21"/>
  <c r="D102" i="21"/>
  <c r="D106" i="21"/>
  <c r="D101" i="21"/>
  <c r="D108" i="21"/>
  <c r="D105" i="21"/>
  <c r="D112" i="21"/>
  <c r="D111" i="21"/>
  <c r="D110" i="21"/>
  <c r="D104" i="21"/>
  <c r="D109" i="21"/>
  <c r="D103" i="21"/>
  <c r="D107" i="21"/>
  <c r="D43" i="21"/>
  <c r="D25" i="21"/>
  <c r="D30" i="21"/>
  <c r="D35" i="21"/>
  <c r="D32" i="21"/>
  <c r="D21" i="21"/>
  <c r="D28" i="21"/>
  <c r="D22" i="21"/>
  <c r="D40" i="21"/>
  <c r="D36" i="21"/>
  <c r="D38" i="21"/>
  <c r="D27" i="21"/>
  <c r="D41" i="21"/>
  <c r="D37" i="21"/>
  <c r="D42" i="21"/>
  <c r="D24" i="21"/>
  <c r="D26" i="21"/>
  <c r="D33" i="21"/>
  <c r="D29" i="21"/>
  <c r="D34" i="21"/>
  <c r="D39" i="21"/>
  <c r="D31" i="21"/>
  <c r="D23" i="21"/>
  <c r="D86" i="21"/>
  <c r="D85" i="21"/>
  <c r="D84" i="21"/>
  <c r="D18" i="21"/>
  <c r="D17" i="21"/>
  <c r="F4" i="18"/>
  <c r="E7" i="18"/>
  <c r="E34" i="9"/>
  <c r="G34" i="9" s="1"/>
  <c r="D114" i="21" s="1"/>
  <c r="K65" i="21"/>
  <c r="D11" i="9"/>
  <c r="B23" i="15"/>
  <c r="D24" i="15"/>
  <c r="D23" i="15" s="1"/>
  <c r="C24" i="15"/>
  <c r="C23" i="15" s="1"/>
  <c r="B24" i="15"/>
  <c r="B74" i="1"/>
  <c r="E58" i="18" l="1"/>
  <c r="E57" i="18" s="1"/>
  <c r="E59" i="18" s="1"/>
  <c r="B6" i="1"/>
  <c r="B8" i="1" s="1"/>
  <c r="B9" i="1" s="1"/>
  <c r="A10" i="19"/>
  <c r="D116" i="21"/>
  <c r="D118" i="21"/>
  <c r="D117" i="21"/>
  <c r="D119" i="21"/>
  <c r="D115" i="21"/>
  <c r="F40" i="18"/>
  <c r="E8" i="18"/>
  <c r="B76" i="1"/>
  <c r="F81" i="8"/>
  <c r="B15" i="1" l="1"/>
  <c r="C3" i="13"/>
  <c r="C24" i="1"/>
  <c r="J2" i="6"/>
  <c r="I15" i="6"/>
  <c r="J15" i="6" s="1"/>
  <c r="D38" i="9"/>
  <c r="D10" i="18"/>
  <c r="C29" i="18" s="1"/>
  <c r="E46" i="18"/>
  <c r="D11" i="18"/>
  <c r="B10" i="1"/>
  <c r="B11" i="1" s="1"/>
  <c r="D15" i="1" s="1"/>
  <c r="D6" i="19"/>
  <c r="D7" i="19" s="1"/>
  <c r="D8" i="19" s="1"/>
  <c r="D9" i="19" s="1"/>
  <c r="D10" i="19" s="1"/>
  <c r="D11" i="19" s="1"/>
  <c r="D12" i="19" s="1"/>
  <c r="D13" i="19" s="1"/>
  <c r="D14" i="19" s="1"/>
  <c r="D15" i="19" s="1"/>
  <c r="D16" i="19" s="1"/>
  <c r="D17" i="19" s="1"/>
  <c r="D18" i="19" s="1"/>
  <c r="D19" i="19" s="1"/>
  <c r="D20" i="19" s="1"/>
  <c r="D21" i="19" s="1"/>
  <c r="D22" i="19" s="1"/>
  <c r="D23" i="19" s="1"/>
  <c r="D24" i="19" s="1"/>
  <c r="D25" i="19" s="1"/>
  <c r="D26" i="19" s="1"/>
  <c r="D27" i="19" s="1"/>
  <c r="D28" i="19" s="1"/>
  <c r="D29" i="19" s="1"/>
  <c r="D30" i="19" s="1"/>
  <c r="D31" i="19" s="1"/>
  <c r="D32" i="19" s="1"/>
  <c r="D33" i="19" s="1"/>
  <c r="D34" i="19" s="1"/>
  <c r="D35" i="19" s="1"/>
  <c r="D36" i="19" s="1"/>
  <c r="D37" i="19" s="1"/>
  <c r="D38" i="19" s="1"/>
  <c r="D39" i="19" s="1"/>
  <c r="D40" i="19" s="1"/>
  <c r="D41" i="19" s="1"/>
  <c r="D42" i="19" s="1"/>
  <c r="D43" i="19" s="1"/>
  <c r="D44" i="19" s="1"/>
  <c r="D45" i="19" s="1"/>
  <c r="D46" i="19" s="1"/>
  <c r="D47" i="19" s="1"/>
  <c r="D48" i="19" s="1"/>
  <c r="D49" i="19" s="1"/>
  <c r="D50" i="19" s="1"/>
  <c r="D51" i="19" s="1"/>
  <c r="D52" i="19" s="1"/>
  <c r="D53" i="19" s="1"/>
  <c r="D54" i="19" s="1"/>
  <c r="D55" i="19" s="1"/>
  <c r="D56" i="19" s="1"/>
  <c r="D57" i="19" s="1"/>
  <c r="D58" i="19" s="1"/>
  <c r="D59" i="19" s="1"/>
  <c r="D60" i="19" s="1"/>
  <c r="D61" i="19" s="1"/>
  <c r="D62" i="19" s="1"/>
  <c r="D63" i="19" s="1"/>
  <c r="D64" i="19" s="1"/>
  <c r="D65" i="19" s="1"/>
  <c r="D66" i="19" s="1"/>
  <c r="D67" i="19" s="1"/>
  <c r="D68" i="19" s="1"/>
  <c r="D69" i="19" s="1"/>
  <c r="D70" i="19" s="1"/>
  <c r="D71" i="19" s="1"/>
  <c r="D72" i="19" s="1"/>
  <c r="D73" i="19" s="1"/>
  <c r="D74" i="19" s="1"/>
  <c r="D75" i="19" s="1"/>
  <c r="D76" i="19" s="1"/>
  <c r="D77" i="19" s="1"/>
  <c r="D78" i="19" s="1"/>
  <c r="D79" i="19" s="1"/>
  <c r="D80" i="19" s="1"/>
  <c r="D81" i="19" s="1"/>
  <c r="D82" i="19" s="1"/>
  <c r="D83" i="19" s="1"/>
  <c r="D84" i="19" s="1"/>
  <c r="D85" i="19" s="1"/>
  <c r="D86" i="19" s="1"/>
  <c r="D87" i="19" s="1"/>
  <c r="D88" i="19" s="1"/>
  <c r="D89" i="19" s="1"/>
  <c r="D90" i="19" s="1"/>
  <c r="D91" i="19" s="1"/>
  <c r="D92" i="19" s="1"/>
  <c r="D93" i="19" s="1"/>
  <c r="D94" i="19" s="1"/>
  <c r="D95" i="19" s="1"/>
  <c r="D96" i="19" s="1"/>
  <c r="D97" i="19" s="1"/>
  <c r="D98" i="19" s="1"/>
  <c r="D99" i="19" s="1"/>
  <c r="D100" i="19" s="1"/>
  <c r="D101" i="19" s="1"/>
  <c r="D102" i="19" s="1"/>
  <c r="D103" i="19" s="1"/>
  <c r="D104" i="19" s="1"/>
  <c r="D105" i="19" s="1"/>
  <c r="D106" i="19" s="1"/>
  <c r="D107" i="19" s="1"/>
  <c r="D108" i="19" s="1"/>
  <c r="D109" i="19" s="1"/>
  <c r="D110" i="19" s="1"/>
  <c r="D111" i="19" s="1"/>
  <c r="D112" i="19" s="1"/>
  <c r="D113" i="19" s="1"/>
  <c r="D114" i="19" s="1"/>
  <c r="D115" i="19" s="1"/>
  <c r="D116" i="19" s="1"/>
  <c r="D117" i="19" s="1"/>
  <c r="D118" i="19" s="1"/>
  <c r="D119" i="19" s="1"/>
  <c r="D120" i="19" s="1"/>
  <c r="D121" i="19" s="1"/>
  <c r="D122" i="19" s="1"/>
  <c r="D123" i="19" s="1"/>
  <c r="D124" i="19" s="1"/>
  <c r="D125" i="19" s="1"/>
  <c r="D126" i="19" s="1"/>
  <c r="D127" i="19" s="1"/>
  <c r="D128" i="19" s="1"/>
  <c r="D129" i="19" s="1"/>
  <c r="D130" i="19" s="1"/>
  <c r="D131" i="19" s="1"/>
  <c r="D132" i="19" s="1"/>
  <c r="D133" i="19" s="1"/>
  <c r="D134" i="19" s="1"/>
  <c r="D135" i="19" s="1"/>
  <c r="D136" i="19" s="1"/>
  <c r="D137" i="19" s="1"/>
  <c r="D138" i="19" s="1"/>
  <c r="D139" i="19" s="1"/>
  <c r="D140" i="19" s="1"/>
  <c r="D141" i="19" s="1"/>
  <c r="D142" i="19" s="1"/>
  <c r="D143" i="19" s="1"/>
  <c r="D144" i="19" s="1"/>
  <c r="D145" i="19" s="1"/>
  <c r="D146" i="19" s="1"/>
  <c r="D147" i="19" s="1"/>
  <c r="D148" i="19" s="1"/>
  <c r="D149" i="19" s="1"/>
  <c r="D150" i="19" s="1"/>
  <c r="D151" i="19" s="1"/>
  <c r="D152" i="19" s="1"/>
  <c r="D153" i="19" s="1"/>
  <c r="D154" i="19" s="1"/>
  <c r="D155" i="19" s="1"/>
  <c r="D156" i="19" s="1"/>
  <c r="D157" i="19" s="1"/>
  <c r="D158" i="19" s="1"/>
  <c r="D159" i="19" s="1"/>
  <c r="D160" i="19" s="1"/>
  <c r="D161" i="19" s="1"/>
  <c r="D162" i="19" s="1"/>
  <c r="D163" i="19" s="1"/>
  <c r="D164" i="19" s="1"/>
  <c r="D165" i="19" s="1"/>
  <c r="D166" i="19" s="1"/>
  <c r="D167" i="19" s="1"/>
  <c r="D168" i="19" s="1"/>
  <c r="D169" i="19" s="1"/>
  <c r="D170" i="19" s="1"/>
  <c r="D171" i="19" s="1"/>
  <c r="D172" i="19" s="1"/>
  <c r="D173" i="19" s="1"/>
  <c r="D174" i="19" s="1"/>
  <c r="D175" i="19" s="1"/>
  <c r="D176" i="19" s="1"/>
  <c r="D177" i="19" s="1"/>
  <c r="D178" i="19" s="1"/>
  <c r="D179" i="19" s="1"/>
  <c r="D180" i="19" s="1"/>
  <c r="D181" i="19" s="1"/>
  <c r="D182" i="19" s="1"/>
  <c r="D183" i="19" s="1"/>
  <c r="D184" i="19" s="1"/>
  <c r="D185" i="19" s="1"/>
  <c r="D186" i="19" s="1"/>
  <c r="D187" i="19" s="1"/>
  <c r="D188" i="19" s="1"/>
  <c r="D189" i="19" s="1"/>
  <c r="D190" i="19" s="1"/>
  <c r="D191" i="19" s="1"/>
  <c r="D192" i="19" s="1"/>
  <c r="D193" i="19" s="1"/>
  <c r="D194" i="19" s="1"/>
  <c r="D195" i="19" s="1"/>
  <c r="D196" i="19" s="1"/>
  <c r="D197" i="19" s="1"/>
  <c r="D198" i="19" s="1"/>
  <c r="D199" i="19" s="1"/>
  <c r="D200" i="19" s="1"/>
  <c r="D201" i="19" s="1"/>
  <c r="D202" i="19" s="1"/>
  <c r="D203" i="19" s="1"/>
  <c r="D204" i="19" s="1"/>
  <c r="D205" i="19" s="1"/>
  <c r="D206" i="19" s="1"/>
  <c r="D207" i="19" s="1"/>
  <c r="D208" i="19" s="1"/>
  <c r="A11" i="19"/>
  <c r="E5" i="18"/>
  <c r="E62" i="18"/>
  <c r="B83" i="1" s="1"/>
  <c r="D33" i="8"/>
  <c r="G9" i="14"/>
  <c r="B6" i="14"/>
  <c r="D29" i="8"/>
  <c r="A410" i="7"/>
  <c r="A411" i="7"/>
  <c r="A412" i="7" s="1"/>
  <c r="A399" i="7"/>
  <c r="A400" i="7" s="1"/>
  <c r="A401" i="7" s="1"/>
  <c r="A402" i="7" s="1"/>
  <c r="A403" i="7" s="1"/>
  <c r="A404" i="7" s="1"/>
  <c r="A405" i="7" s="1"/>
  <c r="A406" i="7" s="1"/>
  <c r="A407" i="7" s="1"/>
  <c r="A408" i="7" s="1"/>
  <c r="A409" i="7" s="1"/>
  <c r="A392" i="7"/>
  <c r="A393" i="7"/>
  <c r="A394" i="7" s="1"/>
  <c r="A395" i="7" s="1"/>
  <c r="A396" i="7" s="1"/>
  <c r="A397" i="7" s="1"/>
  <c r="A398" i="7" s="1"/>
  <c r="A385" i="7"/>
  <c r="A386" i="7" s="1"/>
  <c r="A387" i="7" s="1"/>
  <c r="A388" i="7" s="1"/>
  <c r="A389" i="7" s="1"/>
  <c r="A390" i="7" s="1"/>
  <c r="A391" i="7" s="1"/>
  <c r="A378" i="7"/>
  <c r="A379" i="7"/>
  <c r="A380" i="7" s="1"/>
  <c r="A381" i="7" s="1"/>
  <c r="A382" i="7" s="1"/>
  <c r="A383" i="7" s="1"/>
  <c r="A384" i="7" s="1"/>
  <c r="A355" i="7"/>
  <c r="A356" i="7"/>
  <c r="A357" i="7" s="1"/>
  <c r="A358" i="7" s="1"/>
  <c r="A359" i="7" s="1"/>
  <c r="A360" i="7" s="1"/>
  <c r="A361" i="7" s="1"/>
  <c r="A362" i="7" s="1"/>
  <c r="A363" i="7" s="1"/>
  <c r="A364" i="7" s="1"/>
  <c r="A365" i="7" s="1"/>
  <c r="A366" i="7" s="1"/>
  <c r="A367" i="7" s="1"/>
  <c r="A368" i="7" s="1"/>
  <c r="A369" i="7" s="1"/>
  <c r="A370" i="7" s="1"/>
  <c r="A371" i="7" s="1"/>
  <c r="A372" i="7" s="1"/>
  <c r="A373" i="7" s="1"/>
  <c r="A374" i="7" s="1"/>
  <c r="A375" i="7" s="1"/>
  <c r="A376" i="7" s="1"/>
  <c r="A377" i="7" s="1"/>
  <c r="A264" i="7"/>
  <c r="A265" i="7"/>
  <c r="A266" i="7" s="1"/>
  <c r="A267" i="7" s="1"/>
  <c r="A268" i="7" s="1"/>
  <c r="A269" i="7" s="1"/>
  <c r="A270" i="7" s="1"/>
  <c r="A271" i="7" s="1"/>
  <c r="A272" i="7" s="1"/>
  <c r="A273" i="7" s="1"/>
  <c r="A274" i="7" s="1"/>
  <c r="A275" i="7" s="1"/>
  <c r="A276" i="7" s="1"/>
  <c r="A277" i="7" s="1"/>
  <c r="A278" i="7" s="1"/>
  <c r="A279" i="7" s="1"/>
  <c r="A280" i="7" s="1"/>
  <c r="A281" i="7" s="1"/>
  <c r="A282" i="7" s="1"/>
  <c r="A283" i="7" s="1"/>
  <c r="A284" i="7" s="1"/>
  <c r="A285" i="7" s="1"/>
  <c r="A286" i="7" s="1"/>
  <c r="A287" i="7" s="1"/>
  <c r="A288" i="7" s="1"/>
  <c r="A289" i="7" s="1"/>
  <c r="A290" i="7" s="1"/>
  <c r="A291" i="7" s="1"/>
  <c r="A292" i="7" s="1"/>
  <c r="A293" i="7" s="1"/>
  <c r="A294" i="7" s="1"/>
  <c r="A295" i="7" s="1"/>
  <c r="A296" i="7" s="1"/>
  <c r="A297" i="7" s="1"/>
  <c r="A298" i="7" s="1"/>
  <c r="A299" i="7" s="1"/>
  <c r="A300" i="7" s="1"/>
  <c r="A301" i="7" s="1"/>
  <c r="A302" i="7" s="1"/>
  <c r="A303" i="7" s="1"/>
  <c r="A304" i="7" s="1"/>
  <c r="A305" i="7" s="1"/>
  <c r="A306" i="7" s="1"/>
  <c r="A307" i="7" s="1"/>
  <c r="A308" i="7" s="1"/>
  <c r="A309" i="7" s="1"/>
  <c r="A310" i="7" s="1"/>
  <c r="A311" i="7" s="1"/>
  <c r="A312" i="7" s="1"/>
  <c r="A313" i="7" s="1"/>
  <c r="A314" i="7" s="1"/>
  <c r="A315" i="7" s="1"/>
  <c r="A316" i="7" s="1"/>
  <c r="A317" i="7" s="1"/>
  <c r="A318" i="7" s="1"/>
  <c r="A319" i="7" s="1"/>
  <c r="A320" i="7" s="1"/>
  <c r="A321" i="7" s="1"/>
  <c r="A322" i="7" s="1"/>
  <c r="A323" i="7" s="1"/>
  <c r="A324" i="7" s="1"/>
  <c r="A325" i="7" s="1"/>
  <c r="A326" i="7" s="1"/>
  <c r="A327" i="7" s="1"/>
  <c r="A328" i="7" s="1"/>
  <c r="A329" i="7" s="1"/>
  <c r="A330" i="7" s="1"/>
  <c r="A331" i="7" s="1"/>
  <c r="A332" i="7" s="1"/>
  <c r="A333" i="7" s="1"/>
  <c r="A334" i="7" s="1"/>
  <c r="A335" i="7" s="1"/>
  <c r="A336" i="7" s="1"/>
  <c r="A337" i="7" s="1"/>
  <c r="A338" i="7" s="1"/>
  <c r="A339" i="7" s="1"/>
  <c r="A340" i="7" s="1"/>
  <c r="A341" i="7" s="1"/>
  <c r="A342" i="7" s="1"/>
  <c r="A343" i="7" s="1"/>
  <c r="A344" i="7" s="1"/>
  <c r="A345" i="7" s="1"/>
  <c r="A346" i="7" s="1"/>
  <c r="A347" i="7" s="1"/>
  <c r="A348" i="7" s="1"/>
  <c r="A349" i="7" s="1"/>
  <c r="A350" i="7" s="1"/>
  <c r="A351" i="7" s="1"/>
  <c r="A352" i="7" s="1"/>
  <c r="A353" i="7" s="1"/>
  <c r="A354" i="7" s="1"/>
  <c r="B104" i="1"/>
  <c r="B103" i="1"/>
  <c r="B99" i="1"/>
  <c r="A13" i="7"/>
  <c r="C6" i="13" l="1"/>
  <c r="C7" i="13" s="1"/>
  <c r="C4" i="13" s="1"/>
  <c r="C5" i="13" s="1"/>
  <c r="D24" i="1"/>
  <c r="E6" i="19"/>
  <c r="F10" i="18"/>
  <c r="E10" i="18"/>
  <c r="D6" i="7"/>
  <c r="C52" i="13"/>
  <c r="C54" i="13"/>
  <c r="C56" i="13"/>
  <c r="F6" i="19"/>
  <c r="A12" i="19"/>
  <c r="E63" i="18"/>
  <c r="D2" i="7"/>
  <c r="D3" i="7"/>
  <c r="H6" i="19" l="1"/>
  <c r="G6" i="19" s="1"/>
  <c r="D5" i="7"/>
  <c r="B86" i="1"/>
  <c r="C57" i="13"/>
  <c r="A13" i="19"/>
  <c r="I6" i="19" l="1"/>
  <c r="A14" i="19"/>
  <c r="H43" i="1"/>
  <c r="H44" i="1" s="1"/>
  <c r="F2" i="1"/>
  <c r="F6" i="1" s="1"/>
  <c r="F10" i="1" l="1"/>
  <c r="F8" i="1"/>
  <c r="F9" i="1" s="1"/>
  <c r="A15" i="19"/>
  <c r="F5" i="1"/>
  <c r="F11" i="1" l="1"/>
  <c r="A16" i="19"/>
  <c r="B12" i="7"/>
  <c r="G44" i="8"/>
  <c r="AM45" i="8" s="1"/>
  <c r="Q45" i="8"/>
  <c r="R46" i="8" s="1"/>
  <c r="S47" i="8" s="1"/>
  <c r="P45" i="8"/>
  <c r="Q46" i="8" s="1"/>
  <c r="R47" i="8" s="1"/>
  <c r="S48" i="8" s="1"/>
  <c r="G27" i="8"/>
  <c r="F16" i="8"/>
  <c r="E16" i="8"/>
  <c r="N39" i="8"/>
  <c r="A46" i="8"/>
  <c r="A47" i="8" s="1"/>
  <c r="A48" i="8" s="1"/>
  <c r="A49" i="8" s="1"/>
  <c r="A50" i="8" s="1"/>
  <c r="A51" i="8" s="1"/>
  <c r="A52" i="8" s="1"/>
  <c r="A53" i="8" s="1"/>
  <c r="A54" i="8" s="1"/>
  <c r="A55" i="8" s="1"/>
  <c r="A56" i="8" s="1"/>
  <c r="A57" i="8" s="1"/>
  <c r="A58" i="8" s="1"/>
  <c r="A59" i="8" s="1"/>
  <c r="A60" i="8" s="1"/>
  <c r="A61" i="8" s="1"/>
  <c r="A62" i="8" s="1"/>
  <c r="A63" i="8" s="1"/>
  <c r="A64" i="8" s="1"/>
  <c r="A65" i="8" s="1"/>
  <c r="A66" i="8" s="1"/>
  <c r="A67" i="8" s="1"/>
  <c r="A68" i="8" s="1"/>
  <c r="A69" i="8" s="1"/>
  <c r="A70" i="8" s="1"/>
  <c r="A71" i="8" s="1"/>
  <c r="A72" i="8" s="1"/>
  <c r="A73" i="8" s="1"/>
  <c r="A74" i="8" s="1"/>
  <c r="A75" i="8" s="1"/>
  <c r="A76" i="8" s="1"/>
  <c r="A77" i="8" s="1"/>
  <c r="A78" i="8" s="1"/>
  <c r="A79" i="8" s="1"/>
  <c r="A80" i="8" s="1"/>
  <c r="E25" i="8"/>
  <c r="A17" i="19" l="1"/>
  <c r="E12" i="7"/>
  <c r="AO45" i="8"/>
  <c r="AJ45" i="8"/>
  <c r="AL45" i="8"/>
  <c r="AN45" i="8"/>
  <c r="AK45" i="8"/>
  <c r="C2" i="6"/>
  <c r="A257" i="7"/>
  <c r="A258" i="7"/>
  <c r="A259" i="7" s="1"/>
  <c r="A260" i="7" s="1"/>
  <c r="A261" i="7" s="1"/>
  <c r="A262" i="7" s="1"/>
  <c r="A263" i="7" s="1"/>
  <c r="A241" i="7"/>
  <c r="A242" i="7"/>
  <c r="A243" i="7" s="1"/>
  <c r="A244" i="7" s="1"/>
  <c r="A245" i="7" s="1"/>
  <c r="A246" i="7" s="1"/>
  <c r="A247" i="7" s="1"/>
  <c r="A248" i="7" s="1"/>
  <c r="A249" i="7" s="1"/>
  <c r="A250" i="7" s="1"/>
  <c r="A251" i="7" s="1"/>
  <c r="A252" i="7" s="1"/>
  <c r="A253" i="7" s="1"/>
  <c r="A254" i="7" s="1"/>
  <c r="A255" i="7" s="1"/>
  <c r="A256" i="7" s="1"/>
  <c r="A224" i="7"/>
  <c r="A225" i="7"/>
  <c r="A226" i="7" s="1"/>
  <c r="A227" i="7" s="1"/>
  <c r="A228" i="7" s="1"/>
  <c r="A229" i="7" s="1"/>
  <c r="A230" i="7" s="1"/>
  <c r="A231" i="7" s="1"/>
  <c r="A232" i="7" s="1"/>
  <c r="A233" i="7" s="1"/>
  <c r="A234" i="7" s="1"/>
  <c r="A235" i="7" s="1"/>
  <c r="A236" i="7" s="1"/>
  <c r="A237" i="7" s="1"/>
  <c r="A238" i="7" s="1"/>
  <c r="A239" i="7" s="1"/>
  <c r="A240" i="7" s="1"/>
  <c r="A207" i="7"/>
  <c r="A208" i="7"/>
  <c r="A209" i="7" s="1"/>
  <c r="A210" i="7" s="1"/>
  <c r="A211" i="7" s="1"/>
  <c r="A212" i="7" s="1"/>
  <c r="A213" i="7" s="1"/>
  <c r="A214" i="7" s="1"/>
  <c r="A215" i="7" s="1"/>
  <c r="A216" i="7" s="1"/>
  <c r="A217" i="7" s="1"/>
  <c r="A218" i="7" s="1"/>
  <c r="A219" i="7" s="1"/>
  <c r="A220" i="7" s="1"/>
  <c r="A221" i="7" s="1"/>
  <c r="A222" i="7" s="1"/>
  <c r="A223" i="7" s="1"/>
  <c r="A194" i="7"/>
  <c r="A195" i="7"/>
  <c r="A196" i="7" s="1"/>
  <c r="A197" i="7" s="1"/>
  <c r="A198" i="7" s="1"/>
  <c r="A199" i="7" s="1"/>
  <c r="A200" i="7" s="1"/>
  <c r="A201" i="7" s="1"/>
  <c r="A202" i="7" s="1"/>
  <c r="A203" i="7" s="1"/>
  <c r="A204" i="7" s="1"/>
  <c r="A205" i="7" s="1"/>
  <c r="A206" i="7" s="1"/>
  <c r="A185" i="7"/>
  <c r="A186" i="7" s="1"/>
  <c r="A187" i="7" s="1"/>
  <c r="A188" i="7" s="1"/>
  <c r="A189" i="7" s="1"/>
  <c r="A190" i="7" s="1"/>
  <c r="A191" i="7" s="1"/>
  <c r="A192" i="7" s="1"/>
  <c r="A193" i="7" s="1"/>
  <c r="A165" i="7"/>
  <c r="A166" i="7" s="1"/>
  <c r="A167" i="7" s="1"/>
  <c r="A168" i="7" s="1"/>
  <c r="A169" i="7" s="1"/>
  <c r="A170" i="7" s="1"/>
  <c r="A171" i="7" s="1"/>
  <c r="A172" i="7" s="1"/>
  <c r="A173" i="7" s="1"/>
  <c r="A174" i="7" s="1"/>
  <c r="A175" i="7" s="1"/>
  <c r="A176" i="7" s="1"/>
  <c r="A177" i="7" s="1"/>
  <c r="A178" i="7" s="1"/>
  <c r="A179" i="7" s="1"/>
  <c r="A180" i="7" s="1"/>
  <c r="A181" i="7" s="1"/>
  <c r="A182" i="7" s="1"/>
  <c r="A183" i="7" s="1"/>
  <c r="A184" i="7" s="1"/>
  <c r="A147" i="7"/>
  <c r="A148" i="7" s="1"/>
  <c r="A149" i="7" s="1"/>
  <c r="A150" i="7" s="1"/>
  <c r="A151" i="7" s="1"/>
  <c r="A152" i="7" s="1"/>
  <c r="A153" i="7" s="1"/>
  <c r="A154" i="7" s="1"/>
  <c r="A155" i="7" s="1"/>
  <c r="A156" i="7" s="1"/>
  <c r="A157" i="7" s="1"/>
  <c r="A158" i="7" s="1"/>
  <c r="A159" i="7" s="1"/>
  <c r="A160" i="7" s="1"/>
  <c r="A161" i="7" s="1"/>
  <c r="A162" i="7" s="1"/>
  <c r="A163" i="7" s="1"/>
  <c r="A164" i="7" s="1"/>
  <c r="A14" i="7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A95" i="7" s="1"/>
  <c r="A96" i="7" s="1"/>
  <c r="A97" i="7" s="1"/>
  <c r="A98" i="7" s="1"/>
  <c r="A99" i="7" s="1"/>
  <c r="A100" i="7" s="1"/>
  <c r="A101" i="7" s="1"/>
  <c r="A102" i="7" s="1"/>
  <c r="A103" i="7" s="1"/>
  <c r="A104" i="7" s="1"/>
  <c r="A105" i="7" s="1"/>
  <c r="A106" i="7" s="1"/>
  <c r="A107" i="7" s="1"/>
  <c r="A108" i="7" s="1"/>
  <c r="A109" i="7" s="1"/>
  <c r="A110" i="7" s="1"/>
  <c r="A111" i="7" s="1"/>
  <c r="A112" i="7" s="1"/>
  <c r="A113" i="7" s="1"/>
  <c r="A114" i="7" s="1"/>
  <c r="A115" i="7" s="1"/>
  <c r="A116" i="7" s="1"/>
  <c r="A117" i="7" s="1"/>
  <c r="A118" i="7" s="1"/>
  <c r="A119" i="7" s="1"/>
  <c r="A120" i="7" s="1"/>
  <c r="A121" i="7" s="1"/>
  <c r="A122" i="7" s="1"/>
  <c r="A123" i="7" s="1"/>
  <c r="A124" i="7" s="1"/>
  <c r="A125" i="7" s="1"/>
  <c r="A126" i="7" s="1"/>
  <c r="A127" i="7" s="1"/>
  <c r="A128" i="7" s="1"/>
  <c r="A129" i="7" s="1"/>
  <c r="A130" i="7" s="1"/>
  <c r="A131" i="7" s="1"/>
  <c r="A132" i="7" s="1"/>
  <c r="A133" i="7" s="1"/>
  <c r="A134" i="7" s="1"/>
  <c r="A135" i="7" s="1"/>
  <c r="A136" i="7" s="1"/>
  <c r="A137" i="7" s="1"/>
  <c r="A138" i="7" s="1"/>
  <c r="A139" i="7" s="1"/>
  <c r="A140" i="7" s="1"/>
  <c r="A141" i="7" s="1"/>
  <c r="A142" i="7" s="1"/>
  <c r="A143" i="7" s="1"/>
  <c r="A144" i="7" s="1"/>
  <c r="A145" i="7" s="1"/>
  <c r="A146" i="7" s="1"/>
  <c r="D7" i="7"/>
  <c r="D4" i="7"/>
  <c r="E41" i="1"/>
  <c r="E2" i="1"/>
  <c r="E5" i="1" s="1"/>
  <c r="D10" i="6" l="1"/>
  <c r="A18" i="19"/>
  <c r="C12" i="7"/>
  <c r="D12" i="7" s="1"/>
  <c r="F12" i="7" s="1"/>
  <c r="E6" i="1"/>
  <c r="E10" i="1" l="1"/>
  <c r="E11" i="1" s="1"/>
  <c r="E8" i="1"/>
  <c r="E9" i="1" s="1"/>
  <c r="B89" i="1"/>
  <c r="A19" i="19"/>
  <c r="C2" i="13"/>
  <c r="B8" i="6" l="1"/>
  <c r="A20" i="19"/>
  <c r="J38" i="6" l="1"/>
  <c r="AJ2" i="28" s="1"/>
  <c r="J39" i="6"/>
  <c r="AK2" i="28" s="1"/>
  <c r="J40" i="6"/>
  <c r="AL2" i="28" s="1"/>
  <c r="J41" i="6"/>
  <c r="AM2" i="28" s="1"/>
  <c r="J32" i="6"/>
  <c r="J44" i="6"/>
  <c r="AP2" i="28" s="1"/>
  <c r="J33" i="6"/>
  <c r="J45" i="6"/>
  <c r="AQ2" i="28" s="1"/>
  <c r="Q3" i="28" s="1"/>
  <c r="J28" i="6"/>
  <c r="J34" i="6"/>
  <c r="AF2" i="28" s="1"/>
  <c r="J36" i="6"/>
  <c r="AH2" i="28" s="1"/>
  <c r="J30" i="6"/>
  <c r="AB2" i="28" s="1"/>
  <c r="J31" i="6"/>
  <c r="AC2" i="28" s="1"/>
  <c r="J29" i="6"/>
  <c r="AA2" i="28" s="1"/>
  <c r="J35" i="6"/>
  <c r="AG2" i="28" s="1"/>
  <c r="J43" i="6"/>
  <c r="AO2" i="28" s="1"/>
  <c r="J42" i="6"/>
  <c r="AN2" i="28" s="1"/>
  <c r="J37" i="6"/>
  <c r="AI2" i="28" s="1"/>
  <c r="A21" i="19"/>
  <c r="AP3" i="28" l="1"/>
  <c r="AE2" i="28"/>
  <c r="D3" i="28" s="1"/>
  <c r="J9" i="6"/>
  <c r="AD2" i="28"/>
  <c r="J10" i="6"/>
  <c r="AQ3" i="28"/>
  <c r="Q4" i="28" s="1"/>
  <c r="Z2" i="28"/>
  <c r="J11" i="6"/>
  <c r="A22" i="19"/>
  <c r="B2" i="28" l="1"/>
  <c r="J12" i="6"/>
  <c r="AQ4" i="28"/>
  <c r="Q5" i="28" s="1"/>
  <c r="A23" i="19"/>
  <c r="E3" i="28" l="1"/>
  <c r="F3" i="28" s="1"/>
  <c r="A24" i="19"/>
  <c r="A25" i="19" l="1"/>
  <c r="A26" i="19" l="1"/>
  <c r="A27" i="19" l="1"/>
  <c r="A28" i="19" l="1"/>
  <c r="A29" i="19" l="1"/>
  <c r="A30" i="19" l="1"/>
  <c r="A31" i="19" l="1"/>
  <c r="A32" i="19" l="1"/>
  <c r="A33" i="19" l="1"/>
  <c r="A34" i="19" l="1"/>
  <c r="A35" i="19" l="1"/>
  <c r="C10" i="6" l="1"/>
  <c r="A36" i="19"/>
  <c r="A37" i="19" l="1"/>
  <c r="A38" i="19" l="1"/>
  <c r="A39" i="19" l="1"/>
  <c r="A40" i="19" l="1"/>
  <c r="A41" i="19" l="1"/>
  <c r="A42" i="19" l="1"/>
  <c r="A43" i="19" l="1"/>
  <c r="A44" i="19" l="1"/>
  <c r="A45" i="19" l="1"/>
  <c r="A46" i="19" l="1"/>
  <c r="A47" i="19" l="1"/>
  <c r="A48" i="19" l="1"/>
  <c r="A49" i="19" l="1"/>
  <c r="A50" i="19" l="1"/>
  <c r="A51" i="19" l="1"/>
  <c r="A52" i="19" l="1"/>
  <c r="A53" i="19" l="1"/>
  <c r="A54" i="19" l="1"/>
  <c r="A55" i="19" l="1"/>
  <c r="A56" i="19" l="1"/>
  <c r="A57" i="19" l="1"/>
  <c r="A58" i="19" l="1"/>
  <c r="A59" i="19" l="1"/>
  <c r="A60" i="19" l="1"/>
  <c r="A61" i="19" l="1"/>
  <c r="A62" i="19" l="1"/>
  <c r="A63" i="19" l="1"/>
  <c r="A64" i="19" l="1"/>
  <c r="A65" i="19" l="1"/>
  <c r="A66" i="19" l="1"/>
  <c r="A67" i="19" l="1"/>
  <c r="A68" i="19" l="1"/>
  <c r="A69" i="19" l="1"/>
  <c r="A70" i="19" l="1"/>
  <c r="A71" i="19" l="1"/>
  <c r="A72" i="19" l="1"/>
  <c r="A73" i="19" l="1"/>
  <c r="A74" i="19" l="1"/>
  <c r="A75" i="19" l="1"/>
  <c r="A76" i="19" l="1"/>
  <c r="A77" i="19" l="1"/>
  <c r="A78" i="19" l="1"/>
  <c r="A79" i="19" l="1"/>
  <c r="A80" i="19" l="1"/>
  <c r="A81" i="19" l="1"/>
  <c r="A82" i="19" l="1"/>
  <c r="A83" i="19" l="1"/>
  <c r="A84" i="19" l="1"/>
  <c r="A85" i="19" l="1"/>
  <c r="A86" i="19" l="1"/>
  <c r="A87" i="19" l="1"/>
  <c r="A88" i="19" l="1"/>
  <c r="A89" i="19" l="1"/>
  <c r="A90" i="19" l="1"/>
  <c r="A91" i="19" l="1"/>
  <c r="A92" i="19" l="1"/>
  <c r="A93" i="19" l="1"/>
  <c r="A94" i="19" l="1"/>
  <c r="A95" i="19" l="1"/>
  <c r="A96" i="19" l="1"/>
  <c r="A97" i="19" l="1"/>
  <c r="A98" i="19" l="1"/>
  <c r="A99" i="19" l="1"/>
  <c r="A100" i="19" l="1"/>
  <c r="A101" i="19" l="1"/>
  <c r="A102" i="19" l="1"/>
  <c r="A103" i="19" l="1"/>
  <c r="A104" i="19" l="1"/>
  <c r="A105" i="19" l="1"/>
  <c r="A106" i="19" l="1"/>
  <c r="A107" i="19" l="1"/>
  <c r="X69" i="8"/>
  <c r="Y70" i="8" s="1"/>
  <c r="X47" i="8"/>
  <c r="Y48" i="8" s="1"/>
  <c r="X49" i="8"/>
  <c r="Y50" i="8" s="1"/>
  <c r="X73" i="8"/>
  <c r="Y74" i="8" s="1"/>
  <c r="X65" i="8"/>
  <c r="Y66" i="8" s="1"/>
  <c r="X63" i="8"/>
  <c r="Y64" i="8" s="1"/>
  <c r="X53" i="8"/>
  <c r="Y54" i="8" s="1"/>
  <c r="X71" i="8"/>
  <c r="Y72" i="8" s="1"/>
  <c r="X66" i="8"/>
  <c r="Y67" i="8" s="1"/>
  <c r="X77" i="8"/>
  <c r="Y78" i="8" s="1"/>
  <c r="X58" i="8"/>
  <c r="Y59" i="8" s="1"/>
  <c r="X54" i="8"/>
  <c r="Y55" i="8" s="1"/>
  <c r="X55" i="8"/>
  <c r="Y56" i="8" s="1"/>
  <c r="X76" i="8"/>
  <c r="Y77" i="8" s="1"/>
  <c r="X51" i="8"/>
  <c r="Y52" i="8" s="1"/>
  <c r="X61" i="8"/>
  <c r="Y62" i="8" s="1"/>
  <c r="X74" i="8"/>
  <c r="Y75" i="8" s="1"/>
  <c r="X50" i="8"/>
  <c r="Y51" i="8" s="1"/>
  <c r="X68" i="8"/>
  <c r="Y69" i="8" s="1"/>
  <c r="X57" i="8"/>
  <c r="Y58" i="8" s="1"/>
  <c r="X75" i="8"/>
  <c r="Y76" i="8" s="1"/>
  <c r="X64" i="8"/>
  <c r="Y65" i="8" s="1"/>
  <c r="X46" i="8"/>
  <c r="Y47" i="8" s="1"/>
  <c r="X59" i="8"/>
  <c r="Y60" i="8" s="1"/>
  <c r="X67" i="8"/>
  <c r="Y68" i="8" s="1"/>
  <c r="X56" i="8"/>
  <c r="Y57" i="8" s="1"/>
  <c r="X70" i="8"/>
  <c r="Y71" i="8" s="1"/>
  <c r="X60" i="8"/>
  <c r="Y61" i="8" s="1"/>
  <c r="X72" i="8"/>
  <c r="Y73" i="8" s="1"/>
  <c r="X45" i="8"/>
  <c r="X52" i="8"/>
  <c r="Y53" i="8" s="1"/>
  <c r="F20" i="8"/>
  <c r="I44" i="8"/>
  <c r="X44" i="8"/>
  <c r="X78" i="8"/>
  <c r="Y79" i="8" s="1"/>
  <c r="X48" i="8"/>
  <c r="Y49" i="8" s="1"/>
  <c r="X62" i="8"/>
  <c r="Y63" i="8" s="1"/>
  <c r="X80" i="8"/>
  <c r="X79" i="8"/>
  <c r="Y80" i="8" s="1"/>
  <c r="A108" i="19" l="1"/>
  <c r="Y46" i="8"/>
  <c r="C44" i="8"/>
  <c r="I45" i="8" s="1"/>
  <c r="Y45" i="8"/>
  <c r="AE45" i="8"/>
  <c r="AB45" i="8"/>
  <c r="AC45" i="8"/>
  <c r="AF45" i="8"/>
  <c r="AD45" i="8"/>
  <c r="AA45" i="8"/>
  <c r="Z45" i="8"/>
  <c r="A109" i="19" l="1"/>
  <c r="AC46" i="8"/>
  <c r="AD46" i="8"/>
  <c r="AB46" i="8"/>
  <c r="AF46" i="8"/>
  <c r="Z46" i="8"/>
  <c r="AA46" i="8"/>
  <c r="AE46" i="8"/>
  <c r="C45" i="8"/>
  <c r="I46" i="8" s="1"/>
  <c r="A110" i="19" l="1"/>
  <c r="AA47" i="8"/>
  <c r="AC47" i="8"/>
  <c r="C46" i="8"/>
  <c r="I47" i="8" s="1"/>
  <c r="Z48" i="8" s="1"/>
  <c r="Z47" i="8"/>
  <c r="AE47" i="8"/>
  <c r="AF47" i="8"/>
  <c r="AB47" i="8"/>
  <c r="AD47" i="8"/>
  <c r="A111" i="19" l="1"/>
  <c r="AC48" i="8"/>
  <c r="AD48" i="8"/>
  <c r="AF48" i="8"/>
  <c r="AA48" i="8"/>
  <c r="C47" i="8"/>
  <c r="I48" i="8" s="1"/>
  <c r="Z49" i="8" s="1"/>
  <c r="AE48" i="8"/>
  <c r="AB48" i="8"/>
  <c r="A112" i="19" l="1"/>
  <c r="AF49" i="8"/>
  <c r="AE49" i="8"/>
  <c r="AA49" i="8"/>
  <c r="AC49" i="8"/>
  <c r="AB49" i="8"/>
  <c r="C48" i="8"/>
  <c r="I49" i="8" s="1"/>
  <c r="AF50" i="8" s="1"/>
  <c r="AD49" i="8"/>
  <c r="A113" i="19" l="1"/>
  <c r="AE50" i="8"/>
  <c r="AC50" i="8"/>
  <c r="AD50" i="8"/>
  <c r="C49" i="8"/>
  <c r="I50" i="8" s="1"/>
  <c r="Z50" i="8"/>
  <c r="AA50" i="8"/>
  <c r="AB50" i="8"/>
  <c r="A114" i="19" l="1"/>
  <c r="AC51" i="8"/>
  <c r="AF51" i="8"/>
  <c r="AE51" i="8"/>
  <c r="AD51" i="8"/>
  <c r="Z51" i="8"/>
  <c r="C50" i="8"/>
  <c r="I51" i="8" s="1"/>
  <c r="Z52" i="8" s="1"/>
  <c r="AB51" i="8"/>
  <c r="AA51" i="8"/>
  <c r="A115" i="19" l="1"/>
  <c r="AB52" i="8"/>
  <c r="AC52" i="8"/>
  <c r="AE52" i="8"/>
  <c r="AA52" i="8"/>
  <c r="C51" i="8"/>
  <c r="I52" i="8" s="1"/>
  <c r="AF52" i="8"/>
  <c r="AD52" i="8"/>
  <c r="A116" i="19" l="1"/>
  <c r="AE53" i="8"/>
  <c r="AB53" i="8"/>
  <c r="AF53" i="8"/>
  <c r="AD53" i="8"/>
  <c r="Z53" i="8"/>
  <c r="C52" i="8"/>
  <c r="I53" i="8" s="1"/>
  <c r="Z54" i="8" s="1"/>
  <c r="AA53" i="8"/>
  <c r="AC53" i="8"/>
  <c r="A117" i="19" l="1"/>
  <c r="AD54" i="8"/>
  <c r="AB54" i="8"/>
  <c r="AF54" i="8"/>
  <c r="AE54" i="8"/>
  <c r="C53" i="8"/>
  <c r="I54" i="8" s="1"/>
  <c r="AA54" i="8"/>
  <c r="AC54" i="8"/>
  <c r="A118" i="19" l="1"/>
  <c r="Z55" i="8"/>
  <c r="AE55" i="8"/>
  <c r="AF55" i="8"/>
  <c r="AA55" i="8"/>
  <c r="AB55" i="8"/>
  <c r="C54" i="8"/>
  <c r="I55" i="8" s="1"/>
  <c r="Z56" i="8" s="1"/>
  <c r="AD55" i="8"/>
  <c r="AC55" i="8"/>
  <c r="A119" i="19" l="1"/>
  <c r="AC56" i="8"/>
  <c r="AE56" i="8"/>
  <c r="AF56" i="8"/>
  <c r="AD56" i="8"/>
  <c r="AB56" i="8"/>
  <c r="C55" i="8"/>
  <c r="I56" i="8" s="1"/>
  <c r="Z57" i="8" s="1"/>
  <c r="AA56" i="8"/>
  <c r="A120" i="19" l="1"/>
  <c r="AF57" i="8"/>
  <c r="AB57" i="8"/>
  <c r="AD57" i="8"/>
  <c r="C56" i="8"/>
  <c r="I57" i="8" s="1"/>
  <c r="AC57" i="8"/>
  <c r="AE57" i="8"/>
  <c r="AA57" i="8"/>
  <c r="A121" i="19" l="1"/>
  <c r="Z58" i="8"/>
  <c r="AA58" i="8"/>
  <c r="AE58" i="8"/>
  <c r="AC58" i="8"/>
  <c r="AF58" i="8"/>
  <c r="AB58" i="8"/>
  <c r="AD58" i="8"/>
  <c r="C57" i="8"/>
  <c r="I58" i="8" s="1"/>
  <c r="Z59" i="8" s="1"/>
  <c r="AN5" i="6" l="1"/>
  <c r="A122" i="19"/>
  <c r="AF59" i="8"/>
  <c r="AD59" i="8"/>
  <c r="AB59" i="8"/>
  <c r="AE59" i="8"/>
  <c r="AC59" i="8"/>
  <c r="AA59" i="8"/>
  <c r="C58" i="8"/>
  <c r="I59" i="8" s="1"/>
  <c r="A123" i="19" l="1"/>
  <c r="AB60" i="8"/>
  <c r="AF60" i="8"/>
  <c r="AC60" i="8"/>
  <c r="Z60" i="8"/>
  <c r="AD60" i="8"/>
  <c r="AE60" i="8"/>
  <c r="C59" i="8"/>
  <c r="I60" i="8" s="1"/>
  <c r="Z61" i="8" s="1"/>
  <c r="AA60" i="8"/>
  <c r="A124" i="19" l="1"/>
  <c r="AB61" i="8"/>
  <c r="AE61" i="8"/>
  <c r="C60" i="8"/>
  <c r="I61" i="8" s="1"/>
  <c r="Z62" i="8" s="1"/>
  <c r="AA61" i="8"/>
  <c r="AD61" i="8"/>
  <c r="AC61" i="8"/>
  <c r="AF61" i="8"/>
  <c r="A125" i="19" l="1"/>
  <c r="AE62" i="8"/>
  <c r="C61" i="8"/>
  <c r="I62" i="8" s="1"/>
  <c r="AB62" i="8"/>
  <c r="AF62" i="8"/>
  <c r="AA62" i="8"/>
  <c r="AD62" i="8"/>
  <c r="AC62" i="8"/>
  <c r="A126" i="19" l="1"/>
  <c r="Z63" i="8"/>
  <c r="AF63" i="8"/>
  <c r="AA63" i="8"/>
  <c r="AE63" i="8"/>
  <c r="AD63" i="8"/>
  <c r="AB63" i="8"/>
  <c r="AC63" i="8"/>
  <c r="C62" i="8"/>
  <c r="I63" i="8" s="1"/>
  <c r="Z64" i="8" s="1"/>
  <c r="A127" i="19" l="1"/>
  <c r="AF64" i="8"/>
  <c r="AC64" i="8"/>
  <c r="AB64" i="8"/>
  <c r="AA64" i="8"/>
  <c r="C63" i="8"/>
  <c r="I64" i="8" s="1"/>
  <c r="Z65" i="8" s="1"/>
  <c r="AE64" i="8"/>
  <c r="AD64" i="8"/>
  <c r="A128" i="19" l="1"/>
  <c r="AE65" i="8"/>
  <c r="AB65" i="8"/>
  <c r="AC65" i="8"/>
  <c r="AF65" i="8"/>
  <c r="AD65" i="8"/>
  <c r="C64" i="8"/>
  <c r="I65" i="8" s="1"/>
  <c r="AA65" i="8"/>
  <c r="A129" i="19" l="1"/>
  <c r="AE66" i="8"/>
  <c r="Z66" i="8"/>
  <c r="AF66" i="8"/>
  <c r="AA66" i="8"/>
  <c r="AD66" i="8"/>
  <c r="AB66" i="8"/>
  <c r="C65" i="8"/>
  <c r="I66" i="8" s="1"/>
  <c r="Z67" i="8" s="1"/>
  <c r="AC66" i="8"/>
  <c r="A130" i="19" l="1"/>
  <c r="AB67" i="8"/>
  <c r="AD67" i="8"/>
  <c r="AF67" i="8"/>
  <c r="AC67" i="8"/>
  <c r="AE67" i="8"/>
  <c r="C66" i="8"/>
  <c r="I67" i="8" s="1"/>
  <c r="AA67" i="8"/>
  <c r="A131" i="19" l="1"/>
  <c r="Z68" i="8"/>
  <c r="AA68" i="8"/>
  <c r="AC68" i="8"/>
  <c r="AE68" i="8"/>
  <c r="C67" i="8"/>
  <c r="I68" i="8" s="1"/>
  <c r="Z69" i="8" s="1"/>
  <c r="AB68" i="8"/>
  <c r="AD68" i="8"/>
  <c r="AF68" i="8"/>
  <c r="A132" i="19" l="1"/>
  <c r="AE69" i="8"/>
  <c r="AD69" i="8"/>
  <c r="AC69" i="8"/>
  <c r="AF69" i="8"/>
  <c r="AB69" i="8"/>
  <c r="AA69" i="8"/>
  <c r="C68" i="8"/>
  <c r="I69" i="8" s="1"/>
  <c r="AF70" i="8" s="1"/>
  <c r="A133" i="19" l="1"/>
  <c r="C69" i="8"/>
  <c r="I70" i="8" s="1"/>
  <c r="Z71" i="8" s="1"/>
  <c r="AA70" i="8"/>
  <c r="Z70" i="8"/>
  <c r="AD70" i="8"/>
  <c r="AC70" i="8"/>
  <c r="AB70" i="8"/>
  <c r="AE70" i="8"/>
  <c r="AF71" i="8" s="1"/>
  <c r="A134" i="19" l="1"/>
  <c r="AC71" i="8"/>
  <c r="AD71" i="8"/>
  <c r="AB71" i="8"/>
  <c r="AE71" i="8"/>
  <c r="AA71" i="8"/>
  <c r="C70" i="8"/>
  <c r="I71" i="8" s="1"/>
  <c r="A135" i="19" l="1"/>
  <c r="AF72" i="8"/>
  <c r="AE72" i="8"/>
  <c r="AC72" i="8"/>
  <c r="AB72" i="8"/>
  <c r="C71" i="8"/>
  <c r="I72" i="8" s="1"/>
  <c r="Z73" i="8" s="1"/>
  <c r="AA72" i="8"/>
  <c r="Z72" i="8"/>
  <c r="AD72" i="8"/>
  <c r="A136" i="19" l="1"/>
  <c r="AE73" i="8"/>
  <c r="AA73" i="8"/>
  <c r="C72" i="8"/>
  <c r="I73" i="8" s="1"/>
  <c r="AB73" i="8"/>
  <c r="AC73" i="8"/>
  <c r="AF73" i="8"/>
  <c r="AD73" i="8"/>
  <c r="A137" i="19" l="1"/>
  <c r="AD74" i="8"/>
  <c r="AE74" i="8"/>
  <c r="C73" i="8"/>
  <c r="I74" i="8" s="1"/>
  <c r="Z75" i="8" s="1"/>
  <c r="AA74" i="8"/>
  <c r="Z74" i="8"/>
  <c r="AC74" i="8"/>
  <c r="AB74" i="8"/>
  <c r="AF74" i="8"/>
  <c r="A138" i="19" l="1"/>
  <c r="AD75" i="8"/>
  <c r="AC75" i="8"/>
  <c r="AF75" i="8"/>
  <c r="AE75" i="8"/>
  <c r="AB75" i="8"/>
  <c r="AA75" i="8"/>
  <c r="C74" i="8"/>
  <c r="I75" i="8" s="1"/>
  <c r="A139" i="19" l="1"/>
  <c r="AF76" i="8"/>
  <c r="AD76" i="8"/>
  <c r="AC76" i="8"/>
  <c r="AB76" i="8"/>
  <c r="C75" i="8"/>
  <c r="I76" i="8" s="1"/>
  <c r="Z77" i="8" s="1"/>
  <c r="Z76" i="8"/>
  <c r="AA76" i="8"/>
  <c r="AE76" i="8"/>
  <c r="A140" i="19" l="1"/>
  <c r="AC77" i="8"/>
  <c r="AA77" i="8"/>
  <c r="C76" i="8"/>
  <c r="I77" i="8" s="1"/>
  <c r="AB77" i="8"/>
  <c r="AD77" i="8"/>
  <c r="AF77" i="8"/>
  <c r="AE77" i="8"/>
  <c r="A141" i="19" l="1"/>
  <c r="AD78" i="8"/>
  <c r="Z78" i="8"/>
  <c r="AC78" i="8"/>
  <c r="AA78" i="8"/>
  <c r="AB78" i="8"/>
  <c r="AE78" i="8"/>
  <c r="AF78" i="8"/>
  <c r="C77" i="8"/>
  <c r="I78" i="8" s="1"/>
  <c r="Z79" i="8" s="1"/>
  <c r="A142" i="19" l="1"/>
  <c r="AD79" i="8"/>
  <c r="AE79" i="8"/>
  <c r="AB79" i="8"/>
  <c r="C78" i="8"/>
  <c r="I79" i="8" s="1"/>
  <c r="Z80" i="8" s="1"/>
  <c r="AA79" i="8"/>
  <c r="AF79" i="8"/>
  <c r="AC79" i="8"/>
  <c r="A143" i="19" l="1"/>
  <c r="AF80" i="8"/>
  <c r="AE80" i="8"/>
  <c r="AD80" i="8"/>
  <c r="AA80" i="8"/>
  <c r="AB80" i="8"/>
  <c r="C79" i="8"/>
  <c r="I80" i="8" s="1"/>
  <c r="AC80" i="8"/>
  <c r="A144" i="19" l="1"/>
  <c r="C80" i="8"/>
  <c r="A145" i="19" l="1"/>
  <c r="A146" i="19" l="1"/>
  <c r="A147" i="19" l="1"/>
  <c r="A148" i="19" l="1"/>
  <c r="A149" i="19" l="1"/>
  <c r="A150" i="19" l="1"/>
  <c r="A151" i="19" l="1"/>
  <c r="A152" i="19" l="1"/>
  <c r="A153" i="19" l="1"/>
  <c r="A154" i="19" l="1"/>
  <c r="A155" i="19" l="1"/>
  <c r="A156" i="19" l="1"/>
  <c r="A157" i="19" l="1"/>
  <c r="A158" i="19" l="1"/>
  <c r="A159" i="19" s="1"/>
  <c r="A160" i="19" s="1"/>
  <c r="A161" i="19" s="1"/>
  <c r="A162" i="19" s="1"/>
  <c r="A163" i="19" s="1"/>
  <c r="A164" i="19" s="1"/>
  <c r="A165" i="19" s="1"/>
  <c r="A166" i="19" s="1"/>
  <c r="A167" i="19" s="1"/>
  <c r="A168" i="19" s="1"/>
  <c r="A169" i="19" s="1"/>
  <c r="A170" i="19" s="1"/>
  <c r="A171" i="19" s="1"/>
  <c r="A172" i="19" s="1"/>
  <c r="A173" i="19" s="1"/>
  <c r="A174" i="19" s="1"/>
  <c r="A175" i="19" s="1"/>
  <c r="A176" i="19" s="1"/>
  <c r="A177" i="19" s="1"/>
  <c r="A178" i="19" s="1"/>
  <c r="A179" i="19" s="1"/>
  <c r="A180" i="19" s="1"/>
  <c r="A181" i="19" s="1"/>
  <c r="A182" i="19" s="1"/>
  <c r="A183" i="19" s="1"/>
  <c r="A184" i="19" s="1"/>
  <c r="A185" i="19" s="1"/>
  <c r="A186" i="19" s="1"/>
  <c r="A187" i="19" s="1"/>
  <c r="A188" i="19" s="1"/>
  <c r="A189" i="19" s="1"/>
  <c r="A190" i="19" s="1"/>
  <c r="A191" i="19" s="1"/>
  <c r="A192" i="19" s="1"/>
  <c r="A193" i="19" s="1"/>
  <c r="A194" i="19" s="1"/>
  <c r="A195" i="19" s="1"/>
  <c r="A196" i="19" s="1"/>
  <c r="A197" i="19" s="1"/>
  <c r="A198" i="19" s="1"/>
  <c r="A199" i="19" s="1"/>
  <c r="A200" i="19" s="1"/>
  <c r="A201" i="19" s="1"/>
  <c r="A202" i="19" s="1"/>
  <c r="A203" i="19" s="1"/>
  <c r="A204" i="19" s="1"/>
  <c r="A205" i="19" s="1"/>
  <c r="A206" i="19" s="1"/>
  <c r="A207" i="19" s="1"/>
  <c r="A208" i="19" s="1"/>
  <c r="F18" i="8" l="1"/>
  <c r="B5" i="15"/>
  <c r="B48" i="1" l="1"/>
  <c r="D44" i="27" l="1"/>
  <c r="F44" i="27" s="1"/>
  <c r="C48" i="1"/>
  <c r="D48" i="1"/>
  <c r="E49" i="18"/>
  <c r="B52" i="1"/>
  <c r="C49" i="13"/>
  <c r="B51" i="1"/>
  <c r="E47" i="18"/>
  <c r="E48" i="18"/>
  <c r="B53" i="1" s="1"/>
  <c r="B80" i="1" s="1"/>
  <c r="B79" i="1" l="1"/>
  <c r="B54" i="1"/>
  <c r="B81" i="1" s="1"/>
  <c r="E50" i="13"/>
  <c r="E55" i="13" s="1"/>
  <c r="B32" i="1" l="1"/>
  <c r="D14" i="8" l="1"/>
  <c r="E20" i="8" s="1"/>
  <c r="J127" i="21" l="1"/>
  <c r="G127" i="21" s="1"/>
  <c r="F7" i="19" l="1"/>
  <c r="F8" i="19"/>
  <c r="E7" i="19"/>
  <c r="H7" i="19" s="1"/>
  <c r="G7" i="19" l="1"/>
  <c r="J7" i="19"/>
  <c r="I7" i="19"/>
  <c r="E8" i="19"/>
  <c r="F9" i="19" l="1"/>
  <c r="E9" i="19"/>
  <c r="H8" i="19"/>
  <c r="G8" i="19" l="1"/>
  <c r="I8" i="19"/>
  <c r="J8" i="19"/>
  <c r="E10" i="19"/>
  <c r="H9" i="19"/>
  <c r="F10" i="19"/>
  <c r="G9" i="19" l="1"/>
  <c r="I9" i="19"/>
  <c r="J9" i="19"/>
  <c r="F11" i="19"/>
  <c r="H10" i="19"/>
  <c r="E11" i="19"/>
  <c r="G10" i="19" l="1"/>
  <c r="I10" i="19"/>
  <c r="J10" i="19"/>
  <c r="F12" i="19"/>
  <c r="E12" i="19"/>
  <c r="H11" i="19"/>
  <c r="G11" i="19" l="1"/>
  <c r="I11" i="19"/>
  <c r="J11" i="19"/>
  <c r="F13" i="19"/>
  <c r="H12" i="19"/>
  <c r="E13" i="19"/>
  <c r="H13" i="19" l="1"/>
  <c r="E14" i="19"/>
  <c r="G12" i="19"/>
  <c r="I12" i="19"/>
  <c r="J12" i="19"/>
  <c r="F14" i="19"/>
  <c r="H14" i="19" l="1"/>
  <c r="E15" i="19"/>
  <c r="F15" i="19"/>
  <c r="G13" i="19"/>
  <c r="I13" i="19"/>
  <c r="J13" i="19"/>
  <c r="H15" i="19" l="1"/>
  <c r="E16" i="19"/>
  <c r="G14" i="19"/>
  <c r="I14" i="19"/>
  <c r="J14" i="19"/>
  <c r="F16" i="19"/>
  <c r="F17" i="19" l="1"/>
  <c r="H16" i="19"/>
  <c r="E17" i="19"/>
  <c r="G15" i="19"/>
  <c r="I15" i="19"/>
  <c r="J15" i="19"/>
  <c r="G16" i="19" l="1"/>
  <c r="I16" i="19"/>
  <c r="J16" i="19"/>
  <c r="E18" i="19"/>
  <c r="H17" i="19"/>
  <c r="F18" i="19"/>
  <c r="F19" i="19" l="1"/>
  <c r="G17" i="19"/>
  <c r="I17" i="19"/>
  <c r="J17" i="19"/>
  <c r="E19" i="19"/>
  <c r="H18" i="19"/>
  <c r="F20" i="19" l="1"/>
  <c r="G18" i="19"/>
  <c r="I18" i="19"/>
  <c r="J18" i="19"/>
  <c r="H19" i="19"/>
  <c r="E20" i="19"/>
  <c r="H20" i="19" l="1"/>
  <c r="E21" i="19"/>
  <c r="F21" i="19"/>
  <c r="G19" i="19"/>
  <c r="I19" i="19"/>
  <c r="J19" i="19"/>
  <c r="H21" i="19" l="1"/>
  <c r="E22" i="19"/>
  <c r="I20" i="19"/>
  <c r="J20" i="19"/>
  <c r="G20" i="19"/>
  <c r="F22" i="19"/>
  <c r="F23" i="19" l="1"/>
  <c r="H22" i="19"/>
  <c r="E23" i="19"/>
  <c r="G21" i="19"/>
  <c r="I21" i="19"/>
  <c r="J21" i="19"/>
  <c r="H23" i="19" l="1"/>
  <c r="E24" i="19"/>
  <c r="F24" i="19"/>
  <c r="G22" i="19"/>
  <c r="I22" i="19"/>
  <c r="J22" i="19"/>
  <c r="F25" i="19" l="1"/>
  <c r="E25" i="19"/>
  <c r="H24" i="19"/>
  <c r="G23" i="19"/>
  <c r="I23" i="19"/>
  <c r="J23" i="19"/>
  <c r="G24" i="19" l="1"/>
  <c r="I24" i="19"/>
  <c r="J24" i="19"/>
  <c r="F26" i="19"/>
  <c r="E26" i="19"/>
  <c r="H25" i="19"/>
  <c r="G25" i="19" l="1"/>
  <c r="I25" i="19"/>
  <c r="J25" i="19"/>
  <c r="E27" i="19"/>
  <c r="H26" i="19"/>
  <c r="F27" i="19"/>
  <c r="I26" i="19" l="1"/>
  <c r="G26" i="19"/>
  <c r="J26" i="19"/>
  <c r="F28" i="19"/>
  <c r="E28" i="19"/>
  <c r="H27" i="19"/>
  <c r="H28" i="19" l="1"/>
  <c r="E29" i="19"/>
  <c r="F29" i="19"/>
  <c r="I27" i="19"/>
  <c r="G27" i="19"/>
  <c r="J27" i="19"/>
  <c r="H29" i="19" l="1"/>
  <c r="E30" i="19"/>
  <c r="F30" i="19"/>
  <c r="I28" i="19"/>
  <c r="G28" i="19"/>
  <c r="J28" i="19"/>
  <c r="E31" i="19" l="1"/>
  <c r="H30" i="19"/>
  <c r="G29" i="19"/>
  <c r="I29" i="19"/>
  <c r="J29" i="19"/>
  <c r="F31" i="19"/>
  <c r="F32" i="19" l="1"/>
  <c r="I30" i="19"/>
  <c r="G30" i="19"/>
  <c r="J30" i="19"/>
  <c r="H31" i="19"/>
  <c r="E32" i="19"/>
  <c r="E33" i="19" l="1"/>
  <c r="H32" i="19"/>
  <c r="F33" i="19"/>
  <c r="I31" i="19"/>
  <c r="G31" i="19"/>
  <c r="J31" i="19"/>
  <c r="F34" i="19" l="1"/>
  <c r="I32" i="19"/>
  <c r="G32" i="19"/>
  <c r="J32" i="19"/>
  <c r="E34" i="19"/>
  <c r="H33" i="19"/>
  <c r="I33" i="19" l="1"/>
  <c r="G33" i="19"/>
  <c r="J33" i="19"/>
  <c r="F35" i="19"/>
  <c r="E35" i="19"/>
  <c r="H34" i="19"/>
  <c r="F36" i="19" l="1"/>
  <c r="I34" i="19"/>
  <c r="G34" i="19"/>
  <c r="J34" i="19"/>
  <c r="E36" i="19"/>
  <c r="H35" i="19"/>
  <c r="F37" i="19" l="1"/>
  <c r="I35" i="19"/>
  <c r="G35" i="19"/>
  <c r="J35" i="19"/>
  <c r="H36" i="19"/>
  <c r="E37" i="19"/>
  <c r="I36" i="19" l="1"/>
  <c r="G36" i="19"/>
  <c r="J36" i="19"/>
  <c r="F38" i="19"/>
  <c r="H37" i="19"/>
  <c r="E38" i="19"/>
  <c r="H38" i="19" l="1"/>
  <c r="E39" i="19"/>
  <c r="G37" i="19"/>
  <c r="I37" i="19"/>
  <c r="J37" i="19"/>
  <c r="F39" i="19"/>
  <c r="I38" i="19" l="1"/>
  <c r="G38" i="19"/>
  <c r="J38" i="19"/>
  <c r="F40" i="19"/>
  <c r="H39" i="19"/>
  <c r="E40" i="19"/>
  <c r="I39" i="19" l="1"/>
  <c r="G39" i="19"/>
  <c r="J39" i="19"/>
  <c r="F41" i="19"/>
  <c r="H40" i="19"/>
  <c r="E41" i="19"/>
  <c r="I40" i="19" l="1"/>
  <c r="G40" i="19"/>
  <c r="J40" i="19"/>
  <c r="F42" i="19"/>
  <c r="E42" i="19"/>
  <c r="H41" i="19"/>
  <c r="I41" i="19" l="1"/>
  <c r="G41" i="19"/>
  <c r="J41" i="19"/>
  <c r="F43" i="19"/>
  <c r="E43" i="19"/>
  <c r="H42" i="19"/>
  <c r="I42" i="19" l="1"/>
  <c r="G42" i="19"/>
  <c r="J42" i="19"/>
  <c r="E44" i="19"/>
  <c r="H43" i="19"/>
  <c r="F44" i="19"/>
  <c r="I43" i="19" l="1"/>
  <c r="G43" i="19"/>
  <c r="J43" i="19"/>
  <c r="F45" i="19"/>
  <c r="H44" i="19"/>
  <c r="E45" i="19"/>
  <c r="H45" i="19" l="1"/>
  <c r="E46" i="19"/>
  <c r="I44" i="19"/>
  <c r="J44" i="19"/>
  <c r="G44" i="19"/>
  <c r="F46" i="19"/>
  <c r="H46" i="19" l="1"/>
  <c r="E47" i="19"/>
  <c r="F47" i="19"/>
  <c r="G45" i="19"/>
  <c r="I45" i="19"/>
  <c r="J45" i="19"/>
  <c r="F48" i="19" l="1"/>
  <c r="H47" i="19"/>
  <c r="E48" i="19"/>
  <c r="I46" i="19"/>
  <c r="G46" i="19"/>
  <c r="J46" i="19"/>
  <c r="I47" i="19" l="1"/>
  <c r="J47" i="19"/>
  <c r="G47" i="19"/>
  <c r="H48" i="19"/>
  <c r="E49" i="19"/>
  <c r="F49" i="19"/>
  <c r="F50" i="19" l="1"/>
  <c r="E50" i="19"/>
  <c r="H49" i="19"/>
  <c r="I48" i="19"/>
  <c r="G48" i="19"/>
  <c r="J48" i="19"/>
  <c r="E51" i="19" l="1"/>
  <c r="H50" i="19"/>
  <c r="F51" i="19"/>
  <c r="I49" i="19"/>
  <c r="G49" i="19"/>
  <c r="J49" i="19"/>
  <c r="H51" i="19" l="1"/>
  <c r="E52" i="19"/>
  <c r="I50" i="19"/>
  <c r="G50" i="19"/>
  <c r="J50" i="19"/>
  <c r="F52" i="19"/>
  <c r="H52" i="19" l="1"/>
  <c r="E53" i="19"/>
  <c r="F53" i="19"/>
  <c r="G51" i="19"/>
  <c r="I51" i="19"/>
  <c r="J51" i="19"/>
  <c r="F54" i="19" l="1"/>
  <c r="H53" i="19"/>
  <c r="E54" i="19"/>
  <c r="I52" i="19"/>
  <c r="G52" i="19"/>
  <c r="J52" i="19"/>
  <c r="H54" i="19" l="1"/>
  <c r="E55" i="19"/>
  <c r="F55" i="19"/>
  <c r="G53" i="19"/>
  <c r="I53" i="19"/>
  <c r="J53" i="19"/>
  <c r="I54" i="19" l="1"/>
  <c r="G54" i="19"/>
  <c r="J54" i="19"/>
  <c r="H55" i="19"/>
  <c r="E56" i="19"/>
  <c r="F56" i="19"/>
  <c r="F57" i="19" l="1"/>
  <c r="E57" i="19"/>
  <c r="H56" i="19"/>
  <c r="I55" i="19"/>
  <c r="G55" i="19"/>
  <c r="J55" i="19"/>
  <c r="E58" i="19" l="1"/>
  <c r="H57" i="19"/>
  <c r="F58" i="19"/>
  <c r="I56" i="19"/>
  <c r="G56" i="19"/>
  <c r="J56" i="19"/>
  <c r="I57" i="19" l="1"/>
  <c r="G57" i="19"/>
  <c r="J57" i="19"/>
  <c r="F59" i="19"/>
  <c r="E59" i="19"/>
  <c r="H58" i="19"/>
  <c r="I58" i="19" l="1"/>
  <c r="G58" i="19"/>
  <c r="J58" i="19"/>
  <c r="F60" i="19"/>
  <c r="H59" i="19"/>
  <c r="E60" i="19"/>
  <c r="F61" i="19" l="1"/>
  <c r="H60" i="19"/>
  <c r="E61" i="19"/>
  <c r="I59" i="19"/>
  <c r="G59" i="19"/>
  <c r="J59" i="19"/>
  <c r="F62" i="19" l="1"/>
  <c r="H61" i="19"/>
  <c r="E62" i="19"/>
  <c r="I60" i="19"/>
  <c r="J60" i="19"/>
  <c r="G60" i="19"/>
  <c r="F63" i="19" l="1"/>
  <c r="G61" i="19"/>
  <c r="I61" i="19"/>
  <c r="J61" i="19"/>
  <c r="H62" i="19"/>
  <c r="E63" i="19"/>
  <c r="H63" i="19" l="1"/>
  <c r="E64" i="19"/>
  <c r="I62" i="19"/>
  <c r="G62" i="19"/>
  <c r="J62" i="19"/>
  <c r="F64" i="19"/>
  <c r="H64" i="19" l="1"/>
  <c r="E65" i="19"/>
  <c r="F65" i="19"/>
  <c r="I63" i="19"/>
  <c r="G63" i="19"/>
  <c r="J63" i="19"/>
  <c r="E66" i="19" l="1"/>
  <c r="H65" i="19"/>
  <c r="I64" i="19"/>
  <c r="G64" i="19"/>
  <c r="J64" i="19"/>
  <c r="F66" i="19"/>
  <c r="I65" i="19" l="1"/>
  <c r="G65" i="19"/>
  <c r="J65" i="19"/>
  <c r="F67" i="19"/>
  <c r="H66" i="19"/>
  <c r="E67" i="19"/>
  <c r="I66" i="19" l="1"/>
  <c r="G66" i="19"/>
  <c r="J66" i="19"/>
  <c r="H67" i="19"/>
  <c r="E68" i="19"/>
  <c r="F68" i="19"/>
  <c r="F69" i="19" l="1"/>
  <c r="H68" i="19"/>
  <c r="E69" i="19"/>
  <c r="I67" i="19"/>
  <c r="G67" i="19"/>
  <c r="J67" i="19"/>
  <c r="I68" i="19" l="1"/>
  <c r="G68" i="19"/>
  <c r="J68" i="19"/>
  <c r="F70" i="19"/>
  <c r="H69" i="19"/>
  <c r="E70" i="19"/>
  <c r="E71" i="19" l="1"/>
  <c r="H70" i="19"/>
  <c r="F71" i="19"/>
  <c r="G69" i="19"/>
  <c r="I69" i="19"/>
  <c r="J69" i="19"/>
  <c r="F72" i="19" l="1"/>
  <c r="I70" i="19"/>
  <c r="G70" i="19"/>
  <c r="J70" i="19"/>
  <c r="H71" i="19"/>
  <c r="E72" i="19"/>
  <c r="F73" i="19" l="1"/>
  <c r="H72" i="19"/>
  <c r="E73" i="19"/>
  <c r="G71" i="19"/>
  <c r="J71" i="19"/>
  <c r="I71" i="19"/>
  <c r="E74" i="19" l="1"/>
  <c r="H73" i="19"/>
  <c r="F74" i="19"/>
  <c r="G72" i="19"/>
  <c r="I72" i="19"/>
  <c r="J72" i="19"/>
  <c r="G73" i="19" l="1"/>
  <c r="I73" i="19"/>
  <c r="J73" i="19"/>
  <c r="F75" i="19"/>
  <c r="E75" i="19"/>
  <c r="H74" i="19"/>
  <c r="I74" i="19" l="1"/>
  <c r="G74" i="19"/>
  <c r="J74" i="19"/>
  <c r="E76" i="19"/>
  <c r="H75" i="19"/>
  <c r="F76" i="19"/>
  <c r="F77" i="19" l="1"/>
  <c r="I75" i="19"/>
  <c r="G75" i="19"/>
  <c r="J75" i="19"/>
  <c r="H76" i="19"/>
  <c r="E77" i="19"/>
  <c r="F78" i="19" l="1"/>
  <c r="H77" i="19"/>
  <c r="E78" i="19"/>
  <c r="J76" i="19"/>
  <c r="I76" i="19"/>
  <c r="G76" i="19"/>
  <c r="F79" i="19" l="1"/>
  <c r="H78" i="19"/>
  <c r="E79" i="19"/>
  <c r="G77" i="19"/>
  <c r="I77" i="19"/>
  <c r="J77" i="19"/>
  <c r="G78" i="19" l="1"/>
  <c r="J78" i="19"/>
  <c r="I78" i="19"/>
  <c r="F80" i="19"/>
  <c r="H79" i="19"/>
  <c r="E80" i="19"/>
  <c r="H80" i="19" l="1"/>
  <c r="E81" i="19"/>
  <c r="F81" i="19"/>
  <c r="I79" i="19"/>
  <c r="G79" i="19"/>
  <c r="J79" i="19"/>
  <c r="E82" i="19" l="1"/>
  <c r="H81" i="19"/>
  <c r="F82" i="19"/>
  <c r="I80" i="19"/>
  <c r="G80" i="19"/>
  <c r="J80" i="19"/>
  <c r="I81" i="19" l="1"/>
  <c r="G81" i="19"/>
  <c r="J81" i="19"/>
  <c r="F83" i="19"/>
  <c r="E83" i="19"/>
  <c r="H82" i="19"/>
  <c r="H83" i="19" l="1"/>
  <c r="E84" i="19"/>
  <c r="I82" i="19"/>
  <c r="G82" i="19"/>
  <c r="J82" i="19"/>
  <c r="F84" i="19"/>
  <c r="H84" i="19" l="1"/>
  <c r="E85" i="19"/>
  <c r="I83" i="19"/>
  <c r="G83" i="19"/>
  <c r="J83" i="19"/>
  <c r="F85" i="19"/>
  <c r="F86" i="19" l="1"/>
  <c r="H85" i="19"/>
  <c r="E86" i="19"/>
  <c r="G84" i="19"/>
  <c r="J84" i="19"/>
  <c r="I84" i="19"/>
  <c r="I85" i="19" l="1"/>
  <c r="G85" i="19"/>
  <c r="J85" i="19"/>
  <c r="F87" i="19"/>
  <c r="H86" i="19"/>
  <c r="E87" i="19"/>
  <c r="H87" i="19" l="1"/>
  <c r="E88" i="19"/>
  <c r="I86" i="19"/>
  <c r="G86" i="19"/>
  <c r="J86" i="19"/>
  <c r="F88" i="19"/>
  <c r="E89" i="19" l="1"/>
  <c r="H88" i="19"/>
  <c r="F89" i="19"/>
  <c r="I87" i="19"/>
  <c r="G87" i="19"/>
  <c r="J87" i="19"/>
  <c r="I88" i="19" l="1"/>
  <c r="G88" i="19"/>
  <c r="J88" i="19"/>
  <c r="F90" i="19"/>
  <c r="E90" i="19"/>
  <c r="H89" i="19"/>
  <c r="I89" i="19" l="1"/>
  <c r="G89" i="19"/>
  <c r="J89" i="19"/>
  <c r="E91" i="19"/>
  <c r="H90" i="19"/>
  <c r="F91" i="19"/>
  <c r="F92" i="19" l="1"/>
  <c r="I90" i="19"/>
  <c r="G90" i="19"/>
  <c r="J90" i="19"/>
  <c r="H91" i="19"/>
  <c r="E92" i="19"/>
  <c r="H92" i="19" l="1"/>
  <c r="E93" i="19"/>
  <c r="F93" i="19"/>
  <c r="I91" i="19"/>
  <c r="G91" i="19"/>
  <c r="J91" i="19"/>
  <c r="H93" i="19" l="1"/>
  <c r="E94" i="19"/>
  <c r="F94" i="19"/>
  <c r="I92" i="19"/>
  <c r="G92" i="19"/>
  <c r="J92" i="19"/>
  <c r="H94" i="19" l="1"/>
  <c r="E95" i="19"/>
  <c r="G93" i="19"/>
  <c r="I93" i="19"/>
  <c r="J93" i="19"/>
  <c r="F95" i="19"/>
  <c r="H95" i="19" l="1"/>
  <c r="E96" i="19"/>
  <c r="F96" i="19"/>
  <c r="I94" i="19"/>
  <c r="G94" i="19"/>
  <c r="J94" i="19"/>
  <c r="I95" i="19" l="1"/>
  <c r="G95" i="19"/>
  <c r="J95" i="19"/>
  <c r="H96" i="19"/>
  <c r="E97" i="19"/>
  <c r="F97" i="19"/>
  <c r="F98" i="19" l="1"/>
  <c r="E98" i="19"/>
  <c r="H97" i="19"/>
  <c r="I96" i="19"/>
  <c r="G96" i="19"/>
  <c r="J96" i="19"/>
  <c r="E99" i="19" l="1"/>
  <c r="H98" i="19"/>
  <c r="F99" i="19"/>
  <c r="I97" i="19"/>
  <c r="G97" i="19"/>
  <c r="J97" i="19"/>
  <c r="I98" i="19" l="1"/>
  <c r="G98" i="19"/>
  <c r="J98" i="19"/>
  <c r="F100" i="19"/>
  <c r="E100" i="19"/>
  <c r="H99" i="19"/>
  <c r="F101" i="19" l="1"/>
  <c r="I99" i="19"/>
  <c r="G99" i="19"/>
  <c r="J99" i="19"/>
  <c r="H100" i="19"/>
  <c r="E101" i="19"/>
  <c r="H101" i="19" l="1"/>
  <c r="E102" i="19"/>
  <c r="F102" i="19"/>
  <c r="I100" i="19"/>
  <c r="G100" i="19"/>
  <c r="J100" i="19"/>
  <c r="G101" i="19" l="1"/>
  <c r="I101" i="19"/>
  <c r="J101" i="19"/>
  <c r="H102" i="19"/>
  <c r="E103" i="19"/>
  <c r="F103" i="19"/>
  <c r="F104" i="19" l="1"/>
  <c r="H103" i="19"/>
  <c r="E104" i="19"/>
  <c r="I102" i="19"/>
  <c r="G102" i="19"/>
  <c r="J102" i="19"/>
  <c r="I103" i="19" l="1"/>
  <c r="G103" i="19"/>
  <c r="J103" i="19"/>
  <c r="F105" i="19"/>
  <c r="H104" i="19"/>
  <c r="E105" i="19"/>
  <c r="E106" i="19" l="1"/>
  <c r="H105" i="19"/>
  <c r="F106" i="19"/>
  <c r="I104" i="19"/>
  <c r="G104" i="19"/>
  <c r="J104" i="19"/>
  <c r="F107" i="19" l="1"/>
  <c r="I105" i="19"/>
  <c r="G105" i="19"/>
  <c r="J105" i="19"/>
  <c r="H106" i="19"/>
  <c r="E107" i="19"/>
  <c r="H107" i="19" l="1"/>
  <c r="E108" i="19"/>
  <c r="F108" i="19"/>
  <c r="I106" i="19"/>
  <c r="G106" i="19"/>
  <c r="J106" i="19"/>
  <c r="H108" i="19" l="1"/>
  <c r="E109" i="19"/>
  <c r="I107" i="19"/>
  <c r="G107" i="19"/>
  <c r="J107" i="19"/>
  <c r="F109" i="19"/>
  <c r="F110" i="19" l="1"/>
  <c r="H109" i="19"/>
  <c r="E110" i="19"/>
  <c r="I108" i="19"/>
  <c r="G108" i="19"/>
  <c r="J108" i="19"/>
  <c r="F111" i="19" l="1"/>
  <c r="H110" i="19"/>
  <c r="E111" i="19"/>
  <c r="G109" i="19"/>
  <c r="J109" i="19"/>
  <c r="I109" i="19"/>
  <c r="F112" i="19" l="1"/>
  <c r="I110" i="19"/>
  <c r="G110" i="19"/>
  <c r="J110" i="19"/>
  <c r="H111" i="19"/>
  <c r="E112" i="19"/>
  <c r="F113" i="19" l="1"/>
  <c r="H112" i="19"/>
  <c r="E113" i="19"/>
  <c r="I111" i="19"/>
  <c r="G111" i="19"/>
  <c r="J111" i="19"/>
  <c r="I112" i="19" l="1"/>
  <c r="G112" i="19"/>
  <c r="J112" i="19"/>
  <c r="F114" i="19"/>
  <c r="E114" i="19"/>
  <c r="H113" i="19"/>
  <c r="I113" i="19" l="1"/>
  <c r="G113" i="19"/>
  <c r="J113" i="19"/>
  <c r="E115" i="19"/>
  <c r="H114" i="19"/>
  <c r="F115" i="19"/>
  <c r="F116" i="19" l="1"/>
  <c r="I114" i="19"/>
  <c r="G114" i="19"/>
  <c r="J114" i="19"/>
  <c r="H115" i="19"/>
  <c r="E116" i="19"/>
  <c r="H116" i="19" l="1"/>
  <c r="E117" i="19"/>
  <c r="G115" i="19"/>
  <c r="I115" i="19"/>
  <c r="J115" i="19"/>
  <c r="F117" i="19"/>
  <c r="F118" i="19" l="1"/>
  <c r="H117" i="19"/>
  <c r="E118" i="19"/>
  <c r="I116" i="19"/>
  <c r="G116" i="19"/>
  <c r="J116" i="19"/>
  <c r="F119" i="19" l="1"/>
  <c r="G117" i="19"/>
  <c r="I117" i="19"/>
  <c r="J117" i="19"/>
  <c r="H118" i="19"/>
  <c r="E119" i="19"/>
  <c r="H119" i="19" l="1"/>
  <c r="E120" i="19"/>
  <c r="I118" i="19"/>
  <c r="J118" i="19"/>
  <c r="G118" i="19"/>
  <c r="F120" i="19"/>
  <c r="F121" i="19" l="1"/>
  <c r="H120" i="19"/>
  <c r="E121" i="19"/>
  <c r="I119" i="19"/>
  <c r="G119" i="19"/>
  <c r="J119" i="19"/>
  <c r="F122" i="19" l="1"/>
  <c r="E122" i="19"/>
  <c r="H121" i="19"/>
  <c r="I120" i="19"/>
  <c r="G120" i="19"/>
  <c r="J120" i="19"/>
  <c r="F123" i="19" l="1"/>
  <c r="H122" i="19"/>
  <c r="E123" i="19"/>
  <c r="I121" i="19"/>
  <c r="G121" i="19"/>
  <c r="J121" i="19"/>
  <c r="F124" i="19" l="1"/>
  <c r="I122" i="19"/>
  <c r="G122" i="19"/>
  <c r="J122" i="19"/>
  <c r="H123" i="19"/>
  <c r="E124" i="19"/>
  <c r="H124" i="19" l="1"/>
  <c r="E125" i="19"/>
  <c r="F125" i="19"/>
  <c r="I123" i="19"/>
  <c r="G123" i="19"/>
  <c r="J123" i="19"/>
  <c r="I124" i="19" l="1"/>
  <c r="G124" i="19"/>
  <c r="J124" i="19"/>
  <c r="H125" i="19"/>
  <c r="E126" i="19"/>
  <c r="F126" i="19"/>
  <c r="F127" i="19" l="1"/>
  <c r="H126" i="19"/>
  <c r="E127" i="19"/>
  <c r="G125" i="19"/>
  <c r="I125" i="19"/>
  <c r="J125" i="19"/>
  <c r="I126" i="19" l="1"/>
  <c r="G126" i="19"/>
  <c r="J126" i="19"/>
  <c r="F128" i="19"/>
  <c r="H127" i="19"/>
  <c r="E128" i="19"/>
  <c r="E129" i="19" l="1"/>
  <c r="H128" i="19"/>
  <c r="J127" i="19"/>
  <c r="I127" i="19"/>
  <c r="G127" i="19"/>
  <c r="F129" i="19"/>
  <c r="F130" i="19" l="1"/>
  <c r="I128" i="19"/>
  <c r="G128" i="19"/>
  <c r="J128" i="19"/>
  <c r="H129" i="19"/>
  <c r="E130" i="19"/>
  <c r="I129" i="19" l="1"/>
  <c r="G129" i="19"/>
  <c r="J129" i="19"/>
  <c r="F131" i="19"/>
  <c r="B29" i="18"/>
  <c r="H130" i="19"/>
  <c r="E131" i="19"/>
  <c r="H131" i="19" l="1"/>
  <c r="E132" i="19"/>
  <c r="D29" i="18"/>
  <c r="C2" i="19"/>
  <c r="J130" i="19"/>
  <c r="I130" i="19"/>
  <c r="G130" i="19"/>
  <c r="F132" i="19"/>
  <c r="D3" i="19" l="1"/>
  <c r="E3" i="19"/>
  <c r="F133" i="19"/>
  <c r="H132" i="19"/>
  <c r="E133" i="19"/>
  <c r="I131" i="19"/>
  <c r="G131" i="19"/>
  <c r="J131" i="19"/>
  <c r="F134" i="19" l="1"/>
  <c r="I132" i="19"/>
  <c r="G132" i="19"/>
  <c r="J132" i="19"/>
  <c r="H133" i="19"/>
  <c r="E134" i="19"/>
  <c r="I133" i="19" l="1"/>
  <c r="G133" i="19"/>
  <c r="J133" i="19"/>
  <c r="F135" i="19"/>
  <c r="H134" i="19"/>
  <c r="E135" i="19"/>
  <c r="F136" i="19" l="1"/>
  <c r="I134" i="19"/>
  <c r="G134" i="19"/>
  <c r="J134" i="19"/>
  <c r="H135" i="19"/>
  <c r="E136" i="19"/>
  <c r="I135" i="19" l="1"/>
  <c r="G135" i="19"/>
  <c r="J135" i="19"/>
  <c r="H136" i="19"/>
  <c r="E137" i="19"/>
  <c r="F137" i="19"/>
  <c r="H137" i="19" l="1"/>
  <c r="E138" i="19"/>
  <c r="F138" i="19"/>
  <c r="I136" i="19"/>
  <c r="J136" i="19"/>
  <c r="G136" i="19"/>
  <c r="H138" i="19" l="1"/>
  <c r="E139" i="19"/>
  <c r="F139" i="19"/>
  <c r="I137" i="19"/>
  <c r="G137" i="19"/>
  <c r="J137" i="19"/>
  <c r="H139" i="19" l="1"/>
  <c r="E140" i="19"/>
  <c r="G138" i="19"/>
  <c r="I138" i="19"/>
  <c r="J138" i="19"/>
  <c r="F140" i="19"/>
  <c r="F141" i="19" l="1"/>
  <c r="H140" i="19"/>
  <c r="E141" i="19"/>
  <c r="I139" i="19"/>
  <c r="G139" i="19"/>
  <c r="J139" i="19"/>
  <c r="F142" i="19" l="1"/>
  <c r="H141" i="19"/>
  <c r="E142" i="19"/>
  <c r="I140" i="19"/>
  <c r="G140" i="19"/>
  <c r="J140" i="19"/>
  <c r="I141" i="19" l="1"/>
  <c r="G141" i="19"/>
  <c r="J141" i="19"/>
  <c r="F143" i="19"/>
  <c r="H142" i="19"/>
  <c r="E143" i="19"/>
  <c r="H143" i="19" l="1"/>
  <c r="E144" i="19"/>
  <c r="I142" i="19"/>
  <c r="G142" i="19"/>
  <c r="J142" i="19"/>
  <c r="F144" i="19"/>
  <c r="F145" i="19" l="1"/>
  <c r="H144" i="19"/>
  <c r="E145" i="19"/>
  <c r="I143" i="19"/>
  <c r="G143" i="19"/>
  <c r="J143" i="19"/>
  <c r="F146" i="19" l="1"/>
  <c r="E146" i="19"/>
  <c r="H145" i="19"/>
  <c r="G144" i="19"/>
  <c r="I144" i="19"/>
  <c r="J144" i="19"/>
  <c r="F147" i="19" l="1"/>
  <c r="H146" i="19"/>
  <c r="E147" i="19"/>
  <c r="I145" i="19"/>
  <c r="G145" i="19"/>
  <c r="J145" i="19"/>
  <c r="I146" i="19" l="1"/>
  <c r="G146" i="19"/>
  <c r="J146" i="19"/>
  <c r="F148" i="19"/>
  <c r="H147" i="19"/>
  <c r="E148" i="19"/>
  <c r="H148" i="19" l="1"/>
  <c r="E149" i="19"/>
  <c r="I147" i="19"/>
  <c r="J147" i="19"/>
  <c r="G147" i="19"/>
  <c r="F149" i="19"/>
  <c r="F150" i="19" l="1"/>
  <c r="H149" i="19"/>
  <c r="E150" i="19"/>
  <c r="J148" i="19"/>
  <c r="I148" i="19"/>
  <c r="G148" i="19"/>
  <c r="F151" i="19" l="1"/>
  <c r="H150" i="19"/>
  <c r="E151" i="19"/>
  <c r="G149" i="19"/>
  <c r="J149" i="19"/>
  <c r="I149" i="19"/>
  <c r="H151" i="19" l="1"/>
  <c r="E152" i="19"/>
  <c r="I150" i="19"/>
  <c r="G150" i="19"/>
  <c r="J150" i="19"/>
  <c r="F152" i="19"/>
  <c r="J151" i="19" l="1"/>
  <c r="I151" i="19"/>
  <c r="G151" i="19"/>
  <c r="H152" i="19"/>
  <c r="E153" i="19"/>
  <c r="F153" i="19"/>
  <c r="G152" i="19" l="1"/>
  <c r="I152" i="19"/>
  <c r="J152" i="19"/>
  <c r="F154" i="19"/>
  <c r="H153" i="19"/>
  <c r="E154" i="19"/>
  <c r="J153" i="19" l="1"/>
  <c r="I153" i="19"/>
  <c r="G153" i="19"/>
  <c r="H154" i="19"/>
  <c r="E155" i="19"/>
  <c r="F155" i="19"/>
  <c r="I154" i="19" l="1"/>
  <c r="G154" i="19"/>
  <c r="J154" i="19"/>
  <c r="F156" i="19"/>
  <c r="H155" i="19"/>
  <c r="E156" i="19"/>
  <c r="I155" i="19" l="1"/>
  <c r="G155" i="19"/>
  <c r="J155" i="19"/>
  <c r="F157" i="19"/>
  <c r="H156" i="19"/>
  <c r="E157" i="19"/>
  <c r="H157" i="19" l="1"/>
  <c r="E158" i="19"/>
  <c r="G156" i="19"/>
  <c r="J156" i="19"/>
  <c r="I156" i="19"/>
  <c r="F158" i="19"/>
  <c r="F159" i="19" l="1"/>
  <c r="H158" i="19"/>
  <c r="E159" i="19"/>
  <c r="J157" i="19"/>
  <c r="I157" i="19"/>
  <c r="G157" i="19"/>
  <c r="G158" i="19" l="1"/>
  <c r="I158" i="19"/>
  <c r="J158" i="19"/>
  <c r="F160" i="19"/>
  <c r="H159" i="19"/>
  <c r="E160" i="19"/>
  <c r="H160" i="19" l="1"/>
  <c r="E161" i="19"/>
  <c r="I159" i="19"/>
  <c r="G159" i="19"/>
  <c r="J159" i="19"/>
  <c r="F161" i="19"/>
  <c r="G160" i="19" l="1"/>
  <c r="I160" i="19"/>
  <c r="J160" i="19"/>
  <c r="H161" i="19"/>
  <c r="E162" i="19"/>
  <c r="F162" i="19"/>
  <c r="F163" i="19" l="1"/>
  <c r="H162" i="19"/>
  <c r="E163" i="19"/>
  <c r="I161" i="19"/>
  <c r="G161" i="19"/>
  <c r="J161" i="19"/>
  <c r="F164" i="19" l="1"/>
  <c r="H163" i="19"/>
  <c r="E164" i="19"/>
  <c r="I162" i="19"/>
  <c r="G162" i="19"/>
  <c r="J162" i="19"/>
  <c r="I163" i="19" l="1"/>
  <c r="G163" i="19"/>
  <c r="J163" i="19"/>
  <c r="F165" i="19"/>
  <c r="H164" i="19"/>
  <c r="E165" i="19"/>
  <c r="H165" i="19" l="1"/>
  <c r="E166" i="19"/>
  <c r="F166" i="19"/>
  <c r="I164" i="19"/>
  <c r="G164" i="19"/>
  <c r="J164" i="19"/>
  <c r="F167" i="19" l="1"/>
  <c r="H166" i="19"/>
  <c r="E167" i="19"/>
  <c r="G165" i="19"/>
  <c r="I165" i="19"/>
  <c r="J165" i="19"/>
  <c r="F168" i="19" l="1"/>
  <c r="H167" i="19"/>
  <c r="E168" i="19"/>
  <c r="I166" i="19"/>
  <c r="G166" i="19"/>
  <c r="J166" i="19"/>
  <c r="I167" i="19" l="1"/>
  <c r="G167" i="19"/>
  <c r="J167" i="19"/>
  <c r="F169" i="19"/>
  <c r="E169" i="19"/>
  <c r="H168" i="19"/>
  <c r="I168" i="19" l="1"/>
  <c r="G168" i="19"/>
  <c r="J168" i="19"/>
  <c r="H169" i="19"/>
  <c r="E170" i="19"/>
  <c r="F170" i="19"/>
  <c r="F171" i="19" l="1"/>
  <c r="E171" i="19"/>
  <c r="H170" i="19"/>
  <c r="G169" i="19"/>
  <c r="I169" i="19"/>
  <c r="J169" i="19"/>
  <c r="H171" i="19" l="1"/>
  <c r="E172" i="19"/>
  <c r="G170" i="19"/>
  <c r="I170" i="19"/>
  <c r="J170" i="19"/>
  <c r="F172" i="19"/>
  <c r="F173" i="19" l="1"/>
  <c r="E173" i="19"/>
  <c r="H172" i="19"/>
  <c r="G171" i="19"/>
  <c r="I171" i="19"/>
  <c r="J171" i="19"/>
  <c r="F174" i="19" l="1"/>
  <c r="I172" i="19"/>
  <c r="G172" i="19"/>
  <c r="J172" i="19"/>
  <c r="H173" i="19"/>
  <c r="E174" i="19"/>
  <c r="H174" i="19" l="1"/>
  <c r="E175" i="19"/>
  <c r="G173" i="19"/>
  <c r="I173" i="19"/>
  <c r="J173" i="19"/>
  <c r="F175" i="19"/>
  <c r="H175" i="19" l="1"/>
  <c r="E176" i="19"/>
  <c r="F176" i="19"/>
  <c r="J174" i="19"/>
  <c r="G174" i="19"/>
  <c r="I174" i="19"/>
  <c r="H176" i="19" l="1"/>
  <c r="E177" i="19"/>
  <c r="F177" i="19"/>
  <c r="I175" i="19"/>
  <c r="G175" i="19"/>
  <c r="J175" i="19"/>
  <c r="H177" i="19" l="1"/>
  <c r="E178" i="19"/>
  <c r="F178" i="19"/>
  <c r="G176" i="19"/>
  <c r="I176" i="19"/>
  <c r="J176" i="19"/>
  <c r="H178" i="19" l="1"/>
  <c r="E179" i="19"/>
  <c r="F179" i="19"/>
  <c r="G177" i="19"/>
  <c r="I177" i="19"/>
  <c r="J177" i="19"/>
  <c r="H179" i="19" l="1"/>
  <c r="E180" i="19"/>
  <c r="I178" i="19"/>
  <c r="J178" i="19"/>
  <c r="G178" i="19"/>
  <c r="F180" i="19"/>
  <c r="H180" i="19" l="1"/>
  <c r="E181" i="19"/>
  <c r="F181" i="19"/>
  <c r="G179" i="19"/>
  <c r="I179" i="19"/>
  <c r="J179" i="19"/>
  <c r="E182" i="19" l="1"/>
  <c r="H181" i="19"/>
  <c r="G180" i="19"/>
  <c r="I180" i="19"/>
  <c r="J180" i="19"/>
  <c r="F182" i="19"/>
  <c r="I181" i="19" l="1"/>
  <c r="G181" i="19"/>
  <c r="J181" i="19"/>
  <c r="F183" i="19"/>
  <c r="H182" i="19"/>
  <c r="E183" i="19"/>
  <c r="H183" i="19" l="1"/>
  <c r="E184" i="19"/>
  <c r="J182" i="19"/>
  <c r="I182" i="19"/>
  <c r="G182" i="19"/>
  <c r="F184" i="19"/>
  <c r="F185" i="19" l="1"/>
  <c r="H184" i="19"/>
  <c r="E185" i="19"/>
  <c r="I183" i="19"/>
  <c r="G183" i="19"/>
  <c r="J183" i="19"/>
  <c r="F186" i="19" l="1"/>
  <c r="H185" i="19"/>
  <c r="E186" i="19"/>
  <c r="G184" i="19"/>
  <c r="I184" i="19"/>
  <c r="J184" i="19"/>
  <c r="G185" i="19" l="1"/>
  <c r="I185" i="19"/>
  <c r="J185" i="19"/>
  <c r="F187" i="19"/>
  <c r="H186" i="19"/>
  <c r="E187" i="19"/>
  <c r="E188" i="19" l="1"/>
  <c r="H187" i="19"/>
  <c r="G186" i="19"/>
  <c r="I186" i="19"/>
  <c r="J186" i="19"/>
  <c r="F188" i="19"/>
  <c r="F189" i="19" l="1"/>
  <c r="G187" i="19"/>
  <c r="I187" i="19"/>
  <c r="J187" i="19"/>
  <c r="E189" i="19"/>
  <c r="H188" i="19"/>
  <c r="I188" i="19" l="1"/>
  <c r="G188" i="19"/>
  <c r="J188" i="19"/>
  <c r="H189" i="19"/>
  <c r="E190" i="19"/>
  <c r="F190" i="19"/>
  <c r="F191" i="19" l="1"/>
  <c r="H190" i="19"/>
  <c r="E191" i="19"/>
  <c r="G189" i="19"/>
  <c r="I189" i="19"/>
  <c r="J189" i="19"/>
  <c r="G190" i="19" l="1"/>
  <c r="I190" i="19"/>
  <c r="J190" i="19"/>
  <c r="F192" i="19"/>
  <c r="H191" i="19"/>
  <c r="E192" i="19"/>
  <c r="H192" i="19" l="1"/>
  <c r="E193" i="19"/>
  <c r="I191" i="19"/>
  <c r="G191" i="19"/>
  <c r="J191" i="19"/>
  <c r="F193" i="19"/>
  <c r="I192" i="19" l="1"/>
  <c r="G192" i="19"/>
  <c r="J192" i="19"/>
  <c r="E194" i="19"/>
  <c r="H193" i="19"/>
  <c r="F194" i="19"/>
  <c r="G193" i="19" l="1"/>
  <c r="I193" i="19"/>
  <c r="J193" i="19"/>
  <c r="H194" i="19"/>
  <c r="E195" i="19"/>
  <c r="F195" i="19"/>
  <c r="H195" i="19" l="1"/>
  <c r="E196" i="19"/>
  <c r="I194" i="19"/>
  <c r="G194" i="19"/>
  <c r="J194" i="19"/>
  <c r="F196" i="19"/>
  <c r="H196" i="19" l="1"/>
  <c r="E197" i="19"/>
  <c r="F197" i="19"/>
  <c r="I195" i="19"/>
  <c r="G195" i="19"/>
  <c r="J195" i="19"/>
  <c r="H197" i="19" l="1"/>
  <c r="E198" i="19"/>
  <c r="G196" i="19"/>
  <c r="I196" i="19"/>
  <c r="J196" i="19"/>
  <c r="F198" i="19"/>
  <c r="F199" i="19" l="1"/>
  <c r="H198" i="19"/>
  <c r="E199" i="19"/>
  <c r="I197" i="19"/>
  <c r="G197" i="19"/>
  <c r="J197" i="19"/>
  <c r="F200" i="19" l="1"/>
  <c r="H199" i="19"/>
  <c r="E200" i="19"/>
  <c r="I198" i="19"/>
  <c r="G198" i="19"/>
  <c r="J198" i="19"/>
  <c r="F201" i="19" l="1"/>
  <c r="I199" i="19"/>
  <c r="G199" i="19"/>
  <c r="J199" i="19"/>
  <c r="H200" i="19"/>
  <c r="E201" i="19"/>
  <c r="G200" i="19" l="1"/>
  <c r="I200" i="19"/>
  <c r="J200" i="19"/>
  <c r="F202" i="19"/>
  <c r="H201" i="19"/>
  <c r="E202" i="19"/>
  <c r="H202" i="19" l="1"/>
  <c r="E203" i="19"/>
  <c r="G201" i="19"/>
  <c r="I201" i="19"/>
  <c r="J201" i="19"/>
  <c r="F203" i="19"/>
  <c r="F204" i="19" l="1"/>
  <c r="E204" i="19"/>
  <c r="H203" i="19"/>
  <c r="G202" i="19"/>
  <c r="I202" i="19"/>
  <c r="J202" i="19"/>
  <c r="F205" i="19" l="1"/>
  <c r="I203" i="19"/>
  <c r="G203" i="19"/>
  <c r="J203" i="19"/>
  <c r="H204" i="19"/>
  <c r="E205" i="19"/>
  <c r="F206" i="19" l="1"/>
  <c r="H205" i="19"/>
  <c r="E206" i="19"/>
  <c r="I204" i="19"/>
  <c r="G204" i="19"/>
  <c r="J204" i="19"/>
  <c r="F207" i="19" l="1"/>
  <c r="F208" i="19"/>
  <c r="H206" i="19"/>
  <c r="E207" i="19"/>
  <c r="G205" i="19"/>
  <c r="I205" i="19"/>
  <c r="J205" i="19"/>
  <c r="G206" i="19" l="1"/>
  <c r="I206" i="19"/>
  <c r="J206" i="19"/>
  <c r="H207" i="19"/>
  <c r="E208" i="19"/>
  <c r="H208" i="19" s="1"/>
  <c r="G208" i="19" l="1"/>
  <c r="J208" i="19"/>
  <c r="I208" i="19"/>
  <c r="G207" i="19"/>
  <c r="I207" i="19"/>
  <c r="J207" i="19"/>
  <c r="C17" i="18" l="1"/>
  <c r="C1" i="19" s="1"/>
  <c r="C18" i="18"/>
  <c r="C25" i="18" s="1"/>
  <c r="E36" i="18"/>
  <c r="E51" i="18" s="1"/>
  <c r="E52" i="18" s="1"/>
  <c r="E54" i="18" s="1"/>
  <c r="D25" i="18" l="1"/>
  <c r="F19" i="18"/>
  <c r="C8" i="19"/>
  <c r="C16" i="19"/>
  <c r="C24" i="19"/>
  <c r="C32" i="19"/>
  <c r="C40" i="19"/>
  <c r="C48" i="19"/>
  <c r="C56" i="19"/>
  <c r="P56" i="19" s="1"/>
  <c r="C64" i="19"/>
  <c r="P64" i="19" s="1"/>
  <c r="C72" i="19"/>
  <c r="C80" i="19"/>
  <c r="C88" i="19"/>
  <c r="C94" i="19"/>
  <c r="C102" i="19"/>
  <c r="C110" i="19"/>
  <c r="C118" i="19"/>
  <c r="C126" i="19"/>
  <c r="N126" i="19" s="1"/>
  <c r="C134" i="19"/>
  <c r="C142" i="19"/>
  <c r="C150" i="19"/>
  <c r="C158" i="19"/>
  <c r="C166" i="19"/>
  <c r="C57" i="19"/>
  <c r="K57" i="19" s="1"/>
  <c r="C89" i="19"/>
  <c r="P89" i="19" s="1"/>
  <c r="C103" i="19"/>
  <c r="L103" i="19" s="1"/>
  <c r="C111" i="19"/>
  <c r="C127" i="19"/>
  <c r="C135" i="19"/>
  <c r="C151" i="19"/>
  <c r="C159" i="19"/>
  <c r="C50" i="19"/>
  <c r="K50" i="19" s="1"/>
  <c r="C74" i="19"/>
  <c r="L74" i="19" s="1"/>
  <c r="C96" i="19"/>
  <c r="M96" i="19" s="1"/>
  <c r="C112" i="19"/>
  <c r="C136" i="19"/>
  <c r="C160" i="19"/>
  <c r="C115" i="19"/>
  <c r="C155" i="19"/>
  <c r="C22" i="19"/>
  <c r="C7" i="19"/>
  <c r="C31" i="19"/>
  <c r="K31" i="19" s="1"/>
  <c r="C79" i="19"/>
  <c r="C125" i="19"/>
  <c r="C9" i="19"/>
  <c r="C17" i="19"/>
  <c r="C25" i="19"/>
  <c r="P25" i="19" s="1"/>
  <c r="C33" i="19"/>
  <c r="C41" i="19"/>
  <c r="N41" i="19" s="1"/>
  <c r="C49" i="19"/>
  <c r="K49" i="19" s="1"/>
  <c r="C65" i="19"/>
  <c r="C73" i="19"/>
  <c r="C81" i="19"/>
  <c r="C95" i="19"/>
  <c r="C119" i="19"/>
  <c r="C143" i="19"/>
  <c r="C90" i="19"/>
  <c r="O90" i="19" s="1"/>
  <c r="C120" i="19"/>
  <c r="K120" i="19" s="1"/>
  <c r="C144" i="19"/>
  <c r="C85" i="19"/>
  <c r="C139" i="19"/>
  <c r="C46" i="19"/>
  <c r="C86" i="19"/>
  <c r="C124" i="19"/>
  <c r="C156" i="19"/>
  <c r="P156" i="19" s="1"/>
  <c r="C39" i="19"/>
  <c r="P39" i="19" s="1"/>
  <c r="C63" i="19"/>
  <c r="C101" i="19"/>
  <c r="C117" i="19"/>
  <c r="C149" i="19"/>
  <c r="C10" i="19"/>
  <c r="C18" i="19"/>
  <c r="K18" i="19" s="1"/>
  <c r="C26" i="19"/>
  <c r="P26" i="19" s="1"/>
  <c r="C34" i="19"/>
  <c r="P34" i="19" s="1"/>
  <c r="C42" i="19"/>
  <c r="C58" i="19"/>
  <c r="C66" i="19"/>
  <c r="C82" i="19"/>
  <c r="C104" i="19"/>
  <c r="C128" i="19"/>
  <c r="C152" i="19"/>
  <c r="P152" i="19" s="1"/>
  <c r="C107" i="19"/>
  <c r="M107" i="19" s="1"/>
  <c r="C147" i="19"/>
  <c r="C38" i="19"/>
  <c r="C62" i="19"/>
  <c r="C100" i="19"/>
  <c r="C132" i="19"/>
  <c r="C15" i="19"/>
  <c r="C47" i="19"/>
  <c r="L47" i="19" s="1"/>
  <c r="C87" i="19"/>
  <c r="N87" i="19" s="1"/>
  <c r="C109" i="19"/>
  <c r="C141" i="19"/>
  <c r="C11" i="19"/>
  <c r="C19" i="19"/>
  <c r="C27" i="19"/>
  <c r="C35" i="19"/>
  <c r="O35" i="19" s="1"/>
  <c r="C43" i="19"/>
  <c r="M43" i="19" s="1"/>
  <c r="C51" i="19"/>
  <c r="O51" i="19" s="1"/>
  <c r="C59" i="19"/>
  <c r="C67" i="19"/>
  <c r="C75" i="19"/>
  <c r="C83" i="19"/>
  <c r="P83" i="19" s="1"/>
  <c r="C91" i="19"/>
  <c r="C97" i="19"/>
  <c r="C105" i="19"/>
  <c r="N105" i="19" s="1"/>
  <c r="C113" i="19"/>
  <c r="N113" i="19" s="1"/>
  <c r="C121" i="19"/>
  <c r="C129" i="19"/>
  <c r="C137" i="19"/>
  <c r="C145" i="19"/>
  <c r="C153" i="19"/>
  <c r="C161" i="19"/>
  <c r="C20" i="19"/>
  <c r="N20" i="19" s="1"/>
  <c r="C44" i="19"/>
  <c r="M44" i="19" s="1"/>
  <c r="C60" i="19"/>
  <c r="C76" i="19"/>
  <c r="C92" i="19"/>
  <c r="C106" i="19"/>
  <c r="C122" i="19"/>
  <c r="C138" i="19"/>
  <c r="C154" i="19"/>
  <c r="L154" i="19" s="1"/>
  <c r="C13" i="19"/>
  <c r="P13" i="19" s="1"/>
  <c r="C29" i="19"/>
  <c r="C37" i="19"/>
  <c r="C53" i="19"/>
  <c r="C69" i="19"/>
  <c r="C93" i="19"/>
  <c r="P93" i="19" s="1"/>
  <c r="C123" i="19"/>
  <c r="C163" i="19"/>
  <c r="C30" i="19"/>
  <c r="K30" i="19" s="1"/>
  <c r="C70" i="19"/>
  <c r="C108" i="19"/>
  <c r="C140" i="19"/>
  <c r="C164" i="19"/>
  <c r="C23" i="19"/>
  <c r="L23" i="19" s="1"/>
  <c r="C55" i="19"/>
  <c r="N55" i="19" s="1"/>
  <c r="C133" i="19"/>
  <c r="O133" i="19" s="1"/>
  <c r="C165" i="19"/>
  <c r="N165" i="19" s="1"/>
  <c r="C12" i="19"/>
  <c r="C28" i="19"/>
  <c r="C36" i="19"/>
  <c r="C52" i="19"/>
  <c r="P52" i="19" s="1"/>
  <c r="C68" i="19"/>
  <c r="C84" i="19"/>
  <c r="P84" i="19" s="1"/>
  <c r="C98" i="19"/>
  <c r="P98" i="19" s="1"/>
  <c r="C114" i="19"/>
  <c r="P114" i="19" s="1"/>
  <c r="C130" i="19"/>
  <c r="C146" i="19"/>
  <c r="C162" i="19"/>
  <c r="C21" i="19"/>
  <c r="P21" i="19" s="1"/>
  <c r="C45" i="19"/>
  <c r="M45" i="19" s="1"/>
  <c r="C61" i="19"/>
  <c r="K61" i="19" s="1"/>
  <c r="C77" i="19"/>
  <c r="P77" i="19" s="1"/>
  <c r="C99" i="19"/>
  <c r="L99" i="19" s="1"/>
  <c r="C131" i="19"/>
  <c r="C14" i="19"/>
  <c r="C54" i="19"/>
  <c r="C78" i="19"/>
  <c r="C116" i="19"/>
  <c r="C148" i="19"/>
  <c r="P148" i="19" s="1"/>
  <c r="C71" i="19"/>
  <c r="P71" i="19" s="1"/>
  <c r="C157" i="19"/>
  <c r="N157" i="19" s="1"/>
  <c r="D18" i="18"/>
  <c r="B49" i="1"/>
  <c r="C49" i="1" s="1"/>
  <c r="E38" i="18"/>
  <c r="B50" i="1" s="1"/>
  <c r="P92" i="19"/>
  <c r="M108" i="19"/>
  <c r="M116" i="19"/>
  <c r="M140" i="19"/>
  <c r="C172" i="19"/>
  <c r="K172" i="19" s="1"/>
  <c r="C180" i="19"/>
  <c r="C188" i="19"/>
  <c r="C196" i="19"/>
  <c r="C204" i="19"/>
  <c r="P11" i="19"/>
  <c r="P19" i="19"/>
  <c r="O27" i="19"/>
  <c r="P75" i="19"/>
  <c r="N125" i="19"/>
  <c r="C173" i="19"/>
  <c r="O173" i="19" s="1"/>
  <c r="C189" i="19"/>
  <c r="N189" i="19" s="1"/>
  <c r="N28" i="19"/>
  <c r="P36" i="19"/>
  <c r="M90" i="19"/>
  <c r="N146" i="19"/>
  <c r="C178" i="19"/>
  <c r="P178" i="19" s="1"/>
  <c r="L115" i="19"/>
  <c r="L66" i="19"/>
  <c r="N85" i="19"/>
  <c r="P101" i="19"/>
  <c r="K109" i="19"/>
  <c r="K117" i="19"/>
  <c r="K149" i="19"/>
  <c r="C181" i="19"/>
  <c r="P181" i="19" s="1"/>
  <c r="C197" i="19"/>
  <c r="P197" i="19" s="1"/>
  <c r="C205" i="19"/>
  <c r="M205" i="19" s="1"/>
  <c r="P63" i="19"/>
  <c r="C202" i="19"/>
  <c r="K202" i="19" s="1"/>
  <c r="L65" i="19"/>
  <c r="C187" i="19"/>
  <c r="P86" i="19"/>
  <c r="P94" i="19"/>
  <c r="N102" i="19"/>
  <c r="O110" i="19"/>
  <c r="L118" i="19"/>
  <c r="L134" i="19"/>
  <c r="K142" i="19"/>
  <c r="P150" i="19"/>
  <c r="P158" i="19"/>
  <c r="P166" i="19"/>
  <c r="C174" i="19"/>
  <c r="P174" i="19" s="1"/>
  <c r="C182" i="19"/>
  <c r="P182" i="19" s="1"/>
  <c r="C190" i="19"/>
  <c r="M190" i="19" s="1"/>
  <c r="C198" i="19"/>
  <c r="M198" i="19" s="1"/>
  <c r="C206" i="19"/>
  <c r="N206" i="19" s="1"/>
  <c r="K29" i="19"/>
  <c r="M37" i="19"/>
  <c r="N69" i="19"/>
  <c r="P122" i="19"/>
  <c r="C170" i="19"/>
  <c r="P170" i="19" s="1"/>
  <c r="P9" i="19"/>
  <c r="L91" i="19"/>
  <c r="M147" i="19"/>
  <c r="C179" i="19"/>
  <c r="M179" i="19" s="1"/>
  <c r="P82" i="19"/>
  <c r="P95" i="19"/>
  <c r="L111" i="19"/>
  <c r="N127" i="19"/>
  <c r="P135" i="19"/>
  <c r="P143" i="19"/>
  <c r="P151" i="19"/>
  <c r="P159" i="19"/>
  <c r="C167" i="19"/>
  <c r="P167" i="19" s="1"/>
  <c r="C175" i="19"/>
  <c r="K175" i="19" s="1"/>
  <c r="C183" i="19"/>
  <c r="L183" i="19" s="1"/>
  <c r="C191" i="19"/>
  <c r="K191" i="19" s="1"/>
  <c r="C199" i="19"/>
  <c r="P199" i="19" s="1"/>
  <c r="C207" i="19"/>
  <c r="P14" i="19"/>
  <c r="P22" i="19"/>
  <c r="K38" i="19"/>
  <c r="L46" i="19"/>
  <c r="L54" i="19"/>
  <c r="P62" i="19"/>
  <c r="P70" i="19"/>
  <c r="P78" i="19"/>
  <c r="P88" i="19"/>
  <c r="N104" i="19"/>
  <c r="N128" i="19"/>
  <c r="P136" i="19"/>
  <c r="K160" i="19"/>
  <c r="C176" i="19"/>
  <c r="K176" i="19" s="1"/>
  <c r="C192" i="19"/>
  <c r="P192" i="19" s="1"/>
  <c r="C200" i="19"/>
  <c r="M200" i="19" s="1"/>
  <c r="L15" i="19"/>
  <c r="P79" i="19"/>
  <c r="P106" i="19"/>
  <c r="N162" i="19"/>
  <c r="P17" i="19"/>
  <c r="M139" i="19"/>
  <c r="C171" i="19"/>
  <c r="L171" i="19" s="1"/>
  <c r="P10" i="19"/>
  <c r="P112" i="19"/>
  <c r="O144" i="19"/>
  <c r="C168" i="19"/>
  <c r="K168" i="19" s="1"/>
  <c r="C184" i="19"/>
  <c r="K184" i="19" s="1"/>
  <c r="C208" i="19"/>
  <c r="P138" i="19"/>
  <c r="C186" i="19"/>
  <c r="N186" i="19" s="1"/>
  <c r="L33" i="19"/>
  <c r="L73" i="19"/>
  <c r="P155" i="19"/>
  <c r="C203" i="19"/>
  <c r="P203" i="19" s="1"/>
  <c r="O42" i="19"/>
  <c r="P97" i="19"/>
  <c r="L121" i="19"/>
  <c r="P129" i="19"/>
  <c r="P137" i="19"/>
  <c r="O145" i="19"/>
  <c r="L153" i="19"/>
  <c r="N161" i="19"/>
  <c r="C169" i="19"/>
  <c r="O169" i="19" s="1"/>
  <c r="C177" i="19"/>
  <c r="N177" i="19" s="1"/>
  <c r="C185" i="19"/>
  <c r="K185" i="19" s="1"/>
  <c r="C193" i="19"/>
  <c r="P193" i="19" s="1"/>
  <c r="C201" i="19"/>
  <c r="P201" i="19" s="1"/>
  <c r="O8" i="19"/>
  <c r="O16" i="19"/>
  <c r="K32" i="19"/>
  <c r="K40" i="19"/>
  <c r="K48" i="19"/>
  <c r="P72" i="19"/>
  <c r="P80" i="19"/>
  <c r="P130" i="19"/>
  <c r="C194" i="19"/>
  <c r="L194" i="19" s="1"/>
  <c r="O81" i="19"/>
  <c r="M131" i="19"/>
  <c r="C195" i="19"/>
  <c r="P195" i="19" s="1"/>
  <c r="P58" i="19"/>
  <c r="F62" i="18"/>
  <c r="E55" i="18"/>
  <c r="E56" i="18" s="1"/>
  <c r="E64" i="18" s="1"/>
  <c r="F64" i="18" s="1"/>
  <c r="O18" i="19"/>
  <c r="O36" i="19"/>
  <c r="O53" i="19"/>
  <c r="O55" i="19"/>
  <c r="O102" i="19"/>
  <c r="O123" i="19"/>
  <c r="O124" i="19"/>
  <c r="O170" i="19"/>
  <c r="O205" i="19"/>
  <c r="C27" i="18"/>
  <c r="M78" i="19"/>
  <c r="M81" i="19"/>
  <c r="M132" i="19"/>
  <c r="M164" i="19"/>
  <c r="M180" i="19"/>
  <c r="M189" i="19"/>
  <c r="N14" i="19"/>
  <c r="N29" i="19"/>
  <c r="N38" i="19"/>
  <c r="N65" i="19"/>
  <c r="N66" i="19"/>
  <c r="N118" i="19"/>
  <c r="N149" i="19"/>
  <c r="N160" i="19"/>
  <c r="N181" i="19"/>
  <c r="N205" i="19"/>
  <c r="L24" i="19"/>
  <c r="L55" i="19"/>
  <c r="L57" i="19"/>
  <c r="L63" i="19"/>
  <c r="L86" i="19"/>
  <c r="L102" i="19"/>
  <c r="L123" i="19"/>
  <c r="L144" i="19"/>
  <c r="L161" i="19"/>
  <c r="L162" i="19"/>
  <c r="L163" i="19"/>
  <c r="L182" i="19"/>
  <c r="L199" i="19"/>
  <c r="B55" i="1"/>
  <c r="B41" i="1" s="1"/>
  <c r="K42" i="19"/>
  <c r="K93" i="19"/>
  <c r="K97" i="19"/>
  <c r="K118" i="19"/>
  <c r="K119" i="19"/>
  <c r="K130" i="19"/>
  <c r="K136" i="19"/>
  <c r="K141" i="19"/>
  <c r="K150" i="19"/>
  <c r="K162" i="19"/>
  <c r="K166" i="19"/>
  <c r="F25" i="18" l="1"/>
  <c r="E25" i="18"/>
  <c r="K186" i="19"/>
  <c r="K169" i="19"/>
  <c r="K41" i="19"/>
  <c r="M154" i="19"/>
  <c r="P103" i="19"/>
  <c r="N154" i="19"/>
  <c r="K195" i="19"/>
  <c r="P31" i="19"/>
  <c r="N96" i="19"/>
  <c r="P49" i="19"/>
  <c r="P96" i="19"/>
  <c r="P87" i="19"/>
  <c r="K96" i="19"/>
  <c r="O168" i="19"/>
  <c r="N184" i="19"/>
  <c r="N167" i="19"/>
  <c r="L184" i="19"/>
  <c r="L191" i="19"/>
  <c r="N185" i="19"/>
  <c r="K125" i="19"/>
  <c r="L160" i="19"/>
  <c r="N151" i="19"/>
  <c r="N78" i="19"/>
  <c r="N8" i="19"/>
  <c r="M72" i="19"/>
  <c r="K205" i="19"/>
  <c r="K87" i="19"/>
  <c r="M125" i="19"/>
  <c r="M57" i="19"/>
  <c r="O166" i="19"/>
  <c r="K154" i="19"/>
  <c r="K78" i="19"/>
  <c r="L151" i="19"/>
  <c r="L87" i="19"/>
  <c r="L27" i="19"/>
  <c r="N170" i="19"/>
  <c r="N145" i="19"/>
  <c r="O160" i="19"/>
  <c r="K151" i="19"/>
  <c r="K74" i="19"/>
  <c r="L170" i="19"/>
  <c r="L145" i="19"/>
  <c r="M98" i="19"/>
  <c r="M27" i="19"/>
  <c r="O151" i="19"/>
  <c r="N74" i="19"/>
  <c r="K170" i="19"/>
  <c r="K145" i="19"/>
  <c r="K102" i="19"/>
  <c r="K72" i="19"/>
  <c r="K14" i="19"/>
  <c r="L166" i="19"/>
  <c r="L14" i="19"/>
  <c r="N166" i="19"/>
  <c r="N57" i="19"/>
  <c r="M170" i="19"/>
  <c r="M14" i="19"/>
  <c r="L98" i="19"/>
  <c r="L42" i="19"/>
  <c r="K98" i="19"/>
  <c r="K8" i="19"/>
  <c r="L72" i="19"/>
  <c r="L8" i="19"/>
  <c r="M166" i="19"/>
  <c r="M87" i="19"/>
  <c r="O14" i="19"/>
  <c r="K89" i="19"/>
  <c r="K110" i="19"/>
  <c r="N117" i="19"/>
  <c r="M35" i="19"/>
  <c r="M88" i="19"/>
  <c r="K17" i="19"/>
  <c r="N16" i="19"/>
  <c r="N176" i="19"/>
  <c r="O138" i="19"/>
  <c r="L138" i="19"/>
  <c r="L16" i="19"/>
  <c r="O202" i="19"/>
  <c r="K88" i="19"/>
  <c r="K16" i="19"/>
  <c r="L89" i="19"/>
  <c r="N174" i="19"/>
  <c r="N153" i="19"/>
  <c r="N112" i="19"/>
  <c r="M115" i="19"/>
  <c r="N9" i="19"/>
  <c r="M22" i="19"/>
  <c r="K9" i="19"/>
  <c r="L35" i="19"/>
  <c r="M159" i="19"/>
  <c r="M20" i="19"/>
  <c r="O115" i="19"/>
  <c r="K138" i="19"/>
  <c r="K159" i="19"/>
  <c r="K174" i="19"/>
  <c r="L112" i="19"/>
  <c r="L110" i="19"/>
  <c r="L80" i="19"/>
  <c r="N202" i="19"/>
  <c r="N95" i="19"/>
  <c r="N37" i="19"/>
  <c r="M157" i="19"/>
  <c r="M17" i="19"/>
  <c r="O112" i="19"/>
  <c r="N138" i="19"/>
  <c r="O159" i="19"/>
  <c r="L159" i="19"/>
  <c r="K37" i="19"/>
  <c r="K95" i="19"/>
  <c r="L202" i="19"/>
  <c r="L22" i="19"/>
  <c r="M138" i="19"/>
  <c r="M95" i="19"/>
  <c r="O157" i="19"/>
  <c r="K157" i="19"/>
  <c r="K80" i="19"/>
  <c r="L174" i="19"/>
  <c r="K22" i="19"/>
  <c r="L17" i="19"/>
  <c r="N17" i="19"/>
  <c r="M174" i="19"/>
  <c r="M89" i="19"/>
  <c r="O9" i="19"/>
  <c r="K183" i="19"/>
  <c r="K177" i="19"/>
  <c r="K167" i="19"/>
  <c r="K128" i="19"/>
  <c r="K69" i="19"/>
  <c r="L200" i="19"/>
  <c r="L175" i="19"/>
  <c r="L113" i="19"/>
  <c r="L43" i="19"/>
  <c r="N198" i="19"/>
  <c r="N49" i="19"/>
  <c r="M171" i="19"/>
  <c r="M149" i="19"/>
  <c r="M120" i="19"/>
  <c r="O182" i="19"/>
  <c r="L120" i="19"/>
  <c r="M61" i="19"/>
  <c r="K194" i="19"/>
  <c r="K127" i="19"/>
  <c r="K105" i="19"/>
  <c r="N194" i="19"/>
  <c r="N175" i="19"/>
  <c r="N47" i="19"/>
  <c r="M192" i="19"/>
  <c r="M49" i="19"/>
  <c r="O104" i="19"/>
  <c r="L142" i="19"/>
  <c r="O194" i="19"/>
  <c r="K192" i="19"/>
  <c r="L131" i="19"/>
  <c r="N46" i="19"/>
  <c r="M191" i="19"/>
  <c r="M167" i="19"/>
  <c r="M46" i="19"/>
  <c r="O139" i="19"/>
  <c r="O103" i="19"/>
  <c r="O31" i="19"/>
  <c r="K200" i="19"/>
  <c r="K81" i="19"/>
  <c r="L192" i="19"/>
  <c r="L130" i="19"/>
  <c r="N103" i="19"/>
  <c r="N45" i="19"/>
  <c r="M42" i="19"/>
  <c r="L83" i="19"/>
  <c r="N52" i="19"/>
  <c r="O83" i="19"/>
  <c r="O25" i="19"/>
  <c r="K152" i="19"/>
  <c r="L52" i="19"/>
  <c r="N152" i="19"/>
  <c r="M82" i="19"/>
  <c r="N201" i="19"/>
  <c r="K137" i="19"/>
  <c r="K58" i="19"/>
  <c r="L82" i="19"/>
  <c r="L25" i="19"/>
  <c r="N106" i="19"/>
  <c r="N94" i="19"/>
  <c r="N71" i="19"/>
  <c r="N25" i="19"/>
  <c r="M94" i="19"/>
  <c r="O19" i="19"/>
  <c r="K92" i="19"/>
  <c r="K101" i="19"/>
  <c r="L197" i="19"/>
  <c r="L94" i="19"/>
  <c r="L64" i="19"/>
  <c r="N197" i="19"/>
  <c r="N92" i="19"/>
  <c r="N70" i="19"/>
  <c r="N21" i="19"/>
  <c r="M114" i="19"/>
  <c r="M92" i="19"/>
  <c r="M19" i="19"/>
  <c r="O156" i="19"/>
  <c r="K52" i="19"/>
  <c r="K21" i="19"/>
  <c r="L158" i="19"/>
  <c r="L143" i="19"/>
  <c r="L122" i="19"/>
  <c r="L92" i="19"/>
  <c r="N158" i="19"/>
  <c r="N122" i="19"/>
  <c r="M158" i="19"/>
  <c r="K201" i="19"/>
  <c r="K158" i="19"/>
  <c r="K114" i="19"/>
  <c r="K71" i="19"/>
  <c r="K34" i="19"/>
  <c r="K19" i="19"/>
  <c r="L156" i="19"/>
  <c r="L106" i="19"/>
  <c r="L58" i="19"/>
  <c r="N19" i="19"/>
  <c r="K143" i="19"/>
  <c r="K83" i="19"/>
  <c r="K70" i="19"/>
  <c r="L203" i="19"/>
  <c r="L21" i="19"/>
  <c r="N156" i="19"/>
  <c r="N143" i="19"/>
  <c r="N83" i="19"/>
  <c r="M197" i="19"/>
  <c r="M156" i="19"/>
  <c r="M101" i="19"/>
  <c r="K203" i="19"/>
  <c r="K197" i="19"/>
  <c r="K156" i="19"/>
  <c r="K82" i="19"/>
  <c r="L137" i="19"/>
  <c r="L71" i="19"/>
  <c r="L34" i="19"/>
  <c r="L19" i="19"/>
  <c r="N203" i="19"/>
  <c r="N114" i="19"/>
  <c r="N101" i="19"/>
  <c r="N82" i="19"/>
  <c r="M52" i="19"/>
  <c r="O92" i="19"/>
  <c r="K25" i="19"/>
  <c r="K122" i="19"/>
  <c r="K106" i="19"/>
  <c r="K94" i="19"/>
  <c r="K64" i="19"/>
  <c r="L201" i="19"/>
  <c r="L152" i="19"/>
  <c r="L114" i="19"/>
  <c r="L101" i="19"/>
  <c r="L70" i="19"/>
  <c r="M83" i="19"/>
  <c r="M25" i="19"/>
  <c r="N137" i="19"/>
  <c r="O52" i="19"/>
  <c r="M122" i="19"/>
  <c r="M80" i="19"/>
  <c r="O197" i="19"/>
  <c r="N34" i="19"/>
  <c r="O101" i="19"/>
  <c r="O41" i="19"/>
  <c r="M130" i="19"/>
  <c r="O192" i="19"/>
  <c r="M143" i="19"/>
  <c r="M97" i="19"/>
  <c r="O98" i="19"/>
  <c r="M13" i="19"/>
  <c r="O17" i="19"/>
  <c r="N64" i="19"/>
  <c r="L155" i="19"/>
  <c r="L75" i="19"/>
  <c r="L10" i="19"/>
  <c r="N155" i="19"/>
  <c r="N84" i="19"/>
  <c r="N10" i="19"/>
  <c r="M36" i="19"/>
  <c r="K181" i="19"/>
  <c r="K148" i="19"/>
  <c r="K135" i="19"/>
  <c r="L195" i="19"/>
  <c r="L181" i="19"/>
  <c r="L129" i="19"/>
  <c r="L84" i="19"/>
  <c r="L62" i="19"/>
  <c r="N195" i="19"/>
  <c r="N178" i="19"/>
  <c r="N36" i="19"/>
  <c r="M11" i="19"/>
  <c r="O181" i="19"/>
  <c r="O75" i="19"/>
  <c r="K193" i="19"/>
  <c r="K178" i="19"/>
  <c r="K56" i="19"/>
  <c r="K39" i="19"/>
  <c r="L178" i="19"/>
  <c r="L26" i="19"/>
  <c r="N93" i="19"/>
  <c r="N79" i="19"/>
  <c r="M152" i="19"/>
  <c r="M77" i="19"/>
  <c r="O178" i="19"/>
  <c r="O11" i="19"/>
  <c r="K155" i="19"/>
  <c r="K129" i="19"/>
  <c r="K79" i="19"/>
  <c r="K26" i="19"/>
  <c r="L193" i="19"/>
  <c r="L93" i="19"/>
  <c r="N193" i="19"/>
  <c r="M181" i="19"/>
  <c r="M150" i="19"/>
  <c r="M135" i="19"/>
  <c r="M86" i="19"/>
  <c r="M75" i="19"/>
  <c r="O93" i="19"/>
  <c r="K13" i="19"/>
  <c r="L150" i="19"/>
  <c r="L136" i="19"/>
  <c r="L56" i="19"/>
  <c r="L39" i="19"/>
  <c r="N150" i="19"/>
  <c r="N136" i="19"/>
  <c r="N77" i="19"/>
  <c r="M199" i="19"/>
  <c r="M84" i="19"/>
  <c r="K86" i="19"/>
  <c r="K77" i="19"/>
  <c r="K63" i="19"/>
  <c r="K36" i="19"/>
  <c r="K11" i="19"/>
  <c r="L148" i="19"/>
  <c r="L135" i="19"/>
  <c r="L79" i="19"/>
  <c r="L36" i="19"/>
  <c r="L13" i="19"/>
  <c r="N135" i="19"/>
  <c r="N86" i="19"/>
  <c r="N75" i="19"/>
  <c r="N63" i="19"/>
  <c r="N26" i="19"/>
  <c r="N13" i="19"/>
  <c r="M148" i="19"/>
  <c r="M93" i="19"/>
  <c r="M63" i="19"/>
  <c r="O148" i="19"/>
  <c r="K199" i="19"/>
  <c r="K84" i="19"/>
  <c r="K75" i="19"/>
  <c r="K62" i="19"/>
  <c r="K10" i="19"/>
  <c r="L77" i="19"/>
  <c r="L11" i="19"/>
  <c r="N199" i="19"/>
  <c r="N148" i="19"/>
  <c r="N129" i="19"/>
  <c r="N62" i="19"/>
  <c r="N39" i="19"/>
  <c r="N11" i="19"/>
  <c r="M178" i="19"/>
  <c r="O84" i="19"/>
  <c r="M203" i="19"/>
  <c r="N56" i="19"/>
  <c r="M136" i="19"/>
  <c r="M21" i="19"/>
  <c r="O158" i="19"/>
  <c r="O122" i="19"/>
  <c r="M106" i="19"/>
  <c r="O114" i="19"/>
  <c r="O150" i="19"/>
  <c r="O63" i="19"/>
  <c r="M201" i="19"/>
  <c r="N58" i="19"/>
  <c r="M26" i="19"/>
  <c r="M71" i="19"/>
  <c r="O94" i="19"/>
  <c r="M155" i="19"/>
  <c r="O62" i="19"/>
  <c r="O86" i="19"/>
  <c r="O201" i="19"/>
  <c r="M195" i="19"/>
  <c r="M34" i="19"/>
  <c r="M193" i="19"/>
  <c r="M64" i="19"/>
  <c r="O199" i="19"/>
  <c r="O136" i="19"/>
  <c r="O82" i="19"/>
  <c r="O13" i="19"/>
  <c r="O135" i="19"/>
  <c r="O26" i="19"/>
  <c r="M79" i="19"/>
  <c r="M62" i="19"/>
  <c r="O130" i="19"/>
  <c r="O80" i="19"/>
  <c r="O129" i="19"/>
  <c r="O106" i="19"/>
  <c r="O79" i="19"/>
  <c r="M58" i="19"/>
  <c r="O203" i="19"/>
  <c r="O143" i="19"/>
  <c r="O64" i="19"/>
  <c r="M129" i="19"/>
  <c r="M39" i="19"/>
  <c r="M10" i="19"/>
  <c r="O195" i="19"/>
  <c r="O89" i="19"/>
  <c r="O77" i="19"/>
  <c r="O58" i="19"/>
  <c r="O39" i="19"/>
  <c r="O21" i="19"/>
  <c r="O10" i="19"/>
  <c r="M56" i="19"/>
  <c r="O155" i="19"/>
  <c r="O56" i="19"/>
  <c r="M137" i="19"/>
  <c r="M70" i="19"/>
  <c r="O193" i="19"/>
  <c r="O152" i="19"/>
  <c r="O137" i="19"/>
  <c r="O72" i="19"/>
  <c r="O71" i="19"/>
  <c r="O34" i="19"/>
  <c r="O70" i="19"/>
  <c r="P131" i="19"/>
  <c r="N131" i="19"/>
  <c r="K131" i="19"/>
  <c r="P48" i="19"/>
  <c r="L48" i="19"/>
  <c r="P185" i="19"/>
  <c r="L185" i="19"/>
  <c r="P121" i="19"/>
  <c r="K121" i="19"/>
  <c r="N121" i="19"/>
  <c r="P107" i="19"/>
  <c r="N107" i="19"/>
  <c r="K107" i="19"/>
  <c r="L107" i="19"/>
  <c r="P171" i="19"/>
  <c r="O171" i="19"/>
  <c r="N171" i="19"/>
  <c r="K171" i="19"/>
  <c r="P47" i="19"/>
  <c r="K47" i="19"/>
  <c r="P128" i="19"/>
  <c r="L128" i="19"/>
  <c r="P54" i="19"/>
  <c r="K54" i="19"/>
  <c r="N54" i="19"/>
  <c r="P191" i="19"/>
  <c r="N191" i="19"/>
  <c r="P127" i="19"/>
  <c r="L127" i="19"/>
  <c r="P179" i="19"/>
  <c r="O179" i="19"/>
  <c r="N179" i="19"/>
  <c r="K179" i="19"/>
  <c r="L179" i="19"/>
  <c r="P69" i="19"/>
  <c r="L69" i="19"/>
  <c r="P206" i="19"/>
  <c r="L206" i="19"/>
  <c r="M206" i="19"/>
  <c r="K206" i="19"/>
  <c r="P142" i="19"/>
  <c r="M142" i="19"/>
  <c r="N142" i="19"/>
  <c r="P50" i="19"/>
  <c r="M50" i="19"/>
  <c r="N50" i="19"/>
  <c r="L50" i="19"/>
  <c r="O50" i="19"/>
  <c r="P23" i="19"/>
  <c r="K23" i="19"/>
  <c r="N23" i="19"/>
  <c r="P165" i="19"/>
  <c r="L165" i="19"/>
  <c r="M165" i="19"/>
  <c r="K165" i="19"/>
  <c r="P85" i="19"/>
  <c r="L85" i="19"/>
  <c r="K85" i="19"/>
  <c r="P146" i="19"/>
  <c r="O146" i="19"/>
  <c r="L146" i="19"/>
  <c r="M146" i="19"/>
  <c r="K146" i="19"/>
  <c r="P28" i="19"/>
  <c r="L28" i="19"/>
  <c r="K28" i="19"/>
  <c r="M28" i="19"/>
  <c r="P67" i="19"/>
  <c r="M67" i="19"/>
  <c r="N67" i="19"/>
  <c r="K67" i="19"/>
  <c r="L67" i="19"/>
  <c r="P204" i="19"/>
  <c r="L204" i="19"/>
  <c r="N204" i="19"/>
  <c r="M204" i="19"/>
  <c r="K204" i="19"/>
  <c r="P140" i="19"/>
  <c r="L140" i="19"/>
  <c r="N140" i="19"/>
  <c r="K140" i="19"/>
  <c r="P81" i="19"/>
  <c r="N81" i="19"/>
  <c r="L81" i="19"/>
  <c r="P40" i="19"/>
  <c r="M40" i="19"/>
  <c r="N40" i="19"/>
  <c r="L40" i="19"/>
  <c r="P177" i="19"/>
  <c r="M177" i="19"/>
  <c r="L177" i="19"/>
  <c r="O177" i="19"/>
  <c r="P113" i="19"/>
  <c r="M113" i="19"/>
  <c r="K113" i="19"/>
  <c r="P73" i="19"/>
  <c r="K73" i="19"/>
  <c r="N73" i="19"/>
  <c r="P184" i="19"/>
  <c r="M184" i="19"/>
  <c r="O184" i="19"/>
  <c r="P139" i="19"/>
  <c r="N139" i="19"/>
  <c r="K139" i="19"/>
  <c r="L139" i="19"/>
  <c r="P15" i="19"/>
  <c r="M15" i="19"/>
  <c r="K15" i="19"/>
  <c r="N15" i="19"/>
  <c r="O15" i="19"/>
  <c r="P120" i="19"/>
  <c r="N120" i="19"/>
  <c r="O120" i="19"/>
  <c r="P46" i="19"/>
  <c r="O46" i="19"/>
  <c r="K46" i="19"/>
  <c r="P183" i="19"/>
  <c r="N183" i="19"/>
  <c r="M183" i="19"/>
  <c r="P119" i="19"/>
  <c r="N119" i="19"/>
  <c r="O119" i="19"/>
  <c r="L119" i="19"/>
  <c r="P147" i="19"/>
  <c r="N147" i="19"/>
  <c r="K147" i="19"/>
  <c r="O147" i="19"/>
  <c r="L147" i="19"/>
  <c r="P61" i="19"/>
  <c r="L61" i="19"/>
  <c r="N61" i="19"/>
  <c r="P198" i="19"/>
  <c r="O198" i="19"/>
  <c r="K198" i="19"/>
  <c r="L198" i="19"/>
  <c r="P134" i="19"/>
  <c r="K134" i="19"/>
  <c r="M134" i="19"/>
  <c r="O134" i="19"/>
  <c r="N134" i="19"/>
  <c r="P187" i="19"/>
  <c r="N187" i="19"/>
  <c r="K187" i="19"/>
  <c r="L187" i="19"/>
  <c r="O187" i="19"/>
  <c r="M187" i="19"/>
  <c r="P76" i="19"/>
  <c r="M76" i="19"/>
  <c r="L76" i="19"/>
  <c r="N76" i="19"/>
  <c r="K76" i="19"/>
  <c r="P149" i="19"/>
  <c r="L149" i="19"/>
  <c r="P66" i="19"/>
  <c r="O66" i="19"/>
  <c r="M66" i="19"/>
  <c r="K66" i="19"/>
  <c r="P90" i="19"/>
  <c r="K90" i="19"/>
  <c r="L90" i="19"/>
  <c r="N90" i="19"/>
  <c r="P12" i="19"/>
  <c r="L12" i="19"/>
  <c r="O12" i="19"/>
  <c r="K12" i="19"/>
  <c r="N12" i="19"/>
  <c r="P59" i="19"/>
  <c r="M59" i="19"/>
  <c r="N59" i="19"/>
  <c r="K59" i="19"/>
  <c r="L59" i="19"/>
  <c r="O59" i="19"/>
  <c r="P196" i="19"/>
  <c r="L196" i="19"/>
  <c r="N196" i="19"/>
  <c r="O196" i="19"/>
  <c r="K196" i="19"/>
  <c r="M196" i="19"/>
  <c r="P132" i="19"/>
  <c r="L132" i="19"/>
  <c r="N132" i="19"/>
  <c r="K132" i="19"/>
  <c r="O132" i="19"/>
  <c r="P194" i="19"/>
  <c r="M194" i="19"/>
  <c r="P32" i="19"/>
  <c r="M32" i="19"/>
  <c r="N32" i="19"/>
  <c r="L32" i="19"/>
  <c r="P169" i="19"/>
  <c r="M169" i="19"/>
  <c r="N169" i="19"/>
  <c r="L169" i="19"/>
  <c r="P105" i="19"/>
  <c r="O105" i="19"/>
  <c r="L105" i="19"/>
  <c r="P33" i="19"/>
  <c r="M33" i="19"/>
  <c r="O33" i="19"/>
  <c r="K33" i="19"/>
  <c r="N33" i="19"/>
  <c r="P168" i="19"/>
  <c r="M168" i="19"/>
  <c r="N168" i="19"/>
  <c r="L168" i="19"/>
  <c r="P99" i="19"/>
  <c r="O99" i="19"/>
  <c r="N99" i="19"/>
  <c r="K99" i="19"/>
  <c r="P200" i="19"/>
  <c r="O200" i="19"/>
  <c r="N200" i="19"/>
  <c r="P104" i="19"/>
  <c r="L104" i="19"/>
  <c r="M104" i="19"/>
  <c r="K104" i="19"/>
  <c r="P38" i="19"/>
  <c r="O38" i="19"/>
  <c r="M38" i="19"/>
  <c r="L38" i="19"/>
  <c r="P175" i="19"/>
  <c r="O175" i="19"/>
  <c r="M175" i="19"/>
  <c r="P111" i="19"/>
  <c r="M111" i="19"/>
  <c r="K111" i="19"/>
  <c r="N111" i="19"/>
  <c r="O111" i="19"/>
  <c r="P91" i="19"/>
  <c r="O91" i="19"/>
  <c r="N91" i="19"/>
  <c r="K91" i="19"/>
  <c r="P53" i="19"/>
  <c r="L53" i="19"/>
  <c r="K53" i="19"/>
  <c r="N53" i="19"/>
  <c r="M53" i="19"/>
  <c r="P190" i="19"/>
  <c r="N190" i="19"/>
  <c r="O190" i="19"/>
  <c r="L190" i="19"/>
  <c r="K190" i="19"/>
  <c r="P126" i="19"/>
  <c r="M126" i="19"/>
  <c r="O126" i="19"/>
  <c r="L126" i="19"/>
  <c r="K126" i="19"/>
  <c r="P123" i="19"/>
  <c r="N123" i="19"/>
  <c r="K123" i="19"/>
  <c r="M123" i="19"/>
  <c r="P60" i="19"/>
  <c r="L60" i="19"/>
  <c r="M60" i="19"/>
  <c r="N60" i="19"/>
  <c r="K60" i="19"/>
  <c r="O60" i="19"/>
  <c r="P141" i="19"/>
  <c r="L141" i="19"/>
  <c r="O141" i="19"/>
  <c r="M141" i="19"/>
  <c r="N141" i="19"/>
  <c r="P18" i="19"/>
  <c r="N18" i="19"/>
  <c r="M18" i="19"/>
  <c r="L18" i="19"/>
  <c r="P55" i="19"/>
  <c r="M55" i="19"/>
  <c r="K55" i="19"/>
  <c r="P189" i="19"/>
  <c r="O189" i="19"/>
  <c r="L189" i="19"/>
  <c r="K189" i="19"/>
  <c r="P51" i="19"/>
  <c r="N51" i="19"/>
  <c r="K51" i="19"/>
  <c r="M51" i="19"/>
  <c r="L51" i="19"/>
  <c r="P188" i="19"/>
  <c r="O188" i="19"/>
  <c r="L188" i="19"/>
  <c r="N188" i="19"/>
  <c r="K188" i="19"/>
  <c r="M188" i="19"/>
  <c r="P124" i="19"/>
  <c r="L124" i="19"/>
  <c r="N124" i="19"/>
  <c r="K124" i="19"/>
  <c r="M124" i="19"/>
  <c r="O32" i="19"/>
  <c r="O183" i="19"/>
  <c r="O76" i="19"/>
  <c r="M105" i="19"/>
  <c r="O61" i="19"/>
  <c r="M119" i="19"/>
  <c r="M73" i="19"/>
  <c r="M12" i="19"/>
  <c r="O149" i="19"/>
  <c r="O113" i="19"/>
  <c r="O73" i="19"/>
  <c r="O40" i="19"/>
  <c r="M99" i="19"/>
  <c r="M91" i="19"/>
  <c r="P24" i="19"/>
  <c r="M24" i="19"/>
  <c r="P186" i="19"/>
  <c r="M186" i="19"/>
  <c r="P30" i="19"/>
  <c r="O30" i="19"/>
  <c r="P173" i="19"/>
  <c r="L173" i="19"/>
  <c r="P16" i="19"/>
  <c r="M16" i="19"/>
  <c r="P153" i="19"/>
  <c r="M153" i="19"/>
  <c r="P176" i="19"/>
  <c r="M176" i="19"/>
  <c r="P37" i="19"/>
  <c r="O37" i="19"/>
  <c r="L37" i="19"/>
  <c r="P110" i="19"/>
  <c r="M110" i="19"/>
  <c r="P202" i="19"/>
  <c r="M202" i="19"/>
  <c r="P20" i="19"/>
  <c r="L20" i="19"/>
  <c r="O20" i="19"/>
  <c r="K20" i="19"/>
  <c r="P117" i="19"/>
  <c r="M117" i="19"/>
  <c r="O117" i="19"/>
  <c r="L117" i="19"/>
  <c r="P115" i="19"/>
  <c r="N115" i="19"/>
  <c r="K115" i="19"/>
  <c r="P157" i="19"/>
  <c r="L157" i="19"/>
  <c r="P35" i="19"/>
  <c r="K35" i="19"/>
  <c r="N35" i="19"/>
  <c r="P172" i="19"/>
  <c r="L172" i="19"/>
  <c r="O172" i="19"/>
  <c r="N172" i="19"/>
  <c r="P108" i="19"/>
  <c r="O108" i="19"/>
  <c r="L108" i="19"/>
  <c r="N108" i="19"/>
  <c r="K108" i="19"/>
  <c r="P45" i="19"/>
  <c r="O45" i="19"/>
  <c r="L45" i="19"/>
  <c r="P65" i="19"/>
  <c r="O65" i="19"/>
  <c r="P163" i="19"/>
  <c r="N163" i="19"/>
  <c r="K163" i="19"/>
  <c r="O163" i="19"/>
  <c r="P180" i="19"/>
  <c r="L180" i="19"/>
  <c r="O180" i="19"/>
  <c r="N180" i="19"/>
  <c r="K182" i="19"/>
  <c r="L41" i="19"/>
  <c r="N173" i="19"/>
  <c r="N182" i="19"/>
  <c r="M103" i="19"/>
  <c r="M65" i="19"/>
  <c r="M30" i="19"/>
  <c r="O176" i="19"/>
  <c r="O97" i="19"/>
  <c r="O88" i="19"/>
  <c r="O49" i="19"/>
  <c r="O24" i="19"/>
  <c r="P8" i="19"/>
  <c r="M8" i="19"/>
  <c r="P145" i="19"/>
  <c r="M145" i="19"/>
  <c r="P42" i="19"/>
  <c r="N42" i="19"/>
  <c r="P74" i="19"/>
  <c r="O74" i="19"/>
  <c r="P162" i="19"/>
  <c r="O162" i="19"/>
  <c r="P160" i="19"/>
  <c r="M160" i="19"/>
  <c r="P29" i="19"/>
  <c r="O29" i="19"/>
  <c r="L29" i="19"/>
  <c r="P102" i="19"/>
  <c r="M102" i="19"/>
  <c r="P154" i="19"/>
  <c r="O154" i="19"/>
  <c r="P205" i="19"/>
  <c r="L205" i="19"/>
  <c r="P109" i="19"/>
  <c r="M109" i="19"/>
  <c r="O109" i="19"/>
  <c r="L109" i="19"/>
  <c r="P57" i="19"/>
  <c r="O57" i="19"/>
  <c r="P68" i="19"/>
  <c r="L68" i="19"/>
  <c r="M68" i="19"/>
  <c r="N68" i="19"/>
  <c r="K68" i="19"/>
  <c r="P125" i="19"/>
  <c r="O125" i="19"/>
  <c r="L125" i="19"/>
  <c r="P27" i="19"/>
  <c r="K27" i="19"/>
  <c r="N27" i="19"/>
  <c r="P164" i="19"/>
  <c r="L164" i="19"/>
  <c r="N164" i="19"/>
  <c r="K164" i="19"/>
  <c r="P100" i="19"/>
  <c r="L100" i="19"/>
  <c r="O100" i="19"/>
  <c r="N100" i="19"/>
  <c r="K100" i="19"/>
  <c r="P144" i="19"/>
  <c r="M144" i="19"/>
  <c r="P44" i="19"/>
  <c r="L44" i="19"/>
  <c r="K44" i="19"/>
  <c r="P116" i="19"/>
  <c r="O116" i="19"/>
  <c r="L116" i="19"/>
  <c r="N116" i="19"/>
  <c r="K116" i="19"/>
  <c r="N44" i="19"/>
  <c r="K173" i="19"/>
  <c r="L97" i="19"/>
  <c r="L31" i="19"/>
  <c r="N192" i="19"/>
  <c r="K180" i="19"/>
  <c r="K153" i="19"/>
  <c r="K112" i="19"/>
  <c r="K24" i="19"/>
  <c r="L186" i="19"/>
  <c r="L167" i="19"/>
  <c r="L96" i="19"/>
  <c r="L88" i="19"/>
  <c r="L49" i="19"/>
  <c r="L30" i="19"/>
  <c r="N159" i="19"/>
  <c r="N130" i="19"/>
  <c r="N110" i="19"/>
  <c r="N98" i="19"/>
  <c r="N89" i="19"/>
  <c r="N72" i="19"/>
  <c r="N31" i="19"/>
  <c r="N22" i="19"/>
  <c r="M173" i="19"/>
  <c r="M163" i="19"/>
  <c r="M112" i="19"/>
  <c r="M29" i="19"/>
  <c r="M9" i="19"/>
  <c r="O186" i="19"/>
  <c r="O164" i="19"/>
  <c r="O153" i="19"/>
  <c r="O96" i="19"/>
  <c r="O87" i="19"/>
  <c r="O78" i="19"/>
  <c r="O68" i="19"/>
  <c r="O44" i="19"/>
  <c r="O22" i="19"/>
  <c r="P161" i="19"/>
  <c r="M161" i="19"/>
  <c r="P41" i="19"/>
  <c r="M41" i="19"/>
  <c r="P118" i="19"/>
  <c r="M118" i="19"/>
  <c r="P133" i="19"/>
  <c r="L133" i="19"/>
  <c r="P43" i="19"/>
  <c r="K43" i="19"/>
  <c r="N43" i="19"/>
  <c r="N144" i="19"/>
  <c r="N24" i="19"/>
  <c r="M31" i="19"/>
  <c r="O167" i="19"/>
  <c r="K103" i="19"/>
  <c r="K65" i="19"/>
  <c r="N133" i="19"/>
  <c r="K161" i="19"/>
  <c r="K144" i="19"/>
  <c r="K45" i="19"/>
  <c r="K133" i="19"/>
  <c r="L176" i="19"/>
  <c r="L95" i="19"/>
  <c r="L78" i="19"/>
  <c r="L9" i="19"/>
  <c r="N109" i="19"/>
  <c r="N97" i="19"/>
  <c r="N88" i="19"/>
  <c r="N80" i="19"/>
  <c r="N30" i="19"/>
  <c r="M182" i="19"/>
  <c r="M172" i="19"/>
  <c r="M162" i="19"/>
  <c r="M151" i="19"/>
  <c r="M133" i="19"/>
  <c r="M100" i="19"/>
  <c r="M74" i="19"/>
  <c r="O174" i="19"/>
  <c r="O161" i="19"/>
  <c r="O118" i="19"/>
  <c r="O95" i="19"/>
  <c r="O43" i="19"/>
  <c r="M185" i="19"/>
  <c r="M121" i="19"/>
  <c r="O185" i="19"/>
  <c r="O121" i="19"/>
  <c r="M128" i="19"/>
  <c r="M48" i="19"/>
  <c r="O128" i="19"/>
  <c r="O48" i="19"/>
  <c r="N48" i="19"/>
  <c r="M127" i="19"/>
  <c r="M47" i="19"/>
  <c r="M23" i="19"/>
  <c r="O191" i="19"/>
  <c r="O127" i="19"/>
  <c r="O47" i="19"/>
  <c r="O23" i="19"/>
  <c r="M54" i="19"/>
  <c r="O206" i="19"/>
  <c r="O142" i="19"/>
  <c r="O54" i="19"/>
  <c r="M85" i="19"/>
  <c r="M69" i="19"/>
  <c r="O165" i="19"/>
  <c r="O85" i="19"/>
  <c r="O69" i="19"/>
  <c r="O204" i="19"/>
  <c r="O140" i="19"/>
  <c r="O28" i="19"/>
  <c r="O131" i="19"/>
  <c r="O107" i="19"/>
  <c r="O67" i="19"/>
  <c r="P7" i="19"/>
  <c r="L7" i="19"/>
  <c r="M7" i="19"/>
  <c r="N7" i="19"/>
  <c r="O7" i="19"/>
  <c r="K7" i="19"/>
  <c r="C40" i="1"/>
  <c r="C24" i="18" l="1"/>
  <c r="D24" i="18" s="1"/>
  <c r="C21" i="18"/>
  <c r="C20" i="18"/>
  <c r="C35" i="1" s="1"/>
  <c r="C19" i="18"/>
  <c r="E19" i="18" s="1"/>
  <c r="C22" i="18"/>
  <c r="C37" i="1" s="1"/>
  <c r="C23" i="18"/>
  <c r="D2" i="8"/>
  <c r="B45" i="1"/>
  <c r="F41" i="1"/>
  <c r="D1" i="9"/>
  <c r="B44" i="1"/>
  <c r="F40" i="1" s="1"/>
  <c r="B43" i="1"/>
  <c r="B42" i="1"/>
  <c r="F24" i="18" l="1"/>
  <c r="E24" i="18"/>
  <c r="C34" i="1"/>
  <c r="C26" i="13" s="1"/>
  <c r="C36" i="1"/>
  <c r="E36" i="1" s="1"/>
  <c r="F36" i="1" s="1"/>
  <c r="C38" i="1"/>
  <c r="E35" i="1"/>
  <c r="F35" i="1" s="1"/>
  <c r="E37" i="1"/>
  <c r="F37" i="1" s="1"/>
  <c r="E34" i="1" l="1"/>
  <c r="F34" i="1" s="1"/>
  <c r="D36" i="1"/>
  <c r="C28" i="13"/>
  <c r="C27" i="13"/>
  <c r="E38" i="1"/>
  <c r="F38" i="1" s="1"/>
  <c r="I3" i="28" l="1"/>
  <c r="AA3" i="28"/>
  <c r="AB3" i="28"/>
  <c r="AC3" i="28"/>
  <c r="W2" i="28"/>
  <c r="F5" i="24" l="1"/>
  <c r="AO3" i="28"/>
  <c r="AP4" i="28" s="1"/>
  <c r="AQ5" i="28" s="1"/>
  <c r="Q6" i="28" s="1"/>
  <c r="AI3" i="28"/>
  <c r="AC4" i="28"/>
  <c r="AB4" i="28"/>
  <c r="AM3" i="28"/>
  <c r="AK3" i="28"/>
  <c r="AG3" i="28"/>
  <c r="AE3" i="28"/>
  <c r="AE4" i="28" s="1"/>
  <c r="AJ3" i="28"/>
  <c r="Y2" i="28"/>
  <c r="H2" i="28"/>
  <c r="G3" i="28" s="1"/>
  <c r="H3" i="28"/>
  <c r="U3" i="28"/>
  <c r="D4" i="28" l="1"/>
  <c r="S2" i="28"/>
  <c r="V3" i="28" s="1"/>
  <c r="J23" i="6"/>
  <c r="AN3" i="28"/>
  <c r="AO4" i="28" s="1"/>
  <c r="AP5" i="28" s="1"/>
  <c r="AI4" i="28"/>
  <c r="AK4" i="28"/>
  <c r="AF3" i="28"/>
  <c r="AD3" i="28"/>
  <c r="AD4" i="28" s="1"/>
  <c r="AD5" i="28" s="1"/>
  <c r="X2" i="28"/>
  <c r="T3" i="28" s="1"/>
  <c r="AL3" i="28"/>
  <c r="AL4" i="28" s="1"/>
  <c r="M3" i="28"/>
  <c r="AM4" i="28"/>
  <c r="M2" i="28"/>
  <c r="AH3" i="28"/>
  <c r="AJ4" i="28" s="1"/>
  <c r="AG4" i="28"/>
  <c r="AG5" i="28" s="1"/>
  <c r="J3" i="28"/>
  <c r="AE5" i="28"/>
  <c r="L2" i="28"/>
  <c r="W3" i="28" l="1"/>
  <c r="P3" i="28" s="1"/>
  <c r="D5" i="28"/>
  <c r="AI5" i="28"/>
  <c r="AI6" i="28" s="1"/>
  <c r="N2" i="28"/>
  <c r="R2" i="28"/>
  <c r="AN4" i="28"/>
  <c r="AO5" i="28" s="1"/>
  <c r="AP6" i="28" s="1"/>
  <c r="AM5" i="28"/>
  <c r="AF4" i="28"/>
  <c r="AF5" i="28" s="1"/>
  <c r="AF6" i="28" s="1"/>
  <c r="AH4" i="28"/>
  <c r="AJ5" i="28" s="1"/>
  <c r="H4" i="28"/>
  <c r="AQ6" i="28"/>
  <c r="AG6" i="28"/>
  <c r="AK5" i="28"/>
  <c r="AL5" i="28"/>
  <c r="S3" i="28" l="1"/>
  <c r="V4" i="28" s="1"/>
  <c r="X3" i="28"/>
  <c r="U4" i="28"/>
  <c r="Y3" i="28"/>
  <c r="AK6" i="28"/>
  <c r="AK7" i="28" s="1"/>
  <c r="F6" i="24"/>
  <c r="Z3" i="28"/>
  <c r="L3" i="28"/>
  <c r="AH5" i="28"/>
  <c r="M5" i="28" s="1"/>
  <c r="M4" i="28"/>
  <c r="AN5" i="28"/>
  <c r="AO6" i="28" s="1"/>
  <c r="AP7" i="28" s="1"/>
  <c r="H5" i="28"/>
  <c r="AQ7" i="28"/>
  <c r="Q8" i="28" s="1"/>
  <c r="AL6" i="28"/>
  <c r="AI7" i="28"/>
  <c r="AM6" i="28"/>
  <c r="Q7" i="28"/>
  <c r="B3" i="28" l="1"/>
  <c r="E4" i="28" s="1"/>
  <c r="G4" i="28" s="1"/>
  <c r="T4" i="28"/>
  <c r="W4" i="28" s="1"/>
  <c r="U5" i="28" s="1"/>
  <c r="B25" i="1"/>
  <c r="F1" i="24" s="1"/>
  <c r="C3" i="28"/>
  <c r="AA4" i="28"/>
  <c r="AB5" i="28" s="1"/>
  <c r="AD6" i="28" s="1"/>
  <c r="AF7" i="28" s="1"/>
  <c r="K3" i="28"/>
  <c r="R3" i="28"/>
  <c r="O3" i="28"/>
  <c r="AN6" i="28"/>
  <c r="AN7" i="28" s="1"/>
  <c r="AJ6" i="28"/>
  <c r="AL7" i="28" s="1"/>
  <c r="AH6" i="28"/>
  <c r="AQ8" i="28"/>
  <c r="AM7" i="28"/>
  <c r="AK8" i="28"/>
  <c r="F4" i="28" l="1"/>
  <c r="N3" i="28"/>
  <c r="H16" i="6"/>
  <c r="Y4" i="28"/>
  <c r="S4" i="28"/>
  <c r="V5" i="28" s="1"/>
  <c r="X4" i="28"/>
  <c r="T5" i="28" s="1"/>
  <c r="W5" i="28" s="1"/>
  <c r="U6" i="28" s="1"/>
  <c r="B26" i="1"/>
  <c r="H17" i="6"/>
  <c r="H18" i="6" s="1"/>
  <c r="F15" i="24"/>
  <c r="G15" i="24" s="1"/>
  <c r="F16" i="24"/>
  <c r="G16" i="24" s="1"/>
  <c r="F23" i="24"/>
  <c r="G23" i="24" s="1"/>
  <c r="F17" i="24"/>
  <c r="G17" i="24" s="1"/>
  <c r="F7" i="24"/>
  <c r="F21" i="24"/>
  <c r="G21" i="24" s="1"/>
  <c r="F14" i="24"/>
  <c r="G14" i="24" s="1"/>
  <c r="F22" i="24"/>
  <c r="G22" i="24" s="1"/>
  <c r="F24" i="24"/>
  <c r="G24" i="24" s="1"/>
  <c r="F18" i="24"/>
  <c r="G18" i="24" s="1"/>
  <c r="F19" i="24"/>
  <c r="G19" i="24" s="1"/>
  <c r="F20" i="24"/>
  <c r="G20" i="24" s="1"/>
  <c r="AC5" i="28"/>
  <c r="D6" i="28" s="1"/>
  <c r="Z4" i="28"/>
  <c r="L4" i="28"/>
  <c r="AO7" i="28"/>
  <c r="AO8" i="28" s="1"/>
  <c r="AH7" i="28"/>
  <c r="AJ7" i="28"/>
  <c r="AL8" i="28" s="1"/>
  <c r="AM8" i="28"/>
  <c r="AM9" i="28" s="1"/>
  <c r="Q9" i="28"/>
  <c r="AN8" i="28"/>
  <c r="AE6" i="28" l="1"/>
  <c r="AG7" i="28" s="1"/>
  <c r="AI8" i="28" s="1"/>
  <c r="AK9" i="28" s="1"/>
  <c r="H6" i="28"/>
  <c r="F9" i="24"/>
  <c r="G13" i="24"/>
  <c r="F4" i="24"/>
  <c r="F8" i="24"/>
  <c r="M6" i="28"/>
  <c r="AP8" i="28"/>
  <c r="AP9" i="28" s="1"/>
  <c r="K4" i="28"/>
  <c r="I4" i="28"/>
  <c r="S5" i="28"/>
  <c r="V6" i="28" s="1"/>
  <c r="AJ8" i="28"/>
  <c r="AL9" i="28" s="1"/>
  <c r="AH8" i="28"/>
  <c r="X5" i="28"/>
  <c r="Y5" i="28"/>
  <c r="AN9" i="28"/>
  <c r="AO9" i="28"/>
  <c r="AM10" i="28"/>
  <c r="AQ9" i="28" l="1"/>
  <c r="Q10" i="28" s="1"/>
  <c r="P4" i="28"/>
  <c r="AJ9" i="28"/>
  <c r="AL10" i="28" s="1"/>
  <c r="T6" i="28"/>
  <c r="W6" i="28" s="1"/>
  <c r="U7" i="28" s="1"/>
  <c r="AO10" i="28"/>
  <c r="AN10" i="28"/>
  <c r="AP10" i="28"/>
  <c r="AQ10" i="28"/>
  <c r="X6" i="28" l="1"/>
  <c r="S6" i="28"/>
  <c r="V7" i="28" s="1"/>
  <c r="Y6" i="28"/>
  <c r="T7" i="28" s="1"/>
  <c r="AP11" i="28"/>
  <c r="AO11" i="28"/>
  <c r="AN11" i="28"/>
  <c r="Q11" i="28"/>
  <c r="AQ11" i="28"/>
  <c r="W7" i="28" l="1"/>
  <c r="U8" i="28" s="1"/>
  <c r="AQ12" i="28"/>
  <c r="Q13" i="28" s="1"/>
  <c r="AO12" i="28"/>
  <c r="AP12" i="28"/>
  <c r="Q12" i="28"/>
  <c r="AQ13" i="28" l="1"/>
  <c r="AP13" i="28"/>
  <c r="Q14" i="28" l="1"/>
  <c r="AQ14" i="28"/>
  <c r="Q15" i="28" l="1"/>
  <c r="AA5" i="28" l="1"/>
  <c r="AC6" i="28" s="1"/>
  <c r="D7" i="28" s="1"/>
  <c r="B4" i="28"/>
  <c r="E5" i="28" s="1"/>
  <c r="G5" i="28" l="1"/>
  <c r="L5" i="28" s="1"/>
  <c r="F5" i="28"/>
  <c r="C4" i="28"/>
  <c r="AB6" i="28"/>
  <c r="AD7" i="28" s="1"/>
  <c r="R4" i="28"/>
  <c r="AE7" i="28"/>
  <c r="N4" i="28"/>
  <c r="J4" i="28"/>
  <c r="O4" i="28" l="1"/>
  <c r="M7" i="28"/>
  <c r="AF8" i="28"/>
  <c r="X7" i="28"/>
  <c r="Y7" i="28"/>
  <c r="H7" i="28"/>
  <c r="S7" i="28" s="1"/>
  <c r="V8" i="28" s="1"/>
  <c r="AG8" i="28"/>
  <c r="Z5" i="28"/>
  <c r="K5" i="28" s="1"/>
  <c r="I5" i="28" l="1"/>
  <c r="B5" i="28"/>
  <c r="E6" i="28" s="1"/>
  <c r="AA6" i="28"/>
  <c r="AH9" i="28"/>
  <c r="AI9" i="28"/>
  <c r="T8" i="28"/>
  <c r="W8" i="28" s="1"/>
  <c r="G6" i="28" l="1"/>
  <c r="C5" i="28"/>
  <c r="P5" i="28"/>
  <c r="O5" i="28" s="1"/>
  <c r="R5" i="28"/>
  <c r="AJ10" i="28"/>
  <c r="AC7" i="28"/>
  <c r="D8" i="28" s="1"/>
  <c r="AB7" i="28"/>
  <c r="U9" i="28"/>
  <c r="AK10" i="28"/>
  <c r="J5" i="28"/>
  <c r="N5" i="28"/>
  <c r="F6" i="28" l="1"/>
  <c r="Z6" i="28"/>
  <c r="K6" i="28" s="1"/>
  <c r="L6" i="28"/>
  <c r="AD8" i="28"/>
  <c r="AE8" i="28"/>
  <c r="AM11" i="28"/>
  <c r="AL11" i="28"/>
  <c r="M8" i="28" l="1"/>
  <c r="X8" i="28"/>
  <c r="AF9" i="28"/>
  <c r="AN12" i="28"/>
  <c r="H8" i="28"/>
  <c r="S8" i="28" s="1"/>
  <c r="V9" i="28" s="1"/>
  <c r="Y8" i="28"/>
  <c r="AG9" i="28"/>
  <c r="I6" i="28"/>
  <c r="P6" i="28" s="1"/>
  <c r="AA7" i="28"/>
  <c r="B6" i="28"/>
  <c r="E7" i="28" s="1"/>
  <c r="G7" i="28" l="1"/>
  <c r="F7" i="28"/>
  <c r="C6" i="28"/>
  <c r="R6" i="28"/>
  <c r="AH10" i="28"/>
  <c r="AI10" i="28"/>
  <c r="T9" i="28"/>
  <c r="W9" i="28" s="1"/>
  <c r="AC8" i="28"/>
  <c r="D9" i="28" s="1"/>
  <c r="AB8" i="28"/>
  <c r="AO13" i="28"/>
  <c r="O6" i="28"/>
  <c r="N6" i="28"/>
  <c r="J6" i="28"/>
  <c r="L7" i="28" l="1"/>
  <c r="AJ11" i="28"/>
  <c r="AE9" i="28"/>
  <c r="AP14" i="28"/>
  <c r="AK11" i="28"/>
  <c r="U10" i="28"/>
  <c r="AD9" i="28"/>
  <c r="Z7" i="28" l="1"/>
  <c r="K7" i="28" s="1"/>
  <c r="H9" i="28"/>
  <c r="S9" i="28" s="1"/>
  <c r="V10" i="28" s="1"/>
  <c r="Y9" i="28"/>
  <c r="AG10" i="28"/>
  <c r="AL12" i="28"/>
  <c r="I7" i="28"/>
  <c r="P7" i="28" s="1"/>
  <c r="AA8" i="28"/>
  <c r="B7" i="28"/>
  <c r="E8" i="28" s="1"/>
  <c r="AM12" i="28"/>
  <c r="AQ15" i="28"/>
  <c r="M9" i="28"/>
  <c r="X9" i="28"/>
  <c r="AF10" i="28"/>
  <c r="G8" i="28" l="1"/>
  <c r="C7" i="28"/>
  <c r="T10" i="28"/>
  <c r="W10" i="28" s="1"/>
  <c r="U11" i="28" s="1"/>
  <c r="R7" i="28"/>
  <c r="AC9" i="28"/>
  <c r="D10" i="28" s="1"/>
  <c r="AB9" i="28"/>
  <c r="AH11" i="28"/>
  <c r="N7" i="28"/>
  <c r="J7" i="28"/>
  <c r="AI11" i="28"/>
  <c r="AN13" i="28"/>
  <c r="Q16" i="28"/>
  <c r="F8" i="28" l="1"/>
  <c r="L8" i="28"/>
  <c r="AO14" i="28"/>
  <c r="AE10" i="28"/>
  <c r="O7" i="28"/>
  <c r="AK12" i="28"/>
  <c r="AD10" i="28"/>
  <c r="AJ12" i="28"/>
  <c r="Z8" i="28" l="1"/>
  <c r="K8" i="28" s="1"/>
  <c r="Y10" i="28"/>
  <c r="H10" i="28"/>
  <c r="S10" i="28" s="1"/>
  <c r="V11" i="28" s="1"/>
  <c r="AG11" i="28"/>
  <c r="AM13" i="28"/>
  <c r="I8" i="28"/>
  <c r="P8" i="28" s="1"/>
  <c r="B8" i="28"/>
  <c r="E9" i="28" s="1"/>
  <c r="AA9" i="28"/>
  <c r="AP15" i="28"/>
  <c r="AL13" i="28"/>
  <c r="M10" i="28"/>
  <c r="X10" i="28"/>
  <c r="AF11" i="28"/>
  <c r="G9" i="28" l="1"/>
  <c r="C8" i="28"/>
  <c r="T11" i="28"/>
  <c r="W11" i="28" s="1"/>
  <c r="U12" i="28" s="1"/>
  <c r="R8" i="28"/>
  <c r="AC10" i="28"/>
  <c r="D11" i="28" s="1"/>
  <c r="AB10" i="28"/>
  <c r="AN14" i="28"/>
  <c r="J8" i="28"/>
  <c r="N8" i="28"/>
  <c r="O8" i="28"/>
  <c r="AI12" i="28"/>
  <c r="AQ16" i="28"/>
  <c r="AH12" i="28"/>
  <c r="F9" i="28" l="1"/>
  <c r="L9" i="28"/>
  <c r="AD11" i="28"/>
  <c r="AE11" i="28"/>
  <c r="AO15" i="28"/>
  <c r="AJ13" i="28"/>
  <c r="AK13" i="28"/>
  <c r="Q17" i="28"/>
  <c r="Z9" i="28" l="1"/>
  <c r="K9" i="28" s="1"/>
  <c r="M11" i="28"/>
  <c r="X11" i="28"/>
  <c r="AF12" i="28"/>
  <c r="AM14" i="28"/>
  <c r="AG12" i="28"/>
  <c r="H11" i="28"/>
  <c r="S11" i="28" s="1"/>
  <c r="V12" i="28" s="1"/>
  <c r="Y11" i="28"/>
  <c r="AP16" i="28"/>
  <c r="AL14" i="28"/>
  <c r="B9" i="28" l="1"/>
  <c r="E10" i="28" s="1"/>
  <c r="AA10" i="28"/>
  <c r="AB11" i="28" s="1"/>
  <c r="AD12" i="28" s="1"/>
  <c r="I9" i="28"/>
  <c r="P9" i="28" s="1"/>
  <c r="G10" i="28"/>
  <c r="R9" i="28"/>
  <c r="AH13" i="28"/>
  <c r="T12" i="28"/>
  <c r="W12" i="28" s="1"/>
  <c r="AN15" i="28"/>
  <c r="AI13" i="28"/>
  <c r="AQ17" i="28"/>
  <c r="AC11" i="28" l="1"/>
  <c r="D12" i="28" s="1"/>
  <c r="C9" i="28"/>
  <c r="O9" i="28"/>
  <c r="N9" i="28"/>
  <c r="J9" i="28"/>
  <c r="F10" i="28"/>
  <c r="L10" i="28"/>
  <c r="AK14" i="28"/>
  <c r="AJ14" i="28"/>
  <c r="Q18" i="28"/>
  <c r="AE12" i="28"/>
  <c r="U13" i="28"/>
  <c r="X12" i="28"/>
  <c r="AF13" i="28"/>
  <c r="AH14" i="28" s="1"/>
  <c r="AO16" i="28"/>
  <c r="Z10" i="28"/>
  <c r="K10" i="28" s="1"/>
  <c r="AJ15" i="28" l="1"/>
  <c r="H12" i="28"/>
  <c r="S12" i="28" s="1"/>
  <c r="V13" i="28" s="1"/>
  <c r="Y12" i="28"/>
  <c r="T13" i="28" s="1"/>
  <c r="AG13" i="28"/>
  <c r="AI14" i="28" s="1"/>
  <c r="AK15" i="28" s="1"/>
  <c r="AL15" i="28"/>
  <c r="M12" i="28"/>
  <c r="AP17" i="28"/>
  <c r="I10" i="28"/>
  <c r="P10" i="28" s="1"/>
  <c r="B10" i="28"/>
  <c r="E11" i="28" s="1"/>
  <c r="AA11" i="28"/>
  <c r="AM15" i="28"/>
  <c r="G11" i="28" l="1"/>
  <c r="C10" i="28"/>
  <c r="W13" i="28"/>
  <c r="U14" i="28" s="1"/>
  <c r="AM16" i="28"/>
  <c r="R10" i="28"/>
  <c r="J10" i="28"/>
  <c r="N10" i="28"/>
  <c r="O10" i="28"/>
  <c r="AN16" i="28"/>
  <c r="AQ18" i="28"/>
  <c r="AC12" i="28"/>
  <c r="D13" i="28" s="1"/>
  <c r="AB12" i="28"/>
  <c r="AD13" i="28" s="1"/>
  <c r="AL16" i="28"/>
  <c r="F11" i="28" l="1"/>
  <c r="L11" i="28"/>
  <c r="Q19" i="28"/>
  <c r="AO17" i="28"/>
  <c r="AE13" i="28"/>
  <c r="M13" i="28" s="1"/>
  <c r="AN17" i="28"/>
  <c r="X13" i="28"/>
  <c r="AF14" i="28"/>
  <c r="AH15" i="28" s="1"/>
  <c r="AJ16" i="28" s="1"/>
  <c r="AL17" i="28" s="1"/>
  <c r="Z11" i="28"/>
  <c r="K11" i="28" s="1"/>
  <c r="AP18" i="28" l="1"/>
  <c r="Y13" i="28"/>
  <c r="T14" i="28" s="1"/>
  <c r="H13" i="28"/>
  <c r="S13" i="28" s="1"/>
  <c r="V14" i="28" s="1"/>
  <c r="AG14" i="28"/>
  <c r="AI15" i="28" s="1"/>
  <c r="AK16" i="28" s="1"/>
  <c r="AM17" i="28" s="1"/>
  <c r="AO18" i="28"/>
  <c r="AP19" i="28" s="1"/>
  <c r="I11" i="28"/>
  <c r="P11" i="28" s="1"/>
  <c r="AA12" i="28"/>
  <c r="B11" i="28"/>
  <c r="E12" i="28" s="1"/>
  <c r="G12" i="28" l="1"/>
  <c r="F12" i="28"/>
  <c r="C11" i="28"/>
  <c r="W14" i="28"/>
  <c r="U15" i="28" s="1"/>
  <c r="R11" i="28"/>
  <c r="AB13" i="28"/>
  <c r="AD14" i="28" s="1"/>
  <c r="AC13" i="28"/>
  <c r="D14" i="28" s="1"/>
  <c r="AN18" i="28"/>
  <c r="AO19" i="28" s="1"/>
  <c r="AP20" i="28" s="1"/>
  <c r="N11" i="28"/>
  <c r="J11" i="28"/>
  <c r="O11" i="28"/>
  <c r="AQ19" i="28"/>
  <c r="AQ20" i="28" s="1"/>
  <c r="L12" i="28" l="1"/>
  <c r="AQ21" i="28"/>
  <c r="X14" i="28"/>
  <c r="AF15" i="28"/>
  <c r="AH16" i="28" s="1"/>
  <c r="AJ17" i="28" s="1"/>
  <c r="AL18" i="28" s="1"/>
  <c r="Q21" i="28"/>
  <c r="Z12" i="28"/>
  <c r="K12" i="28" s="1"/>
  <c r="AE14" i="28"/>
  <c r="Q20" i="28"/>
  <c r="Y14" i="28" l="1"/>
  <c r="T15" i="28" s="1"/>
  <c r="H14" i="28"/>
  <c r="S14" i="28" s="1"/>
  <c r="V15" i="28" s="1"/>
  <c r="AG15" i="28"/>
  <c r="AI16" i="28" s="1"/>
  <c r="AK17" i="28" s="1"/>
  <c r="AM18" i="28" s="1"/>
  <c r="M14" i="28"/>
  <c r="I12" i="28"/>
  <c r="P12" i="28" s="1"/>
  <c r="B12" i="28"/>
  <c r="E13" i="28" s="1"/>
  <c r="AA13" i="28"/>
  <c r="Q22" i="28"/>
  <c r="G13" i="28" l="1"/>
  <c r="F13" i="28"/>
  <c r="C12" i="28"/>
  <c r="R12" i="28"/>
  <c r="AB14" i="28"/>
  <c r="AD15" i="28" s="1"/>
  <c r="AC14" i="28"/>
  <c r="D15" i="28" s="1"/>
  <c r="J12" i="28"/>
  <c r="N12" i="28"/>
  <c r="O12" i="28"/>
  <c r="AN19" i="28"/>
  <c r="AO20" i="28" s="1"/>
  <c r="AP21" i="28" s="1"/>
  <c r="AQ22" i="28" s="1"/>
  <c r="W15" i="28"/>
  <c r="L13" i="28" l="1"/>
  <c r="X15" i="28"/>
  <c r="AF16" i="28"/>
  <c r="AH17" i="28" s="1"/>
  <c r="AJ18" i="28" s="1"/>
  <c r="AL19" i="28" s="1"/>
  <c r="AE15" i="28"/>
  <c r="U16" i="28"/>
  <c r="Q23" i="28"/>
  <c r="Z13" i="28" l="1"/>
  <c r="K13" i="28" s="1"/>
  <c r="I13" i="28"/>
  <c r="P13" i="28" s="1"/>
  <c r="B13" i="28"/>
  <c r="E14" i="28" s="1"/>
  <c r="AA14" i="28"/>
  <c r="Y15" i="28"/>
  <c r="T16" i="28" s="1"/>
  <c r="H15" i="28"/>
  <c r="S15" i="28" s="1"/>
  <c r="V16" i="28" s="1"/>
  <c r="AG16" i="28"/>
  <c r="AI17" i="28" s="1"/>
  <c r="AK18" i="28" s="1"/>
  <c r="AM19" i="28" s="1"/>
  <c r="M15" i="28"/>
  <c r="G14" i="28" l="1"/>
  <c r="F14" i="28"/>
  <c r="C13" i="28"/>
  <c r="W16" i="28"/>
  <c r="U17" i="28" s="1"/>
  <c r="AC15" i="28"/>
  <c r="D16" i="28" s="1"/>
  <c r="AB15" i="28"/>
  <c r="AD16" i="28" s="1"/>
  <c r="R13" i="28"/>
  <c r="N13" i="28"/>
  <c r="J13" i="28"/>
  <c r="O13" i="28"/>
  <c r="AN20" i="28"/>
  <c r="AO21" i="28" s="1"/>
  <c r="AP22" i="28" s="1"/>
  <c r="AQ23" i="28" s="1"/>
  <c r="L14" i="28" l="1"/>
  <c r="X16" i="28"/>
  <c r="AF17" i="28"/>
  <c r="AH18" i="28" s="1"/>
  <c r="AJ19" i="28" s="1"/>
  <c r="AL20" i="28" s="1"/>
  <c r="Q24" i="28"/>
  <c r="Z14" i="28"/>
  <c r="K14" i="28" s="1"/>
  <c r="AE16" i="28"/>
  <c r="Y16" i="28" l="1"/>
  <c r="T17" i="28" s="1"/>
  <c r="H16" i="28"/>
  <c r="S16" i="28" s="1"/>
  <c r="V17" i="28" s="1"/>
  <c r="AG17" i="28"/>
  <c r="AI18" i="28" s="1"/>
  <c r="AK19" i="28" s="1"/>
  <c r="AM20" i="28" s="1"/>
  <c r="M16" i="28"/>
  <c r="I14" i="28"/>
  <c r="P14" i="28" s="1"/>
  <c r="B14" i="28"/>
  <c r="E15" i="28" s="1"/>
  <c r="AA15" i="28"/>
  <c r="G15" i="28" l="1"/>
  <c r="F15" i="28"/>
  <c r="C14" i="28"/>
  <c r="W17" i="28"/>
  <c r="U18" i="28" s="1"/>
  <c r="R14" i="28"/>
  <c r="N14" i="28"/>
  <c r="J14" i="28"/>
  <c r="O14" i="28"/>
  <c r="AB16" i="28"/>
  <c r="AD17" i="28" s="1"/>
  <c r="AC16" i="28"/>
  <c r="D17" i="28" s="1"/>
  <c r="AN21" i="28"/>
  <c r="AO22" i="28" s="1"/>
  <c r="AP23" i="28" s="1"/>
  <c r="AQ24" i="28" s="1"/>
  <c r="L15" i="28" l="1"/>
  <c r="Q25" i="28"/>
  <c r="AE17" i="28"/>
  <c r="X17" i="28"/>
  <c r="AF18" i="28"/>
  <c r="AH19" i="28" s="1"/>
  <c r="AJ20" i="28" s="1"/>
  <c r="AL21" i="28" s="1"/>
  <c r="Z15" i="28"/>
  <c r="K15" i="28" s="1"/>
  <c r="Y17" i="28" l="1"/>
  <c r="H17" i="28"/>
  <c r="S17" i="28" s="1"/>
  <c r="V18" i="28" s="1"/>
  <c r="AG18" i="28"/>
  <c r="AI19" i="28" s="1"/>
  <c r="AK20" i="28" s="1"/>
  <c r="AM21" i="28" s="1"/>
  <c r="AN22" i="28" s="1"/>
  <c r="AO23" i="28" s="1"/>
  <c r="AP24" i="28" s="1"/>
  <c r="AQ25" i="28" s="1"/>
  <c r="T18" i="28"/>
  <c r="M17" i="28"/>
  <c r="I15" i="28"/>
  <c r="P15" i="28" s="1"/>
  <c r="B15" i="28"/>
  <c r="E16" i="28" s="1"/>
  <c r="AA16" i="28"/>
  <c r="G16" i="28" l="1"/>
  <c r="F16" i="28"/>
  <c r="C15" i="28"/>
  <c r="W18" i="28"/>
  <c r="U19" i="28" s="1"/>
  <c r="Q26" i="28"/>
  <c r="J15" i="28"/>
  <c r="N15" i="28"/>
  <c r="O15" i="28"/>
  <c r="AB17" i="28"/>
  <c r="AD18" i="28" s="1"/>
  <c r="AC17" i="28"/>
  <c r="D18" i="28" s="1"/>
  <c r="R15" i="28"/>
  <c r="L16" i="28" l="1"/>
  <c r="AE18" i="28"/>
  <c r="Z16" i="28"/>
  <c r="K16" i="28" s="1"/>
  <c r="AF19" i="28"/>
  <c r="AH20" i="28" s="1"/>
  <c r="AJ21" i="28" s="1"/>
  <c r="AL22" i="28" s="1"/>
  <c r="X18" i="28"/>
  <c r="I16" i="28" l="1"/>
  <c r="P16" i="28" s="1"/>
  <c r="AA17" i="28"/>
  <c r="B16" i="28"/>
  <c r="E17" i="28" s="1"/>
  <c r="Y18" i="28"/>
  <c r="T19" i="28" s="1"/>
  <c r="H18" i="28"/>
  <c r="S18" i="28" s="1"/>
  <c r="V19" i="28" s="1"/>
  <c r="AG19" i="28"/>
  <c r="AI20" i="28" s="1"/>
  <c r="AK21" i="28" s="1"/>
  <c r="AM22" i="28" s="1"/>
  <c r="M18" i="28"/>
  <c r="G17" i="28" l="1"/>
  <c r="C16" i="28"/>
  <c r="W19" i="28"/>
  <c r="U20" i="28" s="1"/>
  <c r="R16" i="28"/>
  <c r="AC18" i="28"/>
  <c r="D19" i="28" s="1"/>
  <c r="AB18" i="28"/>
  <c r="AD19" i="28" s="1"/>
  <c r="N16" i="28"/>
  <c r="J16" i="28"/>
  <c r="O16" i="28"/>
  <c r="AN23" i="28"/>
  <c r="AO24" i="28" s="1"/>
  <c r="AP25" i="28" s="1"/>
  <c r="AQ26" i="28" s="1"/>
  <c r="F17" i="28" l="1"/>
  <c r="L17" i="28"/>
  <c r="Q27" i="28"/>
  <c r="AF20" i="28"/>
  <c r="AH21" i="28" s="1"/>
  <c r="AJ22" i="28" s="1"/>
  <c r="AL23" i="28" s="1"/>
  <c r="X19" i="28"/>
  <c r="AE19" i="28"/>
  <c r="Z17" i="28" l="1"/>
  <c r="K17" i="28" s="1"/>
  <c r="H19" i="28"/>
  <c r="S19" i="28" s="1"/>
  <c r="V20" i="28" s="1"/>
  <c r="Y19" i="28"/>
  <c r="T20" i="28" s="1"/>
  <c r="AG20" i="28"/>
  <c r="AI21" i="28" s="1"/>
  <c r="AK22" i="28" s="1"/>
  <c r="AM23" i="28" s="1"/>
  <c r="AN24" i="28" s="1"/>
  <c r="AO25" i="28" s="1"/>
  <c r="AP26" i="28" s="1"/>
  <c r="AQ27" i="28" s="1"/>
  <c r="M19" i="28"/>
  <c r="I17" i="28"/>
  <c r="P17" i="28" s="1"/>
  <c r="B17" i="28"/>
  <c r="E18" i="28" s="1"/>
  <c r="AA18" i="28"/>
  <c r="G18" i="28" l="1"/>
  <c r="F18" i="28"/>
  <c r="C17" i="28"/>
  <c r="W20" i="28"/>
  <c r="U21" i="28" s="1"/>
  <c r="Q28" i="28"/>
  <c r="N17" i="28"/>
  <c r="J17" i="28"/>
  <c r="O17" i="28"/>
  <c r="AB19" i="28"/>
  <c r="AD20" i="28" s="1"/>
  <c r="AC19" i="28"/>
  <c r="D20" i="28" s="1"/>
  <c r="R17" i="28"/>
  <c r="L18" i="28" l="1"/>
  <c r="AE20" i="28"/>
  <c r="M20" i="28" s="1"/>
  <c r="X20" i="28"/>
  <c r="AF21" i="28"/>
  <c r="AH22" i="28" s="1"/>
  <c r="AJ23" i="28" s="1"/>
  <c r="AL24" i="28" s="1"/>
  <c r="Z18" i="28" l="1"/>
  <c r="K18" i="28" s="1"/>
  <c r="H20" i="28"/>
  <c r="S20" i="28" s="1"/>
  <c r="V21" i="28" s="1"/>
  <c r="Y20" i="28"/>
  <c r="T21" i="28" s="1"/>
  <c r="AG21" i="28"/>
  <c r="AI22" i="28" s="1"/>
  <c r="AK23" i="28" s="1"/>
  <c r="AM24" i="28" s="1"/>
  <c r="I18" i="28"/>
  <c r="P18" i="28" s="1"/>
  <c r="B18" i="28"/>
  <c r="E19" i="28" s="1"/>
  <c r="AA19" i="28"/>
  <c r="G19" i="28" l="1"/>
  <c r="F19" i="28"/>
  <c r="C18" i="28"/>
  <c r="W21" i="28"/>
  <c r="U22" i="28" s="1"/>
  <c r="N18" i="28"/>
  <c r="J18" i="28"/>
  <c r="O18" i="28"/>
  <c r="R18" i="28"/>
  <c r="AB20" i="28"/>
  <c r="AD21" i="28" s="1"/>
  <c r="AC20" i="28"/>
  <c r="D21" i="28" s="1"/>
  <c r="AN25" i="28"/>
  <c r="AO26" i="28" s="1"/>
  <c r="AP27" i="28" s="1"/>
  <c r="AQ28" i="28" s="1"/>
  <c r="L19" i="28" l="1"/>
  <c r="AE21" i="28"/>
  <c r="M21" i="28" s="1"/>
  <c r="Z19" i="28"/>
  <c r="K19" i="28" s="1"/>
  <c r="Q29" i="28"/>
  <c r="X21" i="28"/>
  <c r="AF22" i="28"/>
  <c r="AH23" i="28" s="1"/>
  <c r="AJ24" i="28" s="1"/>
  <c r="AL25" i="28" s="1"/>
  <c r="I19" i="28" l="1"/>
  <c r="P19" i="28" s="1"/>
  <c r="B19" i="28"/>
  <c r="E20" i="28" s="1"/>
  <c r="AA20" i="28"/>
  <c r="H21" i="28"/>
  <c r="S21" i="28" s="1"/>
  <c r="V22" i="28" s="1"/>
  <c r="AG22" i="28"/>
  <c r="AI23" i="28" s="1"/>
  <c r="AK24" i="28" s="1"/>
  <c r="AM25" i="28" s="1"/>
  <c r="Y21" i="28"/>
  <c r="T22" i="28" s="1"/>
  <c r="G20" i="28" l="1"/>
  <c r="F20" i="28"/>
  <c r="C19" i="28"/>
  <c r="AB21" i="28"/>
  <c r="AD22" i="28" s="1"/>
  <c r="AC21" i="28"/>
  <c r="D22" i="28" s="1"/>
  <c r="N19" i="28"/>
  <c r="J19" i="28"/>
  <c r="O19" i="28"/>
  <c r="R19" i="28"/>
  <c r="W22" i="28"/>
  <c r="AN26" i="28"/>
  <c r="AO27" i="28" s="1"/>
  <c r="AP28" i="28" s="1"/>
  <c r="AQ29" i="28" s="1"/>
  <c r="L20" i="28" l="1"/>
  <c r="Z20" i="28"/>
  <c r="K20" i="28" s="1"/>
  <c r="AE22" i="28"/>
  <c r="M22" i="28" s="1"/>
  <c r="Q30" i="28"/>
  <c r="U23" i="28"/>
  <c r="X22" i="28"/>
  <c r="AF23" i="28"/>
  <c r="AH24" i="28" s="1"/>
  <c r="AJ25" i="28" s="1"/>
  <c r="AL26" i="28" s="1"/>
  <c r="I20" i="28" l="1"/>
  <c r="P20" i="28" s="1"/>
  <c r="B20" i="28"/>
  <c r="E21" i="28" s="1"/>
  <c r="AA21" i="28"/>
  <c r="H22" i="28"/>
  <c r="S22" i="28" s="1"/>
  <c r="V23" i="28" s="1"/>
  <c r="Y22" i="28"/>
  <c r="T23" i="28" s="1"/>
  <c r="AG23" i="28"/>
  <c r="AI24" i="28" s="1"/>
  <c r="AK25" i="28" s="1"/>
  <c r="AM26" i="28" s="1"/>
  <c r="G21" i="28" l="1"/>
  <c r="F21" i="28"/>
  <c r="C20" i="28"/>
  <c r="W23" i="28"/>
  <c r="U24" i="28" s="1"/>
  <c r="AC22" i="28"/>
  <c r="D23" i="28" s="1"/>
  <c r="AB22" i="28"/>
  <c r="AD23" i="28" s="1"/>
  <c r="R20" i="28"/>
  <c r="N20" i="28"/>
  <c r="J20" i="28"/>
  <c r="O20" i="28"/>
  <c r="AN27" i="28"/>
  <c r="AO28" i="28" s="1"/>
  <c r="AP29" i="28" s="1"/>
  <c r="AQ30" i="28" s="1"/>
  <c r="L21" i="28" l="1"/>
  <c r="X23" i="28"/>
  <c r="AF24" i="28"/>
  <c r="AH25" i="28" s="1"/>
  <c r="AJ26" i="28" s="1"/>
  <c r="AL27" i="28" s="1"/>
  <c r="Q31" i="28"/>
  <c r="Z21" i="28"/>
  <c r="K21" i="28" s="1"/>
  <c r="AE23" i="28"/>
  <c r="Y23" i="28" l="1"/>
  <c r="AG24" i="28"/>
  <c r="AI25" i="28" s="1"/>
  <c r="AK26" i="28" s="1"/>
  <c r="AM27" i="28" s="1"/>
  <c r="AN28" i="28" s="1"/>
  <c r="AO29" i="28" s="1"/>
  <c r="AP30" i="28" s="1"/>
  <c r="AQ31" i="28" s="1"/>
  <c r="H23" i="28"/>
  <c r="S23" i="28" s="1"/>
  <c r="V24" i="28" s="1"/>
  <c r="I21" i="28"/>
  <c r="P21" i="28" s="1"/>
  <c r="B21" i="28"/>
  <c r="E22" i="28" s="1"/>
  <c r="AA22" i="28"/>
  <c r="T24" i="28"/>
  <c r="M23" i="28"/>
  <c r="G22" i="28" l="1"/>
  <c r="C21" i="28"/>
  <c r="J21" i="28"/>
  <c r="N21" i="28"/>
  <c r="O21" i="28"/>
  <c r="Q32" i="28"/>
  <c r="AC23" i="28"/>
  <c r="D24" i="28" s="1"/>
  <c r="AB23" i="28"/>
  <c r="AD24" i="28" s="1"/>
  <c r="R21" i="28"/>
  <c r="W24" i="28"/>
  <c r="F22" i="28" l="1"/>
  <c r="L22" i="28"/>
  <c r="AE24" i="28"/>
  <c r="M24" i="28" s="1"/>
  <c r="U25" i="28"/>
  <c r="AF25" i="28"/>
  <c r="AH26" i="28" s="1"/>
  <c r="AJ27" i="28" s="1"/>
  <c r="AL28" i="28" s="1"/>
  <c r="X24" i="28"/>
  <c r="Z22" i="28"/>
  <c r="K22" i="28" s="1"/>
  <c r="Y24" i="28" l="1"/>
  <c r="AG25" i="28"/>
  <c r="AI26" i="28" s="1"/>
  <c r="AK27" i="28" s="1"/>
  <c r="AM28" i="28" s="1"/>
  <c r="H24" i="28"/>
  <c r="S24" i="28" s="1"/>
  <c r="V25" i="28" s="1"/>
  <c r="I22" i="28"/>
  <c r="P22" i="28" s="1"/>
  <c r="B22" i="28"/>
  <c r="E23" i="28" s="1"/>
  <c r="AA23" i="28"/>
  <c r="T25" i="28"/>
  <c r="G23" i="28" l="1"/>
  <c r="F23" i="28"/>
  <c r="C22" i="28"/>
  <c r="AC24" i="28"/>
  <c r="D25" i="28" s="1"/>
  <c r="AB24" i="28"/>
  <c r="AD25" i="28" s="1"/>
  <c r="R22" i="28"/>
  <c r="N22" i="28"/>
  <c r="J22" i="28"/>
  <c r="O22" i="28"/>
  <c r="AN29" i="28"/>
  <c r="AO30" i="28" s="1"/>
  <c r="AP31" i="28" s="1"/>
  <c r="AQ32" i="28" s="1"/>
  <c r="W25" i="28"/>
  <c r="L23" i="28" l="1"/>
  <c r="U26" i="28"/>
  <c r="X25" i="28"/>
  <c r="AF26" i="28"/>
  <c r="AH27" i="28" s="1"/>
  <c r="AJ28" i="28" s="1"/>
  <c r="AL29" i="28" s="1"/>
  <c r="Z23" i="28"/>
  <c r="K23" i="28" s="1"/>
  <c r="Q33" i="28"/>
  <c r="AE25" i="28"/>
  <c r="M25" i="28" s="1"/>
  <c r="H25" i="28" l="1"/>
  <c r="S25" i="28" s="1"/>
  <c r="V26" i="28" s="1"/>
  <c r="Y25" i="28"/>
  <c r="T26" i="28" s="1"/>
  <c r="AG26" i="28"/>
  <c r="AI27" i="28" s="1"/>
  <c r="AK28" i="28" s="1"/>
  <c r="AM29" i="28" s="1"/>
  <c r="I23" i="28"/>
  <c r="P23" i="28" s="1"/>
  <c r="B23" i="28"/>
  <c r="E24" i="28" s="1"/>
  <c r="AA24" i="28"/>
  <c r="G24" i="28" l="1"/>
  <c r="F24" i="28"/>
  <c r="C23" i="28"/>
  <c r="W26" i="28"/>
  <c r="U27" i="28" s="1"/>
  <c r="R23" i="28"/>
  <c r="J23" i="28"/>
  <c r="N23" i="28"/>
  <c r="O23" i="28"/>
  <c r="AB25" i="28"/>
  <c r="AD26" i="28" s="1"/>
  <c r="AC25" i="28"/>
  <c r="D26" i="28" s="1"/>
  <c r="AN30" i="28"/>
  <c r="AO31" i="28" s="1"/>
  <c r="AP32" i="28" s="1"/>
  <c r="AQ33" i="28" s="1"/>
  <c r="L24" i="28" l="1"/>
  <c r="AF27" i="28"/>
  <c r="AH28" i="28" s="1"/>
  <c r="AJ29" i="28" s="1"/>
  <c r="AL30" i="28" s="1"/>
  <c r="X26" i="28"/>
  <c r="Q34" i="28"/>
  <c r="AE26" i="28"/>
  <c r="Z24" i="28"/>
  <c r="K24" i="28" s="1"/>
  <c r="H26" i="28" l="1"/>
  <c r="S26" i="28" s="1"/>
  <c r="V27" i="28" s="1"/>
  <c r="Y26" i="28"/>
  <c r="T27" i="28" s="1"/>
  <c r="AG27" i="28"/>
  <c r="AI28" i="28" s="1"/>
  <c r="AK29" i="28" s="1"/>
  <c r="AM30" i="28" s="1"/>
  <c r="M26" i="28"/>
  <c r="I24" i="28"/>
  <c r="P24" i="28" s="1"/>
  <c r="AA25" i="28"/>
  <c r="B24" i="28"/>
  <c r="E25" i="28" s="1"/>
  <c r="G25" i="28" l="1"/>
  <c r="C24" i="28"/>
  <c r="W27" i="28"/>
  <c r="U28" i="28" s="1"/>
  <c r="AC26" i="28"/>
  <c r="D27" i="28" s="1"/>
  <c r="AB26" i="28"/>
  <c r="AD27" i="28" s="1"/>
  <c r="J24" i="28"/>
  <c r="N24" i="28"/>
  <c r="O24" i="28"/>
  <c r="AN31" i="28"/>
  <c r="AO32" i="28" s="1"/>
  <c r="AP33" i="28" s="1"/>
  <c r="AQ34" i="28" s="1"/>
  <c r="R24" i="28"/>
  <c r="F25" i="28" l="1"/>
  <c r="L25" i="28"/>
  <c r="Z25" i="28"/>
  <c r="K25" i="28" s="1"/>
  <c r="X27" i="28"/>
  <c r="AF28" i="28"/>
  <c r="AH29" i="28" s="1"/>
  <c r="AJ30" i="28" s="1"/>
  <c r="AL31" i="28" s="1"/>
  <c r="Q35" i="28"/>
  <c r="AE27" i="28"/>
  <c r="Y27" i="28" l="1"/>
  <c r="T28" i="28" s="1"/>
  <c r="H27" i="28"/>
  <c r="S27" i="28" s="1"/>
  <c r="V28" i="28" s="1"/>
  <c r="AG28" i="28"/>
  <c r="AI29" i="28" s="1"/>
  <c r="AK30" i="28" s="1"/>
  <c r="AM31" i="28" s="1"/>
  <c r="I25" i="28"/>
  <c r="P25" i="28" s="1"/>
  <c r="B25" i="28"/>
  <c r="E26" i="28" s="1"/>
  <c r="AA26" i="28"/>
  <c r="M27" i="28"/>
  <c r="G26" i="28" l="1"/>
  <c r="F26" i="28"/>
  <c r="C25" i="28"/>
  <c r="W28" i="28"/>
  <c r="U29" i="28" s="1"/>
  <c r="J25" i="28"/>
  <c r="N25" i="28"/>
  <c r="O25" i="28"/>
  <c r="R25" i="28"/>
  <c r="AC27" i="28"/>
  <c r="D28" i="28" s="1"/>
  <c r="AB27" i="28"/>
  <c r="AD28" i="28" s="1"/>
  <c r="AN32" i="28"/>
  <c r="AO33" i="28" s="1"/>
  <c r="AP34" i="28" s="1"/>
  <c r="AQ35" i="28" s="1"/>
  <c r="L26" i="28" l="1"/>
  <c r="Q36" i="28"/>
  <c r="Z26" i="28"/>
  <c r="K26" i="28" s="1"/>
  <c r="X28" i="28"/>
  <c r="AF29" i="28"/>
  <c r="AH30" i="28" s="1"/>
  <c r="AJ31" i="28" s="1"/>
  <c r="AL32" i="28" s="1"/>
  <c r="AE28" i="28"/>
  <c r="H28" i="28" l="1"/>
  <c r="S28" i="28" s="1"/>
  <c r="V29" i="28" s="1"/>
  <c r="Y28" i="28"/>
  <c r="T29" i="28" s="1"/>
  <c r="AG29" i="28"/>
  <c r="AI30" i="28" s="1"/>
  <c r="AK31" i="28" s="1"/>
  <c r="AM32" i="28" s="1"/>
  <c r="AN33" i="28" s="1"/>
  <c r="AO34" i="28" s="1"/>
  <c r="AP35" i="28" s="1"/>
  <c r="AQ36" i="28" s="1"/>
  <c r="I26" i="28"/>
  <c r="P26" i="28" s="1"/>
  <c r="B26" i="28"/>
  <c r="E27" i="28" s="1"/>
  <c r="AA27" i="28"/>
  <c r="M28" i="28"/>
  <c r="G27" i="28" l="1"/>
  <c r="C26" i="28"/>
  <c r="W29" i="28"/>
  <c r="U30" i="28" s="1"/>
  <c r="Q37" i="28"/>
  <c r="J26" i="28"/>
  <c r="N26" i="28"/>
  <c r="O26" i="28"/>
  <c r="AC28" i="28"/>
  <c r="D29" i="28" s="1"/>
  <c r="AB28" i="28"/>
  <c r="AD29" i="28" s="1"/>
  <c r="R26" i="28"/>
  <c r="F27" i="28" l="1"/>
  <c r="L27" i="28"/>
  <c r="X29" i="28"/>
  <c r="AF30" i="28"/>
  <c r="AH31" i="28" s="1"/>
  <c r="AJ32" i="28" s="1"/>
  <c r="AL33" i="28" s="1"/>
  <c r="AE29" i="28"/>
  <c r="M29" i="28" s="1"/>
  <c r="Z27" i="28" l="1"/>
  <c r="K27" i="28" s="1"/>
  <c r="AA28" i="28"/>
  <c r="H29" i="28"/>
  <c r="S29" i="28" s="1"/>
  <c r="V30" i="28" s="1"/>
  <c r="Y29" i="28"/>
  <c r="T30" i="28" s="1"/>
  <c r="AG30" i="28"/>
  <c r="AI31" i="28" s="1"/>
  <c r="AK32" i="28" s="1"/>
  <c r="AM33" i="28" s="1"/>
  <c r="I27" i="28" l="1"/>
  <c r="P27" i="28" s="1"/>
  <c r="B27" i="28"/>
  <c r="E28" i="28" s="1"/>
  <c r="G28" i="28" s="1"/>
  <c r="W30" i="28"/>
  <c r="U31" i="28" s="1"/>
  <c r="AC29" i="28"/>
  <c r="D30" i="28" s="1"/>
  <c r="AB29" i="28"/>
  <c r="AD30" i="28" s="1"/>
  <c r="J27" i="28"/>
  <c r="AN34" i="28"/>
  <c r="AO35" i="28" s="1"/>
  <c r="AP36" i="28" s="1"/>
  <c r="AQ37" i="28" s="1"/>
  <c r="C27" i="28" l="1"/>
  <c r="F28" i="28"/>
  <c r="R27" i="28"/>
  <c r="O27" i="28"/>
  <c r="N27" i="28"/>
  <c r="L28" i="28"/>
  <c r="Q38" i="28"/>
  <c r="X30" i="28"/>
  <c r="AF31" i="28"/>
  <c r="AH32" i="28" s="1"/>
  <c r="AJ33" i="28" s="1"/>
  <c r="AL34" i="28" s="1"/>
  <c r="AE30" i="28"/>
  <c r="Z28" i="28"/>
  <c r="K28" i="28" s="1"/>
  <c r="Y30" i="28" l="1"/>
  <c r="AG31" i="28"/>
  <c r="AI32" i="28" s="1"/>
  <c r="AK33" i="28" s="1"/>
  <c r="AM34" i="28" s="1"/>
  <c r="H30" i="28"/>
  <c r="S30" i="28" s="1"/>
  <c r="V31" i="28" s="1"/>
  <c r="M30" i="28"/>
  <c r="T31" i="28"/>
  <c r="I28" i="28"/>
  <c r="P28" i="28" s="1"/>
  <c r="B28" i="28"/>
  <c r="E29" i="28" s="1"/>
  <c r="AA29" i="28"/>
  <c r="G29" i="28" l="1"/>
  <c r="F29" i="28"/>
  <c r="C28" i="28"/>
  <c r="W31" i="28"/>
  <c r="U32" i="28" s="1"/>
  <c r="R28" i="28"/>
  <c r="N28" i="28"/>
  <c r="J28" i="28"/>
  <c r="O28" i="28"/>
  <c r="AB30" i="28"/>
  <c r="AD31" i="28" s="1"/>
  <c r="AC30" i="28"/>
  <c r="D31" i="28" s="1"/>
  <c r="AN35" i="28"/>
  <c r="AO36" i="28" s="1"/>
  <c r="AP37" i="28" s="1"/>
  <c r="AQ38" i="28" s="1"/>
  <c r="L29" i="28" l="1"/>
  <c r="Q39" i="28"/>
  <c r="AF32" i="28"/>
  <c r="AH33" i="28" s="1"/>
  <c r="AJ34" i="28" s="1"/>
  <c r="AL35" i="28" s="1"/>
  <c r="X31" i="28"/>
  <c r="AE31" i="28"/>
  <c r="Z29" i="28"/>
  <c r="K29" i="28" s="1"/>
  <c r="H31" i="28" l="1"/>
  <c r="S31" i="28" s="1"/>
  <c r="V32" i="28" s="1"/>
  <c r="Y31" i="28"/>
  <c r="T32" i="28" s="1"/>
  <c r="AG32" i="28"/>
  <c r="AI33" i="28" s="1"/>
  <c r="AK34" i="28" s="1"/>
  <c r="AM35" i="28" s="1"/>
  <c r="AN36" i="28" s="1"/>
  <c r="AO37" i="28" s="1"/>
  <c r="AP38" i="28" s="1"/>
  <c r="AQ39" i="28" s="1"/>
  <c r="M31" i="28"/>
  <c r="I29" i="28"/>
  <c r="P29" i="28" s="1"/>
  <c r="B29" i="28"/>
  <c r="E30" i="28" s="1"/>
  <c r="AA30" i="28"/>
  <c r="I16" i="6" l="1"/>
  <c r="C25" i="1"/>
  <c r="G30" i="28"/>
  <c r="F30" i="28"/>
  <c r="C29" i="28"/>
  <c r="W32" i="28"/>
  <c r="U33" i="28" s="1"/>
  <c r="Q40" i="28"/>
  <c r="N29" i="28"/>
  <c r="J29" i="28"/>
  <c r="O29" i="28"/>
  <c r="AC31" i="28"/>
  <c r="D32" i="28" s="1"/>
  <c r="AB31" i="28"/>
  <c r="AD32" i="28" s="1"/>
  <c r="R29" i="28"/>
  <c r="I17" i="6" l="1"/>
  <c r="I18" i="6" s="1"/>
  <c r="C26" i="1"/>
  <c r="L30" i="28"/>
  <c r="X32" i="28"/>
  <c r="AF33" i="28"/>
  <c r="AH34" i="28" s="1"/>
  <c r="AJ35" i="28" s="1"/>
  <c r="AL36" i="28" s="1"/>
  <c r="Z30" i="28"/>
  <c r="K30" i="28" s="1"/>
  <c r="AE32" i="28"/>
  <c r="Y32" i="28" l="1"/>
  <c r="H32" i="28"/>
  <c r="S32" i="28" s="1"/>
  <c r="V33" i="28" s="1"/>
  <c r="AG33" i="28"/>
  <c r="AI34" i="28" s="1"/>
  <c r="AK35" i="28" s="1"/>
  <c r="AM36" i="28" s="1"/>
  <c r="T33" i="28"/>
  <c r="I30" i="28"/>
  <c r="P30" i="28" s="1"/>
  <c r="B30" i="28"/>
  <c r="E31" i="28" s="1"/>
  <c r="AA31" i="28"/>
  <c r="M32" i="28"/>
  <c r="G31" i="28" l="1"/>
  <c r="F31" i="28"/>
  <c r="C30" i="28"/>
  <c r="W33" i="28"/>
  <c r="U34" i="28" s="1"/>
  <c r="J30" i="28"/>
  <c r="N30" i="28"/>
  <c r="O30" i="28"/>
  <c r="R30" i="28"/>
  <c r="AC32" i="28"/>
  <c r="D33" i="28" s="1"/>
  <c r="AB32" i="28"/>
  <c r="AD33" i="28" s="1"/>
  <c r="AN37" i="28"/>
  <c r="AO38" i="28" s="1"/>
  <c r="AP39" i="28" s="1"/>
  <c r="AQ40" i="28" s="1"/>
  <c r="L31" i="28" l="1"/>
  <c r="Q41" i="28"/>
  <c r="X33" i="28"/>
  <c r="AF34" i="28"/>
  <c r="AH35" i="28" s="1"/>
  <c r="AJ36" i="28" s="1"/>
  <c r="AL37" i="28" s="1"/>
  <c r="Z31" i="28"/>
  <c r="K31" i="28" s="1"/>
  <c r="AE33" i="28"/>
  <c r="Y33" i="28" l="1"/>
  <c r="H33" i="28"/>
  <c r="S33" i="28" s="1"/>
  <c r="V34" i="28" s="1"/>
  <c r="AG34" i="28"/>
  <c r="AI35" i="28" s="1"/>
  <c r="AK36" i="28" s="1"/>
  <c r="AM37" i="28" s="1"/>
  <c r="I31" i="28"/>
  <c r="P31" i="28" s="1"/>
  <c r="B31" i="28"/>
  <c r="E32" i="28" s="1"/>
  <c r="AA32" i="28"/>
  <c r="M33" i="28"/>
  <c r="T34" i="28"/>
  <c r="G32" i="28" l="1"/>
  <c r="F32" i="28"/>
  <c r="C31" i="28"/>
  <c r="W34" i="28"/>
  <c r="U35" i="28" s="1"/>
  <c r="AB33" i="28"/>
  <c r="AD34" i="28" s="1"/>
  <c r="AC33" i="28"/>
  <c r="D34" i="28" s="1"/>
  <c r="J31" i="28"/>
  <c r="N31" i="28"/>
  <c r="O31" i="28"/>
  <c r="R31" i="28"/>
  <c r="AN38" i="28"/>
  <c r="AO39" i="28" s="1"/>
  <c r="AP40" i="28" s="1"/>
  <c r="AQ41" i="28" s="1"/>
  <c r="L32" i="28" l="1"/>
  <c r="Q42" i="28"/>
  <c r="AE34" i="28"/>
  <c r="M34" i="28" s="1"/>
  <c r="Z32" i="28"/>
  <c r="K32" i="28" s="1"/>
  <c r="X34" i="28"/>
  <c r="AF35" i="28"/>
  <c r="AH36" i="28" s="1"/>
  <c r="AJ37" i="28" s="1"/>
  <c r="AL38" i="28" s="1"/>
  <c r="I32" i="28" l="1"/>
  <c r="P32" i="28" s="1"/>
  <c r="B32" i="28"/>
  <c r="E33" i="28" s="1"/>
  <c r="AA33" i="28"/>
  <c r="Y34" i="28"/>
  <c r="T35" i="28" s="1"/>
  <c r="H34" i="28"/>
  <c r="S34" i="28" s="1"/>
  <c r="V35" i="28" s="1"/>
  <c r="AG35" i="28"/>
  <c r="AI36" i="28" s="1"/>
  <c r="AK37" i="28" s="1"/>
  <c r="AM38" i="28" s="1"/>
  <c r="G33" i="28" l="1"/>
  <c r="C32" i="28"/>
  <c r="W35" i="28"/>
  <c r="U36" i="28" s="1"/>
  <c r="R32" i="28"/>
  <c r="AB34" i="28"/>
  <c r="AD35" i="28" s="1"/>
  <c r="AC34" i="28"/>
  <c r="D35" i="28" s="1"/>
  <c r="J32" i="28"/>
  <c r="N32" i="28"/>
  <c r="O32" i="28"/>
  <c r="AN39" i="28"/>
  <c r="AO40" i="28" s="1"/>
  <c r="AP41" i="28" s="1"/>
  <c r="AQ42" i="28" s="1"/>
  <c r="F33" i="28" l="1"/>
  <c r="L33" i="28"/>
  <c r="Z33" i="28"/>
  <c r="K33" i="28" s="1"/>
  <c r="X35" i="28"/>
  <c r="AF36" i="28"/>
  <c r="AH37" i="28" s="1"/>
  <c r="AJ38" i="28" s="1"/>
  <c r="AL39" i="28" s="1"/>
  <c r="Q43" i="28"/>
  <c r="AE35" i="28"/>
  <c r="M35" i="28" s="1"/>
  <c r="H35" i="28" l="1"/>
  <c r="S35" i="28" s="1"/>
  <c r="V36" i="28" s="1"/>
  <c r="Y35" i="28"/>
  <c r="T36" i="28" s="1"/>
  <c r="AG36" i="28"/>
  <c r="AI37" i="28" s="1"/>
  <c r="AK38" i="28" s="1"/>
  <c r="AM39" i="28" s="1"/>
  <c r="B33" i="28"/>
  <c r="E34" i="28" s="1"/>
  <c r="I33" i="28"/>
  <c r="P33" i="28" s="1"/>
  <c r="AA34" i="28"/>
  <c r="G34" i="28" l="1"/>
  <c r="F34" i="28"/>
  <c r="C33" i="28"/>
  <c r="W36" i="28"/>
  <c r="U37" i="28" s="1"/>
  <c r="AC35" i="28"/>
  <c r="D36" i="28" s="1"/>
  <c r="AB35" i="28"/>
  <c r="AD36" i="28" s="1"/>
  <c r="R33" i="28"/>
  <c r="N33" i="28"/>
  <c r="J33" i="28"/>
  <c r="O33" i="28"/>
  <c r="AN40" i="28"/>
  <c r="AO41" i="28" s="1"/>
  <c r="AP42" i="28" s="1"/>
  <c r="AQ43" i="28" s="1"/>
  <c r="L34" i="28" l="1"/>
  <c r="Q44" i="28"/>
  <c r="X36" i="28"/>
  <c r="AF37" i="28"/>
  <c r="AH38" i="28" s="1"/>
  <c r="AJ39" i="28" s="1"/>
  <c r="AL40" i="28" s="1"/>
  <c r="Z34" i="28"/>
  <c r="K34" i="28" s="1"/>
  <c r="AE36" i="28"/>
  <c r="Y36" i="28" l="1"/>
  <c r="T37" i="28" s="1"/>
  <c r="H36" i="28"/>
  <c r="S36" i="28" s="1"/>
  <c r="V37" i="28" s="1"/>
  <c r="AG37" i="28"/>
  <c r="AI38" i="28" s="1"/>
  <c r="AK39" i="28" s="1"/>
  <c r="AM40" i="28" s="1"/>
  <c r="I34" i="28"/>
  <c r="P34" i="28" s="1"/>
  <c r="B34" i="28"/>
  <c r="E35" i="28" s="1"/>
  <c r="AA35" i="28"/>
  <c r="M36" i="28"/>
  <c r="G35" i="28" l="1"/>
  <c r="F35" i="28"/>
  <c r="W37" i="28"/>
  <c r="U38" i="28" s="1"/>
  <c r="C34" i="28"/>
  <c r="AC36" i="28"/>
  <c r="D37" i="28" s="1"/>
  <c r="AB36" i="28"/>
  <c r="AD37" i="28" s="1"/>
  <c r="J34" i="28"/>
  <c r="N34" i="28"/>
  <c r="O34" i="28"/>
  <c r="R34" i="28"/>
  <c r="AN41" i="28"/>
  <c r="AO42" i="28" s="1"/>
  <c r="AP43" i="28" s="1"/>
  <c r="AQ44" i="28" s="1"/>
  <c r="L35" i="28" l="1"/>
  <c r="Q45" i="28"/>
  <c r="AE37" i="28"/>
  <c r="M37" i="28" s="1"/>
  <c r="X37" i="28"/>
  <c r="AF38" i="28"/>
  <c r="AH39" i="28" s="1"/>
  <c r="AJ40" i="28" s="1"/>
  <c r="AL41" i="28" s="1"/>
  <c r="Z35" i="28"/>
  <c r="K35" i="28" s="1"/>
  <c r="Y37" i="28" l="1"/>
  <c r="T38" i="28" s="1"/>
  <c r="AG38" i="28"/>
  <c r="AI39" i="28" s="1"/>
  <c r="AK40" i="28" s="1"/>
  <c r="AM41" i="28" s="1"/>
  <c r="H37" i="28"/>
  <c r="S37" i="28" s="1"/>
  <c r="V38" i="28" s="1"/>
  <c r="I35" i="28"/>
  <c r="P35" i="28" s="1"/>
  <c r="B35" i="28"/>
  <c r="E36" i="28" s="1"/>
  <c r="AA36" i="28"/>
  <c r="G36" i="28" l="1"/>
  <c r="F36" i="28"/>
  <c r="C35" i="28"/>
  <c r="W38" i="28"/>
  <c r="U39" i="28" s="1"/>
  <c r="N35" i="28"/>
  <c r="J35" i="28"/>
  <c r="O35" i="28"/>
  <c r="R35" i="28"/>
  <c r="AB37" i="28"/>
  <c r="AD38" i="28" s="1"/>
  <c r="AC37" i="28"/>
  <c r="D38" i="28" s="1"/>
  <c r="AN42" i="28"/>
  <c r="AO43" i="28" s="1"/>
  <c r="AP44" i="28" s="1"/>
  <c r="AQ45" i="28" s="1"/>
  <c r="L36" i="28" l="1"/>
  <c r="Q46" i="28"/>
  <c r="X38" i="28"/>
  <c r="AF39" i="28"/>
  <c r="AH40" i="28" s="1"/>
  <c r="AJ41" i="28" s="1"/>
  <c r="AL42" i="28" s="1"/>
  <c r="AE38" i="28"/>
  <c r="Z36" i="28"/>
  <c r="K36" i="28" s="1"/>
  <c r="Y38" i="28" l="1"/>
  <c r="H38" i="28"/>
  <c r="S38" i="28" s="1"/>
  <c r="V39" i="28" s="1"/>
  <c r="AG39" i="28"/>
  <c r="AI40" i="28" s="1"/>
  <c r="AK41" i="28" s="1"/>
  <c r="AM42" i="28" s="1"/>
  <c r="AN43" i="28" s="1"/>
  <c r="AO44" i="28" s="1"/>
  <c r="AP45" i="28" s="1"/>
  <c r="AQ46" i="28" s="1"/>
  <c r="M38" i="28"/>
  <c r="T39" i="28"/>
  <c r="I36" i="28"/>
  <c r="P36" i="28" s="1"/>
  <c r="AA37" i="28"/>
  <c r="B36" i="28"/>
  <c r="E37" i="28" s="1"/>
  <c r="G37" i="28" l="1"/>
  <c r="F37" i="28"/>
  <c r="C36" i="28"/>
  <c r="W39" i="28"/>
  <c r="U40" i="28" s="1"/>
  <c r="Q47" i="28"/>
  <c r="R36" i="28"/>
  <c r="N36" i="28"/>
  <c r="J36" i="28"/>
  <c r="O36" i="28"/>
  <c r="AC38" i="28"/>
  <c r="D39" i="28" s="1"/>
  <c r="AB38" i="28"/>
  <c r="AD39" i="28" s="1"/>
  <c r="L37" i="28" l="1"/>
  <c r="AE39" i="28"/>
  <c r="M39" i="28" s="1"/>
  <c r="AF40" i="28"/>
  <c r="AH41" i="28" s="1"/>
  <c r="AJ42" i="28" s="1"/>
  <c r="AL43" i="28" s="1"/>
  <c r="X39" i="28"/>
  <c r="Z37" i="28" l="1"/>
  <c r="K37" i="28" s="1"/>
  <c r="Y39" i="28"/>
  <c r="T40" i="28" s="1"/>
  <c r="H39" i="28"/>
  <c r="S39" i="28" s="1"/>
  <c r="V40" i="28" s="1"/>
  <c r="AG40" i="28"/>
  <c r="AI41" i="28" s="1"/>
  <c r="AK42" i="28" s="1"/>
  <c r="AM43" i="28" s="1"/>
  <c r="AN44" i="28" s="1"/>
  <c r="AO45" i="28" s="1"/>
  <c r="AP46" i="28" s="1"/>
  <c r="AQ47" i="28" s="1"/>
  <c r="AA38" i="28" l="1"/>
  <c r="B37" i="28"/>
  <c r="E38" i="28" s="1"/>
  <c r="G38" i="28" s="1"/>
  <c r="I37" i="28"/>
  <c r="P37" i="28" s="1"/>
  <c r="W40" i="28"/>
  <c r="U41" i="28" s="1"/>
  <c r="Q48" i="28"/>
  <c r="R37" i="28"/>
  <c r="AC39" i="28"/>
  <c r="D40" i="28" s="1"/>
  <c r="AB39" i="28"/>
  <c r="AD40" i="28" s="1"/>
  <c r="C37" i="28" l="1"/>
  <c r="J37" i="28"/>
  <c r="O37" i="28"/>
  <c r="N37" i="28"/>
  <c r="F38" i="28"/>
  <c r="E26" i="1"/>
  <c r="K17" i="6"/>
  <c r="L38" i="28"/>
  <c r="X40" i="28"/>
  <c r="AF41" i="28"/>
  <c r="AH42" i="28" s="1"/>
  <c r="AJ43" i="28" s="1"/>
  <c r="AL44" i="28" s="1"/>
  <c r="Z38" i="28"/>
  <c r="K38" i="28" s="1"/>
  <c r="AE40" i="28"/>
  <c r="Y40" i="28" l="1"/>
  <c r="H40" i="28"/>
  <c r="S40" i="28" s="1"/>
  <c r="V41" i="28" s="1"/>
  <c r="AG41" i="28"/>
  <c r="AI42" i="28" s="1"/>
  <c r="AK43" i="28" s="1"/>
  <c r="AM44" i="28" s="1"/>
  <c r="I38" i="28"/>
  <c r="P38" i="28" s="1"/>
  <c r="B38" i="28"/>
  <c r="E39" i="28" s="1"/>
  <c r="AA39" i="28"/>
  <c r="T41" i="28"/>
  <c r="M40" i="28"/>
  <c r="G39" i="28" l="1"/>
  <c r="F39" i="28"/>
  <c r="C38" i="28"/>
  <c r="W41" i="28"/>
  <c r="U42" i="28" s="1"/>
  <c r="R38" i="28"/>
  <c r="AC40" i="28"/>
  <c r="D41" i="28" s="1"/>
  <c r="AB40" i="28"/>
  <c r="AD41" i="28" s="1"/>
  <c r="J38" i="28"/>
  <c r="N38" i="28"/>
  <c r="O38" i="28"/>
  <c r="AN45" i="28"/>
  <c r="AO46" i="28" s="1"/>
  <c r="AP47" i="28" s="1"/>
  <c r="AQ48" i="28" s="1"/>
  <c r="L39" i="28" l="1"/>
  <c r="X41" i="28"/>
  <c r="AF42" i="28"/>
  <c r="AH43" i="28" s="1"/>
  <c r="AJ44" i="28" s="1"/>
  <c r="AL45" i="28" s="1"/>
  <c r="AE41" i="28"/>
  <c r="Q49" i="28"/>
  <c r="Z39" i="28"/>
  <c r="K39" i="28" s="1"/>
  <c r="Y41" i="28" l="1"/>
  <c r="T42" i="28" s="1"/>
  <c r="H41" i="28"/>
  <c r="S41" i="28" s="1"/>
  <c r="V42" i="28" s="1"/>
  <c r="AG42" i="28"/>
  <c r="AI43" i="28" s="1"/>
  <c r="AK44" i="28" s="1"/>
  <c r="AM45" i="28" s="1"/>
  <c r="AN46" i="28" s="1"/>
  <c r="AO47" i="28" s="1"/>
  <c r="AP48" i="28" s="1"/>
  <c r="AQ49" i="28" s="1"/>
  <c r="B39" i="28"/>
  <c r="E40" i="28" s="1"/>
  <c r="I39" i="28"/>
  <c r="P39" i="28" s="1"/>
  <c r="AA40" i="28"/>
  <c r="M41" i="28"/>
  <c r="G40" i="28" l="1"/>
  <c r="F40" i="28"/>
  <c r="C39" i="28"/>
  <c r="W42" i="28"/>
  <c r="U43" i="28" s="1"/>
  <c r="J39" i="28"/>
  <c r="N39" i="28"/>
  <c r="O39" i="28"/>
  <c r="R39" i="28"/>
  <c r="Q50" i="28"/>
  <c r="AC41" i="28"/>
  <c r="D42" i="28" s="1"/>
  <c r="AB41" i="28"/>
  <c r="AD42" i="28" s="1"/>
  <c r="L40" i="28" l="1"/>
  <c r="Z40" i="28"/>
  <c r="K40" i="28" s="1"/>
  <c r="X42" i="28"/>
  <c r="AF43" i="28"/>
  <c r="AH44" i="28" s="1"/>
  <c r="AJ45" i="28" s="1"/>
  <c r="AL46" i="28" s="1"/>
  <c r="AE42" i="28"/>
  <c r="M42" i="28" s="1"/>
  <c r="I40" i="28" l="1"/>
  <c r="P40" i="28" s="1"/>
  <c r="B40" i="28"/>
  <c r="E41" i="28" s="1"/>
  <c r="AA41" i="28"/>
  <c r="Y42" i="28"/>
  <c r="T43" i="28" s="1"/>
  <c r="H42" i="28"/>
  <c r="S42" i="28" s="1"/>
  <c r="V43" i="28" s="1"/>
  <c r="AG43" i="28"/>
  <c r="AI44" i="28" s="1"/>
  <c r="AK45" i="28" s="1"/>
  <c r="AM46" i="28" s="1"/>
  <c r="AN47" i="28" s="1"/>
  <c r="AO48" i="28" s="1"/>
  <c r="AP49" i="28" s="1"/>
  <c r="AQ50" i="28" s="1"/>
  <c r="G41" i="28" l="1"/>
  <c r="C40" i="28"/>
  <c r="W43" i="28"/>
  <c r="U44" i="28" s="1"/>
  <c r="Q51" i="28"/>
  <c r="N40" i="28"/>
  <c r="J40" i="28"/>
  <c r="O40" i="28"/>
  <c r="AC42" i="28"/>
  <c r="D43" i="28" s="1"/>
  <c r="AB42" i="28"/>
  <c r="AD43" i="28" s="1"/>
  <c r="R40" i="28"/>
  <c r="F41" i="28" l="1"/>
  <c r="L41" i="28"/>
  <c r="X43" i="28"/>
  <c r="AF44" i="28"/>
  <c r="AH45" i="28" s="1"/>
  <c r="AJ46" i="28" s="1"/>
  <c r="AL47" i="28" s="1"/>
  <c r="AE43" i="28"/>
  <c r="M43" i="28" s="1"/>
  <c r="Z41" i="28" l="1"/>
  <c r="K41" i="28" s="1"/>
  <c r="Y43" i="28"/>
  <c r="T44" i="28" s="1"/>
  <c r="H43" i="28"/>
  <c r="S43" i="28" s="1"/>
  <c r="V44" i="28" s="1"/>
  <c r="AG44" i="28"/>
  <c r="AI45" i="28" s="1"/>
  <c r="AK46" i="28" s="1"/>
  <c r="AM47" i="28" s="1"/>
  <c r="AA42" i="28" l="1"/>
  <c r="AC43" i="28" s="1"/>
  <c r="D44" i="28" s="1"/>
  <c r="B41" i="28"/>
  <c r="E42" i="28" s="1"/>
  <c r="G42" i="28" s="1"/>
  <c r="I41" i="28"/>
  <c r="P41" i="28" s="1"/>
  <c r="W44" i="28"/>
  <c r="U45" i="28" s="1"/>
  <c r="AN48" i="28"/>
  <c r="AO49" i="28" s="1"/>
  <c r="AP50" i="28" s="1"/>
  <c r="AQ51" i="28" s="1"/>
  <c r="N41" i="28" l="1"/>
  <c r="F42" i="28"/>
  <c r="J41" i="28"/>
  <c r="R41" i="28"/>
  <c r="C41" i="28"/>
  <c r="O41" i="28"/>
  <c r="AB43" i="28"/>
  <c r="AD44" i="28" s="1"/>
  <c r="AF45" i="28" s="1"/>
  <c r="AH46" i="28" s="1"/>
  <c r="AJ47" i="28" s="1"/>
  <c r="AL48" i="28" s="1"/>
  <c r="L42" i="28"/>
  <c r="Z42" i="28"/>
  <c r="K42" i="28" s="1"/>
  <c r="AE44" i="28"/>
  <c r="Q52" i="28"/>
  <c r="X44" i="28" l="1"/>
  <c r="H44" i="28"/>
  <c r="S44" i="28" s="1"/>
  <c r="V45" i="28" s="1"/>
  <c r="Y44" i="28"/>
  <c r="T45" i="28" s="1"/>
  <c r="AG45" i="28"/>
  <c r="AI46" i="28" s="1"/>
  <c r="AK47" i="28" s="1"/>
  <c r="AM48" i="28" s="1"/>
  <c r="I42" i="28"/>
  <c r="P42" i="28" s="1"/>
  <c r="B42" i="28"/>
  <c r="E43" i="28" s="1"/>
  <c r="AA43" i="28"/>
  <c r="M44" i="28"/>
  <c r="G43" i="28" l="1"/>
  <c r="F43" i="28"/>
  <c r="C42" i="28"/>
  <c r="W45" i="28"/>
  <c r="U46" i="28" s="1"/>
  <c r="N42" i="28"/>
  <c r="J42" i="28"/>
  <c r="O42" i="28"/>
  <c r="AC44" i="28"/>
  <c r="D45" i="28" s="1"/>
  <c r="AB44" i="28"/>
  <c r="AD45" i="28" s="1"/>
  <c r="R42" i="28"/>
  <c r="AN49" i="28"/>
  <c r="AO50" i="28" s="1"/>
  <c r="AP51" i="28" s="1"/>
  <c r="AQ52" i="28" s="1"/>
  <c r="L43" i="28" l="1"/>
  <c r="Q53" i="28"/>
  <c r="X45" i="28"/>
  <c r="AF46" i="28"/>
  <c r="AH47" i="28" s="1"/>
  <c r="AJ48" i="28" s="1"/>
  <c r="AL49" i="28" s="1"/>
  <c r="AE45" i="28"/>
  <c r="Z43" i="28" l="1"/>
  <c r="K43" i="28" s="1"/>
  <c r="Y45" i="28"/>
  <c r="T46" i="28" s="1"/>
  <c r="AG46" i="28"/>
  <c r="AI47" i="28" s="1"/>
  <c r="AK48" i="28" s="1"/>
  <c r="AM49" i="28" s="1"/>
  <c r="H45" i="28"/>
  <c r="S45" i="28" s="1"/>
  <c r="V46" i="28" s="1"/>
  <c r="M45" i="28"/>
  <c r="AA44" i="28" l="1"/>
  <c r="AB45" i="28" s="1"/>
  <c r="AD46" i="28" s="1"/>
  <c r="B43" i="28"/>
  <c r="E44" i="28" s="1"/>
  <c r="I43" i="28"/>
  <c r="P43" i="28" s="1"/>
  <c r="W46" i="28"/>
  <c r="U47" i="28" s="1"/>
  <c r="AN50" i="28"/>
  <c r="AO51" i="28" s="1"/>
  <c r="AP52" i="28" s="1"/>
  <c r="AQ53" i="28" s="1"/>
  <c r="AC45" i="28" l="1"/>
  <c r="D46" i="28" s="1"/>
  <c r="R43" i="28"/>
  <c r="N43" i="28"/>
  <c r="G44" i="28"/>
  <c r="L44" i="28" s="1"/>
  <c r="F44" i="28"/>
  <c r="C43" i="28"/>
  <c r="J43" i="28"/>
  <c r="O43" i="28"/>
  <c r="AE46" i="28"/>
  <c r="AF47" i="28"/>
  <c r="AH48" i="28" s="1"/>
  <c r="AJ49" i="28" s="1"/>
  <c r="AL50" i="28" s="1"/>
  <c r="X46" i="28"/>
  <c r="Q54" i="28"/>
  <c r="Z44" i="28" l="1"/>
  <c r="K44" i="28" s="1"/>
  <c r="Y46" i="28"/>
  <c r="T47" i="28" s="1"/>
  <c r="H46" i="28"/>
  <c r="S46" i="28" s="1"/>
  <c r="V47" i="28" s="1"/>
  <c r="AG47" i="28"/>
  <c r="AI48" i="28" s="1"/>
  <c r="AK49" i="28" s="1"/>
  <c r="AM50" i="28" s="1"/>
  <c r="M46" i="28"/>
  <c r="AA45" i="28" l="1"/>
  <c r="B44" i="28"/>
  <c r="E45" i="28" s="1"/>
  <c r="G45" i="28" s="1"/>
  <c r="I44" i="28"/>
  <c r="P44" i="28" s="1"/>
  <c r="W47" i="28"/>
  <c r="U48" i="28" s="1"/>
  <c r="AB46" i="28"/>
  <c r="AD47" i="28" s="1"/>
  <c r="AC46" i="28"/>
  <c r="D47" i="28" s="1"/>
  <c r="R44" i="28"/>
  <c r="AN51" i="28"/>
  <c r="AO52" i="28" s="1"/>
  <c r="AP53" i="28" s="1"/>
  <c r="AQ54" i="28" s="1"/>
  <c r="C44" i="28" l="1"/>
  <c r="O44" i="28"/>
  <c r="N44" i="28"/>
  <c r="J44" i="28"/>
  <c r="F45" i="28"/>
  <c r="L45" i="28"/>
  <c r="X47" i="28"/>
  <c r="AF48" i="28"/>
  <c r="AH49" i="28" s="1"/>
  <c r="AJ50" i="28" s="1"/>
  <c r="AL51" i="28" s="1"/>
  <c r="Q55" i="28"/>
  <c r="Z45" i="28"/>
  <c r="K45" i="28" s="1"/>
  <c r="AE47" i="28"/>
  <c r="I45" i="28" l="1"/>
  <c r="P45" i="28" s="1"/>
  <c r="B45" i="28"/>
  <c r="E46" i="28" s="1"/>
  <c r="AA46" i="28"/>
  <c r="Y47" i="28"/>
  <c r="T48" i="28" s="1"/>
  <c r="H47" i="28"/>
  <c r="S47" i="28" s="1"/>
  <c r="V48" i="28" s="1"/>
  <c r="AG48" i="28"/>
  <c r="AI49" i="28" s="1"/>
  <c r="AK50" i="28" s="1"/>
  <c r="AM51" i="28" s="1"/>
  <c r="M47" i="28"/>
  <c r="G46" i="28" l="1"/>
  <c r="F46" i="28"/>
  <c r="C45" i="28"/>
  <c r="W48" i="28"/>
  <c r="U49" i="28" s="1"/>
  <c r="J45" i="28"/>
  <c r="N45" i="28"/>
  <c r="O45" i="28"/>
  <c r="AB47" i="28"/>
  <c r="AD48" i="28" s="1"/>
  <c r="AC47" i="28"/>
  <c r="D48" i="28" s="1"/>
  <c r="R45" i="28"/>
  <c r="AN52" i="28"/>
  <c r="AO53" i="28" s="1"/>
  <c r="AP54" i="28" s="1"/>
  <c r="AQ55" i="28" s="1"/>
  <c r="L46" i="28" l="1"/>
  <c r="Q56" i="28"/>
  <c r="Z46" i="28"/>
  <c r="K46" i="28" s="1"/>
  <c r="AE48" i="28"/>
  <c r="M48" i="28" s="1"/>
  <c r="X48" i="28"/>
  <c r="AF49" i="28"/>
  <c r="AH50" i="28" s="1"/>
  <c r="AJ51" i="28" s="1"/>
  <c r="AL52" i="28" s="1"/>
  <c r="I46" i="28" l="1"/>
  <c r="P46" i="28" s="1"/>
  <c r="B46" i="28"/>
  <c r="E47" i="28" s="1"/>
  <c r="AA47" i="28"/>
  <c r="Y48" i="28"/>
  <c r="T49" i="28" s="1"/>
  <c r="H48" i="28"/>
  <c r="S48" i="28" s="1"/>
  <c r="V49" i="28" s="1"/>
  <c r="AG49" i="28"/>
  <c r="AI50" i="28" s="1"/>
  <c r="AK51" i="28" s="1"/>
  <c r="AM52" i="28" s="1"/>
  <c r="AN53" i="28" s="1"/>
  <c r="AO54" i="28" s="1"/>
  <c r="AP55" i="28" s="1"/>
  <c r="AQ56" i="28" s="1"/>
  <c r="G47" i="28" l="1"/>
  <c r="F47" i="28"/>
  <c r="C46" i="28"/>
  <c r="W49" i="28"/>
  <c r="U50" i="28" s="1"/>
  <c r="AC48" i="28"/>
  <c r="D49" i="28" s="1"/>
  <c r="AB48" i="28"/>
  <c r="AD49" i="28" s="1"/>
  <c r="Q57" i="28"/>
  <c r="J46" i="28"/>
  <c r="N46" i="28"/>
  <c r="O46" i="28"/>
  <c r="R46" i="28"/>
  <c r="L47" i="28" l="1"/>
  <c r="X49" i="28"/>
  <c r="AF50" i="28"/>
  <c r="AH51" i="28" s="1"/>
  <c r="AJ52" i="28" s="1"/>
  <c r="AL53" i="28" s="1"/>
  <c r="Z47" i="28"/>
  <c r="K47" i="28" s="1"/>
  <c r="AE49" i="28"/>
  <c r="I47" i="28" l="1"/>
  <c r="P47" i="28" s="1"/>
  <c r="B47" i="28"/>
  <c r="E48" i="28" s="1"/>
  <c r="AA48" i="28"/>
  <c r="Y49" i="28"/>
  <c r="T50" i="28" s="1"/>
  <c r="H49" i="28"/>
  <c r="S49" i="28" s="1"/>
  <c r="V50" i="28" s="1"/>
  <c r="AG50" i="28"/>
  <c r="AI51" i="28" s="1"/>
  <c r="AK52" i="28" s="1"/>
  <c r="AM53" i="28" s="1"/>
  <c r="AN54" i="28" s="1"/>
  <c r="AO55" i="28" s="1"/>
  <c r="AP56" i="28" s="1"/>
  <c r="AQ57" i="28" s="1"/>
  <c r="M49" i="28"/>
  <c r="G48" i="28" l="1"/>
  <c r="C47" i="28"/>
  <c r="W50" i="28"/>
  <c r="U51" i="28" s="1"/>
  <c r="Q58" i="28"/>
  <c r="J47" i="28"/>
  <c r="N47" i="28"/>
  <c r="O47" i="28"/>
  <c r="AB49" i="28"/>
  <c r="AD50" i="28" s="1"/>
  <c r="AC49" i="28"/>
  <c r="D50" i="28" s="1"/>
  <c r="R47" i="28"/>
  <c r="F48" i="28" l="1"/>
  <c r="L48" i="28"/>
  <c r="X50" i="28"/>
  <c r="AF51" i="28"/>
  <c r="AH52" i="28" s="1"/>
  <c r="AJ53" i="28" s="1"/>
  <c r="AL54" i="28" s="1"/>
  <c r="AE50" i="28"/>
  <c r="Z48" i="28" l="1"/>
  <c r="K48" i="28" s="1"/>
  <c r="I48" i="28"/>
  <c r="P48" i="28" s="1"/>
  <c r="AA49" i="28"/>
  <c r="Y50" i="28"/>
  <c r="T51" i="28" s="1"/>
  <c r="H50" i="28"/>
  <c r="S50" i="28" s="1"/>
  <c r="V51" i="28" s="1"/>
  <c r="AG51" i="28"/>
  <c r="AI52" i="28" s="1"/>
  <c r="AK53" i="28" s="1"/>
  <c r="AM54" i="28" s="1"/>
  <c r="AN55" i="28" s="1"/>
  <c r="AO56" i="28" s="1"/>
  <c r="AP57" i="28" s="1"/>
  <c r="AQ58" i="28" s="1"/>
  <c r="M50" i="28"/>
  <c r="B48" i="28" l="1"/>
  <c r="E49" i="28" s="1"/>
  <c r="W51" i="28"/>
  <c r="U52" i="28" s="1"/>
  <c r="Q59" i="28"/>
  <c r="AC50" i="28"/>
  <c r="D51" i="28" s="1"/>
  <c r="AB50" i="28"/>
  <c r="AD51" i="28" s="1"/>
  <c r="J48" i="28"/>
  <c r="C48" i="28" l="1"/>
  <c r="G49" i="28"/>
  <c r="L49" i="28" s="1"/>
  <c r="N48" i="28"/>
  <c r="R48" i="28"/>
  <c r="O48" i="28"/>
  <c r="X51" i="28"/>
  <c r="AF52" i="28"/>
  <c r="AH53" i="28" s="1"/>
  <c r="AJ54" i="28" s="1"/>
  <c r="AL55" i="28" s="1"/>
  <c r="AE51" i="28"/>
  <c r="M51" i="28" s="1"/>
  <c r="F49" i="28" l="1"/>
  <c r="Z49" i="28"/>
  <c r="K49" i="28" s="1"/>
  <c r="Y51" i="28"/>
  <c r="T52" i="28" s="1"/>
  <c r="H51" i="28"/>
  <c r="S51" i="28" s="1"/>
  <c r="V52" i="28" s="1"/>
  <c r="AG52" i="28"/>
  <c r="AI53" i="28" s="1"/>
  <c r="AK54" i="28" s="1"/>
  <c r="AM55" i="28" s="1"/>
  <c r="AA50" i="28" l="1"/>
  <c r="AC51" i="28" s="1"/>
  <c r="D52" i="28" s="1"/>
  <c r="B49" i="28"/>
  <c r="E50" i="28" s="1"/>
  <c r="I49" i="28"/>
  <c r="P49" i="28" s="1"/>
  <c r="W52" i="28"/>
  <c r="U53" i="28" s="1"/>
  <c r="AN56" i="28"/>
  <c r="AO57" i="28" s="1"/>
  <c r="AP58" i="28" s="1"/>
  <c r="AQ59" i="28" s="1"/>
  <c r="AB51" i="28"/>
  <c r="AD52" i="28" s="1"/>
  <c r="J49" i="28" l="1"/>
  <c r="F50" i="28"/>
  <c r="R49" i="28"/>
  <c r="G50" i="28"/>
  <c r="Z50" i="28" s="1"/>
  <c r="K50" i="28" s="1"/>
  <c r="C49" i="28"/>
  <c r="N49" i="28"/>
  <c r="O49" i="28"/>
  <c r="X52" i="28"/>
  <c r="AF53" i="28"/>
  <c r="AH54" i="28" s="1"/>
  <c r="AJ55" i="28" s="1"/>
  <c r="AL56" i="28" s="1"/>
  <c r="AE52" i="28"/>
  <c r="M52" i="28" s="1"/>
  <c r="Q60" i="28"/>
  <c r="L50" i="28" l="1"/>
  <c r="I50" i="28"/>
  <c r="P50" i="28" s="1"/>
  <c r="B50" i="28"/>
  <c r="E51" i="28" s="1"/>
  <c r="AA51" i="28"/>
  <c r="H52" i="28"/>
  <c r="S52" i="28" s="1"/>
  <c r="V53" i="28" s="1"/>
  <c r="Y52" i="28"/>
  <c r="T53" i="28" s="1"/>
  <c r="AG53" i="28"/>
  <c r="AI54" i="28" s="1"/>
  <c r="AK55" i="28" s="1"/>
  <c r="AM56" i="28" s="1"/>
  <c r="AN57" i="28" s="1"/>
  <c r="AO58" i="28" s="1"/>
  <c r="AP59" i="28" s="1"/>
  <c r="AQ60" i="28" s="1"/>
  <c r="G51" i="28" l="1"/>
  <c r="F51" i="28"/>
  <c r="C50" i="28"/>
  <c r="W53" i="28"/>
  <c r="U54" i="28" s="1"/>
  <c r="Q61" i="28"/>
  <c r="N50" i="28"/>
  <c r="J50" i="28"/>
  <c r="O50" i="28"/>
  <c r="AC52" i="28"/>
  <c r="D53" i="28" s="1"/>
  <c r="AB52" i="28"/>
  <c r="AD53" i="28" s="1"/>
  <c r="R50" i="28"/>
  <c r="L51" i="28" l="1"/>
  <c r="X53" i="28"/>
  <c r="AF54" i="28"/>
  <c r="AH55" i="28" s="1"/>
  <c r="AJ56" i="28" s="1"/>
  <c r="AL57" i="28" s="1"/>
  <c r="AE53" i="28"/>
  <c r="M53" i="28" s="1"/>
  <c r="Z51" i="28" l="1"/>
  <c r="K51" i="28" s="1"/>
  <c r="Y53" i="28"/>
  <c r="H53" i="28"/>
  <c r="S53" i="28" s="1"/>
  <c r="V54" i="28" s="1"/>
  <c r="AG54" i="28"/>
  <c r="AI55" i="28" s="1"/>
  <c r="AK56" i="28" s="1"/>
  <c r="AM57" i="28" s="1"/>
  <c r="AN58" i="28" s="1"/>
  <c r="AO59" i="28" s="1"/>
  <c r="AP60" i="28" s="1"/>
  <c r="AQ61" i="28" s="1"/>
  <c r="T54" i="28"/>
  <c r="I51" i="28" l="1"/>
  <c r="P51" i="28" s="1"/>
  <c r="B51" i="28"/>
  <c r="E52" i="28" s="1"/>
  <c r="G52" i="28" s="1"/>
  <c r="AA52" i="28"/>
  <c r="AB53" i="28" s="1"/>
  <c r="AD54" i="28" s="1"/>
  <c r="Q62" i="28"/>
  <c r="W54" i="28"/>
  <c r="R51" i="28" l="1"/>
  <c r="F52" i="28"/>
  <c r="C51" i="28"/>
  <c r="J51" i="28"/>
  <c r="O51" i="28"/>
  <c r="N51" i="28"/>
  <c r="AC53" i="28"/>
  <c r="D54" i="28" s="1"/>
  <c r="L52" i="28"/>
  <c r="X54" i="28"/>
  <c r="AF55" i="28"/>
  <c r="AH56" i="28" s="1"/>
  <c r="AJ57" i="28" s="1"/>
  <c r="AL58" i="28" s="1"/>
  <c r="U55" i="28"/>
  <c r="Z52" i="28"/>
  <c r="K52" i="28" s="1"/>
  <c r="AE54" i="28" l="1"/>
  <c r="I52" i="28"/>
  <c r="P52" i="28" s="1"/>
  <c r="B52" i="28"/>
  <c r="E53" i="28" s="1"/>
  <c r="AA53" i="28"/>
  <c r="Y54" i="28"/>
  <c r="T55" i="28" s="1"/>
  <c r="H54" i="28"/>
  <c r="S54" i="28" s="1"/>
  <c r="V55" i="28" s="1"/>
  <c r="AG55" i="28"/>
  <c r="AI56" i="28" s="1"/>
  <c r="AK57" i="28" s="1"/>
  <c r="AM58" i="28" s="1"/>
  <c r="AN59" i="28" s="1"/>
  <c r="AO60" i="28" s="1"/>
  <c r="AP61" i="28" s="1"/>
  <c r="AQ62" i="28" s="1"/>
  <c r="M54" i="28"/>
  <c r="G53" i="28" l="1"/>
  <c r="F53" i="28"/>
  <c r="C52" i="28"/>
  <c r="W55" i="28"/>
  <c r="U56" i="28" s="1"/>
  <c r="R52" i="28"/>
  <c r="Q63" i="28"/>
  <c r="N52" i="28"/>
  <c r="J52" i="28"/>
  <c r="O52" i="28"/>
  <c r="AC54" i="28"/>
  <c r="D55" i="28" s="1"/>
  <c r="AB54" i="28"/>
  <c r="AD55" i="28" s="1"/>
  <c r="L53" i="28" l="1"/>
  <c r="Z53" i="28"/>
  <c r="K53" i="28" s="1"/>
  <c r="X55" i="28"/>
  <c r="AF56" i="28"/>
  <c r="AH57" i="28" s="1"/>
  <c r="AJ58" i="28" s="1"/>
  <c r="AL59" i="28" s="1"/>
  <c r="AE55" i="28"/>
  <c r="H55" i="28" l="1"/>
  <c r="S55" i="28" s="1"/>
  <c r="V56" i="28" s="1"/>
  <c r="Y55" i="28"/>
  <c r="T56" i="28" s="1"/>
  <c r="AG56" i="28"/>
  <c r="AI57" i="28" s="1"/>
  <c r="AK58" i="28" s="1"/>
  <c r="AM59" i="28" s="1"/>
  <c r="AN60" i="28" s="1"/>
  <c r="AO61" i="28" s="1"/>
  <c r="AP62" i="28" s="1"/>
  <c r="AQ63" i="28" s="1"/>
  <c r="I53" i="28"/>
  <c r="P53" i="28" s="1"/>
  <c r="B53" i="28"/>
  <c r="E54" i="28" s="1"/>
  <c r="AA54" i="28"/>
  <c r="M55" i="28"/>
  <c r="G54" i="28" l="1"/>
  <c r="F54" i="28"/>
  <c r="C53" i="28"/>
  <c r="W56" i="28"/>
  <c r="U57" i="28" s="1"/>
  <c r="Q64" i="28"/>
  <c r="R53" i="28"/>
  <c r="J53" i="28"/>
  <c r="N53" i="28"/>
  <c r="O53" i="28"/>
  <c r="AC55" i="28"/>
  <c r="D56" i="28" s="1"/>
  <c r="AB55" i="28"/>
  <c r="AD56" i="28" s="1"/>
  <c r="L54" i="28" l="1"/>
  <c r="X56" i="28"/>
  <c r="AF57" i="28"/>
  <c r="AH58" i="28" s="1"/>
  <c r="AJ59" i="28" s="1"/>
  <c r="AL60" i="28" s="1"/>
  <c r="AE56" i="28"/>
  <c r="Z54" i="28"/>
  <c r="K54" i="28" s="1"/>
  <c r="I54" i="28" l="1"/>
  <c r="P54" i="28" s="1"/>
  <c r="B54" i="28"/>
  <c r="E55" i="28" s="1"/>
  <c r="AA55" i="28"/>
  <c r="H56" i="28"/>
  <c r="S56" i="28" s="1"/>
  <c r="V57" i="28" s="1"/>
  <c r="Y56" i="28"/>
  <c r="T57" i="28" s="1"/>
  <c r="AG57" i="28"/>
  <c r="AI58" i="28" s="1"/>
  <c r="AK59" i="28" s="1"/>
  <c r="AM60" i="28" s="1"/>
  <c r="M56" i="28"/>
  <c r="G55" i="28" l="1"/>
  <c r="F55" i="28"/>
  <c r="C54" i="28"/>
  <c r="W57" i="28"/>
  <c r="U58" i="28" s="1"/>
  <c r="J54" i="28"/>
  <c r="N54" i="28"/>
  <c r="O54" i="28"/>
  <c r="AN61" i="28"/>
  <c r="AO62" i="28" s="1"/>
  <c r="AP63" i="28" s="1"/>
  <c r="AQ64" i="28" s="1"/>
  <c r="AB56" i="28"/>
  <c r="AD57" i="28" s="1"/>
  <c r="AC56" i="28"/>
  <c r="D57" i="28" s="1"/>
  <c r="R54" i="28"/>
  <c r="L55" i="28" l="1"/>
  <c r="X57" i="28"/>
  <c r="AF58" i="28"/>
  <c r="AH59" i="28" s="1"/>
  <c r="AJ60" i="28" s="1"/>
  <c r="AL61" i="28" s="1"/>
  <c r="Z55" i="28"/>
  <c r="K55" i="28" s="1"/>
  <c r="AE57" i="28"/>
  <c r="Q65" i="28"/>
  <c r="Y57" i="28" l="1"/>
  <c r="H57" i="28"/>
  <c r="S57" i="28" s="1"/>
  <c r="V58" i="28" s="1"/>
  <c r="AG58" i="28"/>
  <c r="AI59" i="28" s="1"/>
  <c r="AK60" i="28" s="1"/>
  <c r="AM61" i="28" s="1"/>
  <c r="T58" i="28"/>
  <c r="I55" i="28"/>
  <c r="P55" i="28" s="1"/>
  <c r="B55" i="28"/>
  <c r="E56" i="28" s="1"/>
  <c r="AA56" i="28"/>
  <c r="M57" i="28"/>
  <c r="G56" i="28" l="1"/>
  <c r="F56" i="28"/>
  <c r="C55" i="28"/>
  <c r="W58" i="28"/>
  <c r="U59" i="28" s="1"/>
  <c r="N55" i="28"/>
  <c r="J55" i="28"/>
  <c r="O55" i="28"/>
  <c r="R55" i="28"/>
  <c r="AB57" i="28"/>
  <c r="AD58" i="28" s="1"/>
  <c r="AC57" i="28"/>
  <c r="D58" i="28" s="1"/>
  <c r="AN62" i="28"/>
  <c r="AO63" i="28" s="1"/>
  <c r="AP64" i="28" s="1"/>
  <c r="AQ65" i="28" s="1"/>
  <c r="L56" i="28" l="1"/>
  <c r="Q66" i="28"/>
  <c r="AE58" i="28"/>
  <c r="M58" i="28" s="1"/>
  <c r="X58" i="28"/>
  <c r="AF59" i="28"/>
  <c r="AH60" i="28" s="1"/>
  <c r="AJ61" i="28" s="1"/>
  <c r="AL62" i="28" s="1"/>
  <c r="Z56" i="28" l="1"/>
  <c r="K56" i="28" s="1"/>
  <c r="H58" i="28"/>
  <c r="S58" i="28" s="1"/>
  <c r="V59" i="28" s="1"/>
  <c r="Y58" i="28"/>
  <c r="T59" i="28" s="1"/>
  <c r="AG59" i="28"/>
  <c r="AI60" i="28" s="1"/>
  <c r="AK61" i="28" s="1"/>
  <c r="AM62" i="28" s="1"/>
  <c r="I56" i="28"/>
  <c r="P56" i="28" s="1"/>
  <c r="B56" i="28"/>
  <c r="E57" i="28" s="1"/>
  <c r="AA57" i="28"/>
  <c r="G57" i="28" l="1"/>
  <c r="C56" i="28"/>
  <c r="W59" i="28"/>
  <c r="U60" i="28" s="1"/>
  <c r="N56" i="28"/>
  <c r="J56" i="28"/>
  <c r="O56" i="28"/>
  <c r="R56" i="28"/>
  <c r="AB58" i="28"/>
  <c r="AD59" i="28" s="1"/>
  <c r="AC58" i="28"/>
  <c r="D59" i="28" s="1"/>
  <c r="AN63" i="28"/>
  <c r="AO64" i="28" s="1"/>
  <c r="AP65" i="28" s="1"/>
  <c r="AQ66" i="28" s="1"/>
  <c r="F57" i="28" l="1"/>
  <c r="L57" i="28"/>
  <c r="AE59" i="28"/>
  <c r="X59" i="28"/>
  <c r="AF60" i="28"/>
  <c r="AH61" i="28" s="1"/>
  <c r="AJ62" i="28" s="1"/>
  <c r="AL63" i="28" s="1"/>
  <c r="Q67" i="28"/>
  <c r="Z57" i="28"/>
  <c r="K57" i="28" s="1"/>
  <c r="H59" i="28" l="1"/>
  <c r="S59" i="28" s="1"/>
  <c r="V60" i="28" s="1"/>
  <c r="Y59" i="28"/>
  <c r="T60" i="28" s="1"/>
  <c r="AG60" i="28"/>
  <c r="AI61" i="28" s="1"/>
  <c r="AK62" i="28" s="1"/>
  <c r="AM63" i="28" s="1"/>
  <c r="AN64" i="28" s="1"/>
  <c r="AO65" i="28" s="1"/>
  <c r="AP66" i="28" s="1"/>
  <c r="AQ67" i="28" s="1"/>
  <c r="M59" i="28"/>
  <c r="I57" i="28"/>
  <c r="P57" i="28" s="1"/>
  <c r="B57" i="28"/>
  <c r="E58" i="28" s="1"/>
  <c r="AA58" i="28"/>
  <c r="G58" i="28" l="1"/>
  <c r="F58" i="28"/>
  <c r="C57" i="28"/>
  <c r="W60" i="28"/>
  <c r="U61" i="28" s="1"/>
  <c r="J57" i="28"/>
  <c r="N57" i="28"/>
  <c r="O57" i="28"/>
  <c r="Q68" i="28"/>
  <c r="AC59" i="28"/>
  <c r="D60" i="28" s="1"/>
  <c r="AB59" i="28"/>
  <c r="AD60" i="28" s="1"/>
  <c r="R57" i="28"/>
  <c r="L58" i="28" l="1"/>
  <c r="Z58" i="28"/>
  <c r="K58" i="28" s="1"/>
  <c r="X60" i="28"/>
  <c r="AF61" i="28"/>
  <c r="AH62" i="28" s="1"/>
  <c r="AJ63" i="28" s="1"/>
  <c r="AL64" i="28" s="1"/>
  <c r="AE60" i="28"/>
  <c r="Y60" i="28" l="1"/>
  <c r="T61" i="28" s="1"/>
  <c r="H60" i="28"/>
  <c r="S60" i="28" s="1"/>
  <c r="V61" i="28" s="1"/>
  <c r="AG61" i="28"/>
  <c r="AI62" i="28" s="1"/>
  <c r="AK63" i="28" s="1"/>
  <c r="AM64" i="28" s="1"/>
  <c r="I58" i="28"/>
  <c r="P58" i="28" s="1"/>
  <c r="B58" i="28"/>
  <c r="E59" i="28" s="1"/>
  <c r="AA59" i="28"/>
  <c r="M60" i="28"/>
  <c r="G59" i="28" l="1"/>
  <c r="C58" i="28"/>
  <c r="W61" i="28"/>
  <c r="U62" i="28" s="1"/>
  <c r="J58" i="28"/>
  <c r="N58" i="28"/>
  <c r="O58" i="28"/>
  <c r="R58" i="28"/>
  <c r="AB60" i="28"/>
  <c r="AD61" i="28" s="1"/>
  <c r="AC60" i="28"/>
  <c r="D61" i="28" s="1"/>
  <c r="AN65" i="28"/>
  <c r="AO66" i="28" s="1"/>
  <c r="AP67" i="28" s="1"/>
  <c r="AQ68" i="28" s="1"/>
  <c r="F59" i="28" l="1"/>
  <c r="L59" i="28"/>
  <c r="AE61" i="28"/>
  <c r="M61" i="28" s="1"/>
  <c r="Q69" i="28"/>
  <c r="X61" i="28"/>
  <c r="AF62" i="28"/>
  <c r="AH63" i="28" s="1"/>
  <c r="AJ64" i="28" s="1"/>
  <c r="AL65" i="28" s="1"/>
  <c r="Z59" i="28"/>
  <c r="K59" i="28" s="1"/>
  <c r="Y61" i="28" l="1"/>
  <c r="T62" i="28" s="1"/>
  <c r="H61" i="28"/>
  <c r="S61" i="28" s="1"/>
  <c r="V62" i="28" s="1"/>
  <c r="AG62" i="28"/>
  <c r="AI63" i="28" s="1"/>
  <c r="AK64" i="28" s="1"/>
  <c r="AM65" i="28" s="1"/>
  <c r="AN66" i="28" s="1"/>
  <c r="AO67" i="28" s="1"/>
  <c r="AP68" i="28" s="1"/>
  <c r="AQ69" i="28" s="1"/>
  <c r="B59" i="28"/>
  <c r="E60" i="28" s="1"/>
  <c r="I59" i="28"/>
  <c r="P59" i="28" s="1"/>
  <c r="AA60" i="28"/>
  <c r="J16" i="6" l="1"/>
  <c r="D25" i="1"/>
  <c r="G60" i="28"/>
  <c r="F60" i="28"/>
  <c r="C59" i="28"/>
  <c r="W62" i="28"/>
  <c r="U63" i="28" s="1"/>
  <c r="N59" i="28"/>
  <c r="J59" i="28"/>
  <c r="O59" i="28"/>
  <c r="R59" i="28"/>
  <c r="Q70" i="28"/>
  <c r="AC61" i="28"/>
  <c r="D62" i="28" s="1"/>
  <c r="AB61" i="28"/>
  <c r="AD62" i="28" s="1"/>
  <c r="D26" i="1" l="1"/>
  <c r="J17" i="6"/>
  <c r="J18" i="6" s="1"/>
  <c r="L60" i="28"/>
  <c r="X62" i="28"/>
  <c r="AF63" i="28"/>
  <c r="AH64" i="28" s="1"/>
  <c r="AJ65" i="28" s="1"/>
  <c r="AL66" i="28" s="1"/>
  <c r="Z60" i="28"/>
  <c r="K60" i="28" s="1"/>
  <c r="AE62" i="28"/>
  <c r="I60" i="28" l="1"/>
  <c r="P60" i="28" s="1"/>
  <c r="B60" i="28"/>
  <c r="E61" i="28" s="1"/>
  <c r="AA61" i="28"/>
  <c r="Y62" i="28"/>
  <c r="T63" i="28" s="1"/>
  <c r="H62" i="28"/>
  <c r="S62" i="28" s="1"/>
  <c r="V63" i="28" s="1"/>
  <c r="AG63" i="28"/>
  <c r="AI64" i="28" s="1"/>
  <c r="AK65" i="28" s="1"/>
  <c r="AM66" i="28" s="1"/>
  <c r="M62" i="28"/>
  <c r="G61" i="28" l="1"/>
  <c r="F61" i="28"/>
  <c r="C60" i="28"/>
  <c r="W63" i="28"/>
  <c r="U64" i="28" s="1"/>
  <c r="AN67" i="28"/>
  <c r="AO68" i="28" s="1"/>
  <c r="AP69" i="28" s="1"/>
  <c r="AQ70" i="28" s="1"/>
  <c r="N60" i="28"/>
  <c r="J60" i="28"/>
  <c r="O60" i="28"/>
  <c r="AC62" i="28"/>
  <c r="D63" i="28" s="1"/>
  <c r="AB62" i="28"/>
  <c r="AD63" i="28" s="1"/>
  <c r="R60" i="28"/>
  <c r="L61" i="28" l="1"/>
  <c r="Q71" i="28"/>
  <c r="X63" i="28"/>
  <c r="AF64" i="28"/>
  <c r="AH65" i="28" s="1"/>
  <c r="AJ66" i="28" s="1"/>
  <c r="AL67" i="28" s="1"/>
  <c r="AE63" i="28"/>
  <c r="Z61" i="28" l="1"/>
  <c r="K61" i="28" s="1"/>
  <c r="Y63" i="28"/>
  <c r="T64" i="28" s="1"/>
  <c r="H63" i="28"/>
  <c r="S63" i="28" s="1"/>
  <c r="V64" i="28" s="1"/>
  <c r="AG64" i="28"/>
  <c r="AI65" i="28" s="1"/>
  <c r="AK66" i="28" s="1"/>
  <c r="AM67" i="28" s="1"/>
  <c r="AN68" i="28" s="1"/>
  <c r="AO69" i="28" s="1"/>
  <c r="AP70" i="28" s="1"/>
  <c r="AQ71" i="28" s="1"/>
  <c r="I61" i="28"/>
  <c r="P61" i="28" s="1"/>
  <c r="B61" i="28"/>
  <c r="E62" i="28" s="1"/>
  <c r="AA62" i="28"/>
  <c r="M63" i="28"/>
  <c r="G62" i="28" l="1"/>
  <c r="F62" i="28"/>
  <c r="C61" i="28"/>
  <c r="Q72" i="28"/>
  <c r="R61" i="28"/>
  <c r="AB63" i="28"/>
  <c r="AD64" i="28" s="1"/>
  <c r="AC63" i="28"/>
  <c r="D64" i="28" s="1"/>
  <c r="N61" i="28"/>
  <c r="J61" i="28"/>
  <c r="O61" i="28"/>
  <c r="W64" i="28"/>
  <c r="L62" i="28" l="1"/>
  <c r="AE64" i="28"/>
  <c r="M64" i="28" s="1"/>
  <c r="X64" i="28"/>
  <c r="AF65" i="28"/>
  <c r="AH66" i="28" s="1"/>
  <c r="AJ67" i="28" s="1"/>
  <c r="AL68" i="28" s="1"/>
  <c r="U65" i="28"/>
  <c r="Z62" i="28"/>
  <c r="K62" i="28" s="1"/>
  <c r="I62" i="28" l="1"/>
  <c r="P62" i="28" s="1"/>
  <c r="B62" i="28"/>
  <c r="E63" i="28" s="1"/>
  <c r="AA63" i="28"/>
  <c r="Y64" i="28"/>
  <c r="T65" i="28" s="1"/>
  <c r="H64" i="28"/>
  <c r="S64" i="28" s="1"/>
  <c r="V65" i="28" s="1"/>
  <c r="AG65" i="28"/>
  <c r="AI66" i="28" s="1"/>
  <c r="AK67" i="28" s="1"/>
  <c r="AM68" i="28" s="1"/>
  <c r="G63" i="28" l="1"/>
  <c r="F63" i="28"/>
  <c r="C62" i="28"/>
  <c r="W65" i="28"/>
  <c r="U66" i="28" s="1"/>
  <c r="AC64" i="28"/>
  <c r="D65" i="28" s="1"/>
  <c r="AB64" i="28"/>
  <c r="AD65" i="28" s="1"/>
  <c r="R62" i="28"/>
  <c r="N62" i="28"/>
  <c r="J62" i="28"/>
  <c r="O62" i="28"/>
  <c r="AN69" i="28"/>
  <c r="AO70" i="28" s="1"/>
  <c r="AP71" i="28" s="1"/>
  <c r="AQ72" i="28" s="1"/>
  <c r="L63" i="28" l="1"/>
  <c r="Q73" i="28"/>
  <c r="X65" i="28"/>
  <c r="AF66" i="28"/>
  <c r="AH67" i="28" s="1"/>
  <c r="AJ68" i="28" s="1"/>
  <c r="AL69" i="28" s="1"/>
  <c r="AE65" i="28"/>
  <c r="Z63" i="28"/>
  <c r="K63" i="28" s="1"/>
  <c r="H65" i="28" l="1"/>
  <c r="S65" i="28" s="1"/>
  <c r="V66" i="28" s="1"/>
  <c r="Y65" i="28"/>
  <c r="T66" i="28" s="1"/>
  <c r="AG66" i="28"/>
  <c r="AI67" i="28" s="1"/>
  <c r="AK68" i="28" s="1"/>
  <c r="AM69" i="28" s="1"/>
  <c r="M65" i="28"/>
  <c r="I63" i="28"/>
  <c r="P63" i="28" s="1"/>
  <c r="B63" i="28"/>
  <c r="E64" i="28" s="1"/>
  <c r="AA64" i="28"/>
  <c r="G64" i="28" l="1"/>
  <c r="F64" i="28"/>
  <c r="C63" i="28"/>
  <c r="W66" i="28"/>
  <c r="U67" i="28" s="1"/>
  <c r="J63" i="28"/>
  <c r="N63" i="28"/>
  <c r="O63" i="28"/>
  <c r="AB65" i="28"/>
  <c r="AD66" i="28" s="1"/>
  <c r="AC65" i="28"/>
  <c r="D66" i="28" s="1"/>
  <c r="R63" i="28"/>
  <c r="AN70" i="28"/>
  <c r="AO71" i="28" s="1"/>
  <c r="AP72" i="28" s="1"/>
  <c r="AQ73" i="28" s="1"/>
  <c r="L64" i="28" l="1"/>
  <c r="Q74" i="28"/>
  <c r="Z64" i="28"/>
  <c r="K64" i="28" s="1"/>
  <c r="AE66" i="28"/>
  <c r="M66" i="28" s="1"/>
  <c r="X66" i="28"/>
  <c r="AF67" i="28"/>
  <c r="AH68" i="28" s="1"/>
  <c r="AJ69" i="28" s="1"/>
  <c r="AL70" i="28" s="1"/>
  <c r="I64" i="28" l="1"/>
  <c r="P64" i="28" s="1"/>
  <c r="B64" i="28"/>
  <c r="E65" i="28" s="1"/>
  <c r="AA65" i="28"/>
  <c r="Y66" i="28"/>
  <c r="T67" i="28" s="1"/>
  <c r="H66" i="28"/>
  <c r="S66" i="28" s="1"/>
  <c r="V67" i="28" s="1"/>
  <c r="AG67" i="28"/>
  <c r="AI68" i="28" s="1"/>
  <c r="AK69" i="28" s="1"/>
  <c r="AM70" i="28" s="1"/>
  <c r="G65" i="28" l="1"/>
  <c r="C64" i="28"/>
  <c r="W67" i="28"/>
  <c r="U68" i="28" s="1"/>
  <c r="AC66" i="28"/>
  <c r="D67" i="28" s="1"/>
  <c r="AB66" i="28"/>
  <c r="AD67" i="28" s="1"/>
  <c r="N64" i="28"/>
  <c r="J64" i="28"/>
  <c r="O64" i="28"/>
  <c r="R64" i="28"/>
  <c r="AN71" i="28"/>
  <c r="AO72" i="28" s="1"/>
  <c r="AP73" i="28" s="1"/>
  <c r="AQ74" i="28" s="1"/>
  <c r="F65" i="28" l="1"/>
  <c r="L65" i="28"/>
  <c r="X67" i="28"/>
  <c r="AF68" i="28"/>
  <c r="AH69" i="28" s="1"/>
  <c r="AJ70" i="28" s="1"/>
  <c r="AL71" i="28" s="1"/>
  <c r="AE67" i="28"/>
  <c r="Q75" i="28"/>
  <c r="Z65" i="28" l="1"/>
  <c r="K65" i="28" s="1"/>
  <c r="Y67" i="28"/>
  <c r="T68" i="28" s="1"/>
  <c r="H67" i="28"/>
  <c r="S67" i="28" s="1"/>
  <c r="V68" i="28" s="1"/>
  <c r="AG68" i="28"/>
  <c r="AI69" i="28" s="1"/>
  <c r="AK70" i="28" s="1"/>
  <c r="AM71" i="28" s="1"/>
  <c r="AN72" i="28" s="1"/>
  <c r="AO73" i="28" s="1"/>
  <c r="AP74" i="28" s="1"/>
  <c r="AQ75" i="28" s="1"/>
  <c r="M67" i="28"/>
  <c r="B65" i="28" l="1"/>
  <c r="E66" i="28" s="1"/>
  <c r="AA66" i="28"/>
  <c r="AB67" i="28" s="1"/>
  <c r="AD68" i="28" s="1"/>
  <c r="I65" i="28"/>
  <c r="P65" i="28" s="1"/>
  <c r="F66" i="28"/>
  <c r="W68" i="28"/>
  <c r="U69" i="28" s="1"/>
  <c r="R65" i="28"/>
  <c r="Q76" i="28"/>
  <c r="G66" i="28" l="1"/>
  <c r="L66" i="28" s="1"/>
  <c r="C65" i="28"/>
  <c r="AC67" i="28"/>
  <c r="D68" i="28" s="1"/>
  <c r="O65" i="28"/>
  <c r="N65" i="28"/>
  <c r="J65" i="28"/>
  <c r="X68" i="28"/>
  <c r="AF69" i="28"/>
  <c r="AH70" i="28" s="1"/>
  <c r="AJ71" i="28" s="1"/>
  <c r="AL72" i="28" s="1"/>
  <c r="AE68" i="28" l="1"/>
  <c r="Y68" i="28" s="1"/>
  <c r="T69" i="28" s="1"/>
  <c r="Z66" i="28"/>
  <c r="K66" i="28" s="1"/>
  <c r="M68" i="28" l="1"/>
  <c r="AA67" i="28"/>
  <c r="AC68" i="28" s="1"/>
  <c r="D69" i="28" s="1"/>
  <c r="I66" i="28"/>
  <c r="P66" i="28" s="1"/>
  <c r="AG69" i="28"/>
  <c r="AI70" i="28" s="1"/>
  <c r="AK71" i="28" s="1"/>
  <c r="AM72" i="28" s="1"/>
  <c r="AN73" i="28" s="1"/>
  <c r="AO74" i="28" s="1"/>
  <c r="AP75" i="28" s="1"/>
  <c r="AQ76" i="28" s="1"/>
  <c r="H68" i="28"/>
  <c r="S68" i="28" s="1"/>
  <c r="V69" i="28" s="1"/>
  <c r="W69" i="28" s="1"/>
  <c r="U70" i="28" s="1"/>
  <c r="B66" i="28"/>
  <c r="E67" i="28" s="1"/>
  <c r="AB68" i="28" l="1"/>
  <c r="AD69" i="28" s="1"/>
  <c r="AF70" i="28" s="1"/>
  <c r="AH71" i="28" s="1"/>
  <c r="AJ72" i="28" s="1"/>
  <c r="AL73" i="28" s="1"/>
  <c r="J66" i="28"/>
  <c r="C66" i="28"/>
  <c r="O66" i="28"/>
  <c r="N66" i="28"/>
  <c r="R66" i="28"/>
  <c r="G67" i="28"/>
  <c r="L67" i="28" s="1"/>
  <c r="Q77" i="28"/>
  <c r="X69" i="28"/>
  <c r="AE69" i="28"/>
  <c r="M69" i="28" s="1"/>
  <c r="F67" i="28" l="1"/>
  <c r="Z67" i="28"/>
  <c r="K67" i="28" s="1"/>
  <c r="Y69" i="28"/>
  <c r="T70" i="28" s="1"/>
  <c r="H69" i="28"/>
  <c r="S69" i="28" s="1"/>
  <c r="V70" i="28" s="1"/>
  <c r="AG70" i="28"/>
  <c r="AI71" i="28" s="1"/>
  <c r="AK72" i="28" s="1"/>
  <c r="AM73" i="28" s="1"/>
  <c r="B67" i="28" l="1"/>
  <c r="E68" i="28" s="1"/>
  <c r="AA68" i="28"/>
  <c r="AC69" i="28" s="1"/>
  <c r="D70" i="28" s="1"/>
  <c r="I67" i="28"/>
  <c r="P67" i="28" s="1"/>
  <c r="W70" i="28"/>
  <c r="U71" i="28" s="1"/>
  <c r="AN74" i="28"/>
  <c r="AO75" i="28" s="1"/>
  <c r="AP76" i="28" s="1"/>
  <c r="AQ77" i="28" s="1"/>
  <c r="R67" i="28" l="1"/>
  <c r="G68" i="28"/>
  <c r="Z68" i="28" s="1"/>
  <c r="K68" i="28" s="1"/>
  <c r="F68" i="28"/>
  <c r="AB69" i="28"/>
  <c r="AD70" i="28" s="1"/>
  <c r="X70" i="28" s="1"/>
  <c r="J67" i="28"/>
  <c r="N67" i="28"/>
  <c r="C67" i="28"/>
  <c r="O67" i="28"/>
  <c r="AE70" i="28"/>
  <c r="Q78" i="28"/>
  <c r="AF71" i="28" l="1"/>
  <c r="AH72" i="28" s="1"/>
  <c r="AJ73" i="28" s="1"/>
  <c r="AL74" i="28" s="1"/>
  <c r="M70" i="28"/>
  <c r="L68" i="28"/>
  <c r="Y70" i="28"/>
  <c r="T71" i="28" s="1"/>
  <c r="H70" i="28"/>
  <c r="S70" i="28" s="1"/>
  <c r="V71" i="28" s="1"/>
  <c r="AG71" i="28"/>
  <c r="AI72" i="28" s="1"/>
  <c r="AK73" i="28" s="1"/>
  <c r="AM74" i="28" s="1"/>
  <c r="I68" i="28"/>
  <c r="P68" i="28" s="1"/>
  <c r="B68" i="28"/>
  <c r="E69" i="28" s="1"/>
  <c r="AA69" i="28"/>
  <c r="G69" i="28" l="1"/>
  <c r="F69" i="28"/>
  <c r="C68" i="28"/>
  <c r="W71" i="28"/>
  <c r="U72" i="28" s="1"/>
  <c r="J68" i="28"/>
  <c r="N68" i="28"/>
  <c r="O68" i="28"/>
  <c r="R68" i="28"/>
  <c r="AB70" i="28"/>
  <c r="AD71" i="28" s="1"/>
  <c r="AC70" i="28"/>
  <c r="D71" i="28" s="1"/>
  <c r="AN75" i="28"/>
  <c r="AO76" i="28" s="1"/>
  <c r="AP77" i="28" s="1"/>
  <c r="AQ78" i="28" s="1"/>
  <c r="L69" i="28" l="1"/>
  <c r="Q79" i="28"/>
  <c r="X71" i="28"/>
  <c r="AF72" i="28"/>
  <c r="AH73" i="28" s="1"/>
  <c r="AJ74" i="28" s="1"/>
  <c r="AL75" i="28" s="1"/>
  <c r="AE71" i="28"/>
  <c r="Z69" i="28" l="1"/>
  <c r="K69" i="28" s="1"/>
  <c r="I69" i="28"/>
  <c r="P69" i="28" s="1"/>
  <c r="AA70" i="28"/>
  <c r="Y71" i="28"/>
  <c r="T72" i="28" s="1"/>
  <c r="H71" i="28"/>
  <c r="S71" i="28" s="1"/>
  <c r="V72" i="28" s="1"/>
  <c r="AG72" i="28"/>
  <c r="AI73" i="28" s="1"/>
  <c r="AK74" i="28" s="1"/>
  <c r="AM75" i="28" s="1"/>
  <c r="M71" i="28"/>
  <c r="B69" i="28" l="1"/>
  <c r="E70" i="28" s="1"/>
  <c r="G70" i="28" s="1"/>
  <c r="C69" i="28"/>
  <c r="W72" i="28"/>
  <c r="U73" i="28" s="1"/>
  <c r="AB71" i="28"/>
  <c r="AD72" i="28" s="1"/>
  <c r="AC71" i="28"/>
  <c r="D72" i="28" s="1"/>
  <c r="J69" i="28"/>
  <c r="N69" i="28"/>
  <c r="O69" i="28"/>
  <c r="R69" i="28"/>
  <c r="AN76" i="28"/>
  <c r="AO77" i="28" s="1"/>
  <c r="AP78" i="28" s="1"/>
  <c r="AQ79" i="28" s="1"/>
  <c r="F70" i="28" l="1"/>
  <c r="L70" i="28"/>
  <c r="Q80" i="28"/>
  <c r="AE72" i="28"/>
  <c r="M72" i="28" s="1"/>
  <c r="X72" i="28"/>
  <c r="AF73" i="28"/>
  <c r="AH74" i="28" s="1"/>
  <c r="AJ75" i="28" s="1"/>
  <c r="AL76" i="28" s="1"/>
  <c r="Z70" i="28"/>
  <c r="K70" i="28" s="1"/>
  <c r="Y72" i="28" l="1"/>
  <c r="T73" i="28" s="1"/>
  <c r="H72" i="28"/>
  <c r="S72" i="28" s="1"/>
  <c r="V73" i="28" s="1"/>
  <c r="AG73" i="28"/>
  <c r="AI74" i="28" s="1"/>
  <c r="AK75" i="28" s="1"/>
  <c r="AM76" i="28" s="1"/>
  <c r="I70" i="28"/>
  <c r="P70" i="28" s="1"/>
  <c r="B70" i="28"/>
  <c r="E71" i="28" s="1"/>
  <c r="AA71" i="28"/>
  <c r="G71" i="28" l="1"/>
  <c r="F71" i="28"/>
  <c r="C70" i="28"/>
  <c r="W73" i="28"/>
  <c r="U74" i="28" s="1"/>
  <c r="N70" i="28"/>
  <c r="J70" i="28"/>
  <c r="O70" i="28"/>
  <c r="R70" i="28"/>
  <c r="AB72" i="28"/>
  <c r="AD73" i="28" s="1"/>
  <c r="AC72" i="28"/>
  <c r="D73" i="28" s="1"/>
  <c r="AN77" i="28"/>
  <c r="AO78" i="28" s="1"/>
  <c r="AP79" i="28" s="1"/>
  <c r="AQ80" i="28" s="1"/>
  <c r="L71" i="28" l="1"/>
  <c r="Q81" i="28"/>
  <c r="AE73" i="28"/>
  <c r="M73" i="28" s="1"/>
  <c r="Z71" i="28"/>
  <c r="K71" i="28" s="1"/>
  <c r="X73" i="28"/>
  <c r="AF74" i="28"/>
  <c r="AH75" i="28" s="1"/>
  <c r="AJ76" i="28" s="1"/>
  <c r="AL77" i="28" s="1"/>
  <c r="I71" i="28" l="1"/>
  <c r="P71" i="28" s="1"/>
  <c r="B71" i="28"/>
  <c r="E72" i="28" s="1"/>
  <c r="AA72" i="28"/>
  <c r="Y73" i="28"/>
  <c r="T74" i="28" s="1"/>
  <c r="H73" i="28"/>
  <c r="S73" i="28" s="1"/>
  <c r="V74" i="28" s="1"/>
  <c r="AG74" i="28"/>
  <c r="AI75" i="28" s="1"/>
  <c r="AK76" i="28" s="1"/>
  <c r="AM77" i="28" s="1"/>
  <c r="G72" i="28" l="1"/>
  <c r="F72" i="28"/>
  <c r="C71" i="28"/>
  <c r="W74" i="28"/>
  <c r="U75" i="28" s="1"/>
  <c r="R71" i="28"/>
  <c r="N71" i="28"/>
  <c r="J71" i="28"/>
  <c r="O71" i="28"/>
  <c r="AB73" i="28"/>
  <c r="AD74" i="28" s="1"/>
  <c r="AC73" i="28"/>
  <c r="D74" i="28" s="1"/>
  <c r="AN78" i="28"/>
  <c r="AO79" i="28" s="1"/>
  <c r="AP80" i="28" s="1"/>
  <c r="AQ81" i="28" s="1"/>
  <c r="L72" i="28" l="1"/>
  <c r="Q82" i="28"/>
  <c r="AE74" i="28"/>
  <c r="M74" i="28" s="1"/>
  <c r="X74" i="28"/>
  <c r="AF75" i="28"/>
  <c r="AH76" i="28" s="1"/>
  <c r="AJ77" i="28" s="1"/>
  <c r="AL78" i="28" s="1"/>
  <c r="Z72" i="28" l="1"/>
  <c r="K72" i="28" s="1"/>
  <c r="H74" i="28"/>
  <c r="S74" i="28" s="1"/>
  <c r="V75" i="28" s="1"/>
  <c r="Y74" i="28"/>
  <c r="T75" i="28" s="1"/>
  <c r="AG75" i="28"/>
  <c r="AI76" i="28" s="1"/>
  <c r="AK77" i="28" s="1"/>
  <c r="AM78" i="28" s="1"/>
  <c r="B72" i="28" l="1"/>
  <c r="E73" i="28" s="1"/>
  <c r="AA73" i="28"/>
  <c r="AB74" i="28" s="1"/>
  <c r="AD75" i="28" s="1"/>
  <c r="I72" i="28"/>
  <c r="P72" i="28" s="1"/>
  <c r="O72" i="28" s="1"/>
  <c r="W75" i="28"/>
  <c r="U76" i="28" s="1"/>
  <c r="R72" i="28"/>
  <c r="AN79" i="28"/>
  <c r="AO80" i="28" s="1"/>
  <c r="AP81" i="28" s="1"/>
  <c r="AQ82" i="28" s="1"/>
  <c r="AC74" i="28" l="1"/>
  <c r="D75" i="28" s="1"/>
  <c r="G73" i="28"/>
  <c r="L73" i="28" s="1"/>
  <c r="C72" i="28"/>
  <c r="J72" i="28"/>
  <c r="N72" i="28"/>
  <c r="AF76" i="28"/>
  <c r="AH77" i="28" s="1"/>
  <c r="AJ78" i="28" s="1"/>
  <c r="AL79" i="28" s="1"/>
  <c r="X75" i="28"/>
  <c r="AE75" i="28"/>
  <c r="M75" i="28" s="1"/>
  <c r="Q83" i="28"/>
  <c r="F73" i="28" l="1"/>
  <c r="Z73" i="28"/>
  <c r="K73" i="28" s="1"/>
  <c r="Y75" i="28"/>
  <c r="T76" i="28" s="1"/>
  <c r="H75" i="28"/>
  <c r="S75" i="28" s="1"/>
  <c r="V76" i="28" s="1"/>
  <c r="AG76" i="28"/>
  <c r="AI77" i="28" s="1"/>
  <c r="AK78" i="28" s="1"/>
  <c r="AM79" i="28" s="1"/>
  <c r="AA74" i="28" l="1"/>
  <c r="AC75" i="28" s="1"/>
  <c r="D76" i="28" s="1"/>
  <c r="I73" i="28"/>
  <c r="P73" i="28" s="1"/>
  <c r="B73" i="28"/>
  <c r="E74" i="28" s="1"/>
  <c r="W76" i="28"/>
  <c r="U77" i="28" s="1"/>
  <c r="AN80" i="28"/>
  <c r="AO81" i="28" s="1"/>
  <c r="AP82" i="28" s="1"/>
  <c r="AQ83" i="28" s="1"/>
  <c r="J73" i="28" l="1"/>
  <c r="AB75" i="28"/>
  <c r="AD76" i="28" s="1"/>
  <c r="AF77" i="28" s="1"/>
  <c r="AH78" i="28" s="1"/>
  <c r="AJ79" i="28" s="1"/>
  <c r="AL80" i="28" s="1"/>
  <c r="N73" i="28"/>
  <c r="R73" i="28"/>
  <c r="C73" i="28"/>
  <c r="G74" i="28"/>
  <c r="L74" i="28" s="1"/>
  <c r="O73" i="28"/>
  <c r="F74" i="28"/>
  <c r="Q84" i="28"/>
  <c r="AE76" i="28"/>
  <c r="X76" i="28" l="1"/>
  <c r="Z74" i="28"/>
  <c r="K74" i="28" s="1"/>
  <c r="Y76" i="28"/>
  <c r="T77" i="28" s="1"/>
  <c r="H76" i="28"/>
  <c r="S76" i="28" s="1"/>
  <c r="V77" i="28" s="1"/>
  <c r="AG77" i="28"/>
  <c r="AI78" i="28" s="1"/>
  <c r="AK79" i="28" s="1"/>
  <c r="AM80" i="28" s="1"/>
  <c r="AN81" i="28" s="1"/>
  <c r="AO82" i="28" s="1"/>
  <c r="AP83" i="28" s="1"/>
  <c r="AQ84" i="28" s="1"/>
  <c r="I74" i="28"/>
  <c r="P74" i="28" s="1"/>
  <c r="B74" i="28"/>
  <c r="E75" i="28" s="1"/>
  <c r="AA75" i="28"/>
  <c r="M76" i="28"/>
  <c r="G75" i="28" l="1"/>
  <c r="C74" i="28"/>
  <c r="W77" i="28"/>
  <c r="U78" i="28" s="1"/>
  <c r="Q85" i="28"/>
  <c r="N74" i="28"/>
  <c r="J74" i="28"/>
  <c r="O74" i="28"/>
  <c r="AB76" i="28"/>
  <c r="AD77" i="28" s="1"/>
  <c r="AC76" i="28"/>
  <c r="D77" i="28" s="1"/>
  <c r="R74" i="28"/>
  <c r="F75" i="28" l="1"/>
  <c r="L75" i="28"/>
  <c r="Z75" i="28"/>
  <c r="K75" i="28" s="1"/>
  <c r="AE77" i="28"/>
  <c r="M77" i="28" s="1"/>
  <c r="AF78" i="28"/>
  <c r="AH79" i="28" s="1"/>
  <c r="AJ80" i="28" s="1"/>
  <c r="AL81" i="28" s="1"/>
  <c r="X77" i="28"/>
  <c r="I75" i="28" l="1"/>
  <c r="P75" i="28" s="1"/>
  <c r="B75" i="28"/>
  <c r="E76" i="28" s="1"/>
  <c r="AA76" i="28"/>
  <c r="Y77" i="28"/>
  <c r="T78" i="28" s="1"/>
  <c r="H77" i="28"/>
  <c r="S77" i="28" s="1"/>
  <c r="V78" i="28" s="1"/>
  <c r="AG78" i="28"/>
  <c r="AI79" i="28" s="1"/>
  <c r="AK80" i="28" s="1"/>
  <c r="AM81" i="28" s="1"/>
  <c r="AN82" i="28" s="1"/>
  <c r="AO83" i="28" s="1"/>
  <c r="AP84" i="28" s="1"/>
  <c r="AQ85" i="28" s="1"/>
  <c r="G76" i="28" l="1"/>
  <c r="F76" i="28"/>
  <c r="C75" i="28"/>
  <c r="W78" i="28"/>
  <c r="U79" i="28" s="1"/>
  <c r="AB77" i="28"/>
  <c r="AD78" i="28" s="1"/>
  <c r="AC77" i="28"/>
  <c r="D78" i="28" s="1"/>
  <c r="J75" i="28"/>
  <c r="N75" i="28"/>
  <c r="O75" i="28"/>
  <c r="Q86" i="28"/>
  <c r="R75" i="28"/>
  <c r="L76" i="28" l="1"/>
  <c r="Z76" i="28"/>
  <c r="K76" i="28" s="1"/>
  <c r="AE78" i="28"/>
  <c r="M78" i="28" s="1"/>
  <c r="X78" i="28"/>
  <c r="AF79" i="28"/>
  <c r="AH80" i="28" s="1"/>
  <c r="AJ81" i="28" s="1"/>
  <c r="AL82" i="28" s="1"/>
  <c r="I76" i="28" l="1"/>
  <c r="P76" i="28" s="1"/>
  <c r="B76" i="28"/>
  <c r="E77" i="28" s="1"/>
  <c r="AA77" i="28"/>
  <c r="Y78" i="28"/>
  <c r="T79" i="28" s="1"/>
  <c r="H78" i="28"/>
  <c r="S78" i="28" s="1"/>
  <c r="V79" i="28" s="1"/>
  <c r="AG79" i="28"/>
  <c r="AI80" i="28" s="1"/>
  <c r="AK81" i="28" s="1"/>
  <c r="AM82" i="28" s="1"/>
  <c r="AN83" i="28" s="1"/>
  <c r="AO84" i="28" s="1"/>
  <c r="AP85" i="28" s="1"/>
  <c r="AQ86" i="28" s="1"/>
  <c r="G77" i="28" l="1"/>
  <c r="F77" i="28"/>
  <c r="C76" i="28"/>
  <c r="W79" i="28"/>
  <c r="U80" i="28" s="1"/>
  <c r="AC78" i="28"/>
  <c r="D79" i="28" s="1"/>
  <c r="AB78" i="28"/>
  <c r="AD79" i="28" s="1"/>
  <c r="Q87" i="28"/>
  <c r="J76" i="28"/>
  <c r="N76" i="28"/>
  <c r="O76" i="28"/>
  <c r="R76" i="28"/>
  <c r="L77" i="28" l="1"/>
  <c r="Z77" i="28"/>
  <c r="K77" i="28" s="1"/>
  <c r="AF80" i="28"/>
  <c r="AH81" i="28" s="1"/>
  <c r="AJ82" i="28" s="1"/>
  <c r="AL83" i="28" s="1"/>
  <c r="X79" i="28"/>
  <c r="AE79" i="28"/>
  <c r="M79" i="28" s="1"/>
  <c r="Y79" i="28" l="1"/>
  <c r="T80" i="28" s="1"/>
  <c r="H79" i="28"/>
  <c r="S79" i="28" s="1"/>
  <c r="V80" i="28" s="1"/>
  <c r="AG80" i="28"/>
  <c r="AI81" i="28" s="1"/>
  <c r="AK82" i="28" s="1"/>
  <c r="AM83" i="28" s="1"/>
  <c r="I77" i="28"/>
  <c r="P77" i="28" s="1"/>
  <c r="B77" i="28"/>
  <c r="E78" i="28" s="1"/>
  <c r="AA78" i="28"/>
  <c r="G78" i="28" l="1"/>
  <c r="F78" i="28"/>
  <c r="C77" i="28"/>
  <c r="W80" i="28"/>
  <c r="U81" i="28" s="1"/>
  <c r="R77" i="28"/>
  <c r="AB79" i="28"/>
  <c r="AD80" i="28" s="1"/>
  <c r="AC79" i="28"/>
  <c r="D80" i="28" s="1"/>
  <c r="J77" i="28"/>
  <c r="N77" i="28"/>
  <c r="O77" i="28"/>
  <c r="AN84" i="28"/>
  <c r="AO85" i="28" s="1"/>
  <c r="AP86" i="28" s="1"/>
  <c r="AQ87" i="28" s="1"/>
  <c r="L78" i="28" l="1"/>
  <c r="Q88" i="28"/>
  <c r="AE80" i="28"/>
  <c r="M80" i="28" s="1"/>
  <c r="AF81" i="28"/>
  <c r="AH82" i="28" s="1"/>
  <c r="AJ83" i="28" s="1"/>
  <c r="AL84" i="28" s="1"/>
  <c r="X80" i="28"/>
  <c r="Z78" i="28"/>
  <c r="K78" i="28" s="1"/>
  <c r="Y80" i="28" l="1"/>
  <c r="T81" i="28" s="1"/>
  <c r="H80" i="28"/>
  <c r="S80" i="28" s="1"/>
  <c r="V81" i="28" s="1"/>
  <c r="AG81" i="28"/>
  <c r="AI82" i="28" s="1"/>
  <c r="AK83" i="28" s="1"/>
  <c r="AM84" i="28" s="1"/>
  <c r="I78" i="28"/>
  <c r="P78" i="28" s="1"/>
  <c r="B78" i="28"/>
  <c r="E79" i="28" s="1"/>
  <c r="AA79" i="28"/>
  <c r="G79" i="28" l="1"/>
  <c r="F79" i="28"/>
  <c r="C78" i="28"/>
  <c r="W81" i="28"/>
  <c r="U82" i="28" s="1"/>
  <c r="R78" i="28"/>
  <c r="J78" i="28"/>
  <c r="N78" i="28"/>
  <c r="O78" i="28"/>
  <c r="AB80" i="28"/>
  <c r="AD81" i="28" s="1"/>
  <c r="AC80" i="28"/>
  <c r="D81" i="28" s="1"/>
  <c r="AN85" i="28"/>
  <c r="AO86" i="28" s="1"/>
  <c r="AP87" i="28" s="1"/>
  <c r="AQ88" i="28" s="1"/>
  <c r="Z79" i="28" l="1"/>
  <c r="K79" i="28" s="1"/>
  <c r="Q89" i="28"/>
  <c r="AE81" i="28"/>
  <c r="M81" i="28" s="1"/>
  <c r="X81" i="28"/>
  <c r="AF82" i="28"/>
  <c r="AH83" i="28" s="1"/>
  <c r="AJ84" i="28" s="1"/>
  <c r="AL85" i="28" s="1"/>
  <c r="L79" i="28" l="1"/>
  <c r="I79" i="28"/>
  <c r="P79" i="28" s="1"/>
  <c r="B79" i="28"/>
  <c r="E80" i="28" s="1"/>
  <c r="AA80" i="28"/>
  <c r="Y81" i="28"/>
  <c r="T82" i="28" s="1"/>
  <c r="H81" i="28"/>
  <c r="S81" i="28" s="1"/>
  <c r="V82" i="28" s="1"/>
  <c r="AG82" i="28"/>
  <c r="AI83" i="28" s="1"/>
  <c r="AK84" i="28" s="1"/>
  <c r="AM85" i="28" s="1"/>
  <c r="AN86" i="28" s="1"/>
  <c r="AO87" i="28" s="1"/>
  <c r="AP88" i="28" s="1"/>
  <c r="AQ89" i="28" s="1"/>
  <c r="G80" i="28" l="1"/>
  <c r="F80" i="28"/>
  <c r="C79" i="28"/>
  <c r="W82" i="28"/>
  <c r="U83" i="28" s="1"/>
  <c r="AB81" i="28"/>
  <c r="AD82" i="28" s="1"/>
  <c r="AC81" i="28"/>
  <c r="D82" i="28" s="1"/>
  <c r="Q90" i="28"/>
  <c r="J79" i="28"/>
  <c r="N79" i="28"/>
  <c r="O79" i="28"/>
  <c r="R79" i="28"/>
  <c r="L80" i="28" l="1"/>
  <c r="AE82" i="28"/>
  <c r="X82" i="28"/>
  <c r="AF83" i="28"/>
  <c r="AH84" i="28" s="1"/>
  <c r="AJ85" i="28" s="1"/>
  <c r="AL86" i="28" s="1"/>
  <c r="Z80" i="28"/>
  <c r="K80" i="28" s="1"/>
  <c r="Y82" i="28" l="1"/>
  <c r="T83" i="28" s="1"/>
  <c r="H82" i="28"/>
  <c r="S82" i="28" s="1"/>
  <c r="V83" i="28" s="1"/>
  <c r="AG83" i="28"/>
  <c r="AI84" i="28" s="1"/>
  <c r="AK85" i="28" s="1"/>
  <c r="AM86" i="28" s="1"/>
  <c r="I80" i="28"/>
  <c r="P80" i="28" s="1"/>
  <c r="B80" i="28"/>
  <c r="E81" i="28" s="1"/>
  <c r="AA81" i="28"/>
  <c r="M82" i="28"/>
  <c r="G81" i="28" l="1"/>
  <c r="C80" i="28"/>
  <c r="W83" i="28"/>
  <c r="U84" i="28" s="1"/>
  <c r="J80" i="28"/>
  <c r="N80" i="28"/>
  <c r="O80" i="28"/>
  <c r="R80" i="28"/>
  <c r="AB82" i="28"/>
  <c r="AD83" i="28" s="1"/>
  <c r="AC82" i="28"/>
  <c r="D83" i="28" s="1"/>
  <c r="AN87" i="28"/>
  <c r="AO88" i="28" s="1"/>
  <c r="AP89" i="28" s="1"/>
  <c r="AQ90" i="28" s="1"/>
  <c r="F81" i="28" l="1"/>
  <c r="L81" i="28"/>
  <c r="Q91" i="28"/>
  <c r="Z81" i="28"/>
  <c r="K81" i="28" s="1"/>
  <c r="AE83" i="28"/>
  <c r="M83" i="28" s="1"/>
  <c r="AF84" i="28"/>
  <c r="AH85" i="28" s="1"/>
  <c r="AJ86" i="28" s="1"/>
  <c r="AL87" i="28" s="1"/>
  <c r="X83" i="28"/>
  <c r="I81" i="28" l="1"/>
  <c r="P81" i="28" s="1"/>
  <c r="B81" i="28"/>
  <c r="E82" i="28" s="1"/>
  <c r="AA82" i="28"/>
  <c r="Y83" i="28"/>
  <c r="T84" i="28" s="1"/>
  <c r="H83" i="28"/>
  <c r="S83" i="28" s="1"/>
  <c r="V84" i="28" s="1"/>
  <c r="AG84" i="28"/>
  <c r="AI85" i="28" s="1"/>
  <c r="AK86" i="28" s="1"/>
  <c r="AM87" i="28" s="1"/>
  <c r="AN88" i="28" s="1"/>
  <c r="AO89" i="28" s="1"/>
  <c r="AP90" i="28" s="1"/>
  <c r="AQ91" i="28" s="1"/>
  <c r="G82" i="28" l="1"/>
  <c r="F82" i="28"/>
  <c r="C81" i="28"/>
  <c r="W84" i="28"/>
  <c r="U85" i="28" s="1"/>
  <c r="Q92" i="28"/>
  <c r="R81" i="28"/>
  <c r="AB83" i="28"/>
  <c r="AD84" i="28" s="1"/>
  <c r="AC83" i="28"/>
  <c r="D84" i="28" s="1"/>
  <c r="N81" i="28"/>
  <c r="J81" i="28"/>
  <c r="O81" i="28"/>
  <c r="L82" i="28" l="1"/>
  <c r="X84" i="28"/>
  <c r="AF85" i="28"/>
  <c r="AH86" i="28" s="1"/>
  <c r="AJ87" i="28" s="1"/>
  <c r="AL88" i="28" s="1"/>
  <c r="Z82" i="28"/>
  <c r="K82" i="28" s="1"/>
  <c r="AE84" i="28"/>
  <c r="I82" i="28" l="1"/>
  <c r="P82" i="28" s="1"/>
  <c r="B82" i="28"/>
  <c r="E83" i="28" s="1"/>
  <c r="AA83" i="28"/>
  <c r="Y84" i="28"/>
  <c r="T85" i="28" s="1"/>
  <c r="H84" i="28"/>
  <c r="S84" i="28" s="1"/>
  <c r="V85" i="28" s="1"/>
  <c r="AG85" i="28"/>
  <c r="AI86" i="28" s="1"/>
  <c r="AK87" i="28" s="1"/>
  <c r="AM88" i="28" s="1"/>
  <c r="AN89" i="28" s="1"/>
  <c r="AO90" i="28" s="1"/>
  <c r="AP91" i="28" s="1"/>
  <c r="AQ92" i="28" s="1"/>
  <c r="M84" i="28"/>
  <c r="G83" i="28" l="1"/>
  <c r="F83" i="28"/>
  <c r="C82" i="28"/>
  <c r="W85" i="28"/>
  <c r="U86" i="28" s="1"/>
  <c r="Q93" i="28"/>
  <c r="AB84" i="28"/>
  <c r="AD85" i="28" s="1"/>
  <c r="AC84" i="28"/>
  <c r="D85" i="28" s="1"/>
  <c r="R82" i="28"/>
  <c r="J82" i="28"/>
  <c r="N82" i="28"/>
  <c r="O82" i="28"/>
  <c r="L83" i="28" l="1"/>
  <c r="X85" i="28"/>
  <c r="AF86" i="28"/>
  <c r="AH87" i="28" s="1"/>
  <c r="AJ88" i="28" s="1"/>
  <c r="AL89" i="28" s="1"/>
  <c r="Z83" i="28"/>
  <c r="K83" i="28" s="1"/>
  <c r="AE85" i="28"/>
  <c r="I83" i="28" l="1"/>
  <c r="P83" i="28" s="1"/>
  <c r="B83" i="28"/>
  <c r="E84" i="28" s="1"/>
  <c r="AA84" i="28"/>
  <c r="Y85" i="28"/>
  <c r="T86" i="28" s="1"/>
  <c r="H85" i="28"/>
  <c r="S85" i="28" s="1"/>
  <c r="V86" i="28" s="1"/>
  <c r="AG86" i="28"/>
  <c r="AI87" i="28" s="1"/>
  <c r="AK88" i="28" s="1"/>
  <c r="AM89" i="28" s="1"/>
  <c r="M85" i="28"/>
  <c r="G84" i="28" l="1"/>
  <c r="F84" i="28"/>
  <c r="C83" i="28"/>
  <c r="W86" i="28"/>
  <c r="U87" i="28" s="1"/>
  <c r="J83" i="28"/>
  <c r="N83" i="28"/>
  <c r="O83" i="28"/>
  <c r="AC85" i="28"/>
  <c r="D86" i="28" s="1"/>
  <c r="AB85" i="28"/>
  <c r="AD86" i="28" s="1"/>
  <c r="R83" i="28"/>
  <c r="AN90" i="28"/>
  <c r="AO91" i="28" s="1"/>
  <c r="AP92" i="28" s="1"/>
  <c r="AQ93" i="28" s="1"/>
  <c r="L84" i="28" l="1"/>
  <c r="Q94" i="28"/>
  <c r="Z84" i="28"/>
  <c r="K84" i="28" s="1"/>
  <c r="AF87" i="28"/>
  <c r="AH88" i="28" s="1"/>
  <c r="AJ89" i="28" s="1"/>
  <c r="AL90" i="28" s="1"/>
  <c r="X86" i="28"/>
  <c r="AE86" i="28"/>
  <c r="M86" i="28" s="1"/>
  <c r="I84" i="28" l="1"/>
  <c r="P84" i="28" s="1"/>
  <c r="AA85" i="28"/>
  <c r="B84" i="28"/>
  <c r="E85" i="28" s="1"/>
  <c r="Y86" i="28"/>
  <c r="T87" i="28" s="1"/>
  <c r="H86" i="28"/>
  <c r="S86" i="28" s="1"/>
  <c r="V87" i="28" s="1"/>
  <c r="AG87" i="28"/>
  <c r="AI88" i="28" s="1"/>
  <c r="AK89" i="28" s="1"/>
  <c r="AM90" i="28" s="1"/>
  <c r="G85" i="28" l="1"/>
  <c r="F85" i="28"/>
  <c r="C84" i="28"/>
  <c r="W87" i="28"/>
  <c r="U88" i="28" s="1"/>
  <c r="R84" i="28"/>
  <c r="AC86" i="28"/>
  <c r="D87" i="28" s="1"/>
  <c r="AB86" i="28"/>
  <c r="AD87" i="28" s="1"/>
  <c r="J84" i="28"/>
  <c r="N84" i="28"/>
  <c r="O84" i="28"/>
  <c r="AN91" i="28"/>
  <c r="AO92" i="28" s="1"/>
  <c r="AP93" i="28" s="1"/>
  <c r="AQ94" i="28" s="1"/>
  <c r="L85" i="28" l="1"/>
  <c r="Z85" i="28"/>
  <c r="K85" i="28" s="1"/>
  <c r="Q95" i="28"/>
  <c r="X87" i="28"/>
  <c r="AF88" i="28"/>
  <c r="AH89" i="28" s="1"/>
  <c r="AJ90" i="28" s="1"/>
  <c r="AL91" i="28" s="1"/>
  <c r="AE87" i="28"/>
  <c r="Y87" i="28" l="1"/>
  <c r="H87" i="28"/>
  <c r="S87" i="28" s="1"/>
  <c r="V88" i="28" s="1"/>
  <c r="AG88" i="28"/>
  <c r="AI89" i="28" s="1"/>
  <c r="AK90" i="28" s="1"/>
  <c r="AM91" i="28" s="1"/>
  <c r="AN92" i="28" s="1"/>
  <c r="AO93" i="28" s="1"/>
  <c r="AP94" i="28" s="1"/>
  <c r="AQ95" i="28" s="1"/>
  <c r="I85" i="28"/>
  <c r="P85" i="28" s="1"/>
  <c r="B85" i="28"/>
  <c r="E86" i="28" s="1"/>
  <c r="AA86" i="28"/>
  <c r="M87" i="28"/>
  <c r="T88" i="28"/>
  <c r="G86" i="28" l="1"/>
  <c r="F86" i="28"/>
  <c r="C85" i="28"/>
  <c r="J85" i="28"/>
  <c r="N85" i="28"/>
  <c r="O85" i="28"/>
  <c r="Q96" i="28"/>
  <c r="R85" i="28"/>
  <c r="AB87" i="28"/>
  <c r="AD88" i="28" s="1"/>
  <c r="AC87" i="28"/>
  <c r="D88" i="28" s="1"/>
  <c r="W88" i="28"/>
  <c r="L86" i="28" l="1"/>
  <c r="U89" i="28"/>
  <c r="Z86" i="28"/>
  <c r="K86" i="28" s="1"/>
  <c r="AE88" i="28"/>
  <c r="M88" i="28" s="1"/>
  <c r="AF89" i="28"/>
  <c r="AH90" i="28" s="1"/>
  <c r="AJ91" i="28" s="1"/>
  <c r="AL92" i="28" s="1"/>
  <c r="X88" i="28"/>
  <c r="Y88" i="28" l="1"/>
  <c r="T89" i="28" s="1"/>
  <c r="H88" i="28"/>
  <c r="S88" i="28" s="1"/>
  <c r="V89" i="28" s="1"/>
  <c r="AG89" i="28"/>
  <c r="AI90" i="28" s="1"/>
  <c r="AK91" i="28" s="1"/>
  <c r="AM92" i="28" s="1"/>
  <c r="AN93" i="28" s="1"/>
  <c r="AO94" i="28" s="1"/>
  <c r="AP95" i="28" s="1"/>
  <c r="AQ96" i="28" s="1"/>
  <c r="I86" i="28"/>
  <c r="P86" i="28" s="1"/>
  <c r="B86" i="28"/>
  <c r="E87" i="28" s="1"/>
  <c r="AA87" i="28"/>
  <c r="G87" i="28" l="1"/>
  <c r="F87" i="28"/>
  <c r="C86" i="28"/>
  <c r="W89" i="28"/>
  <c r="U90" i="28" s="1"/>
  <c r="Q97" i="28"/>
  <c r="R86" i="28"/>
  <c r="N86" i="28"/>
  <c r="J86" i="28"/>
  <c r="O86" i="28"/>
  <c r="AB88" i="28"/>
  <c r="AD89" i="28" s="1"/>
  <c r="AC88" i="28"/>
  <c r="D89" i="28" s="1"/>
  <c r="L87" i="28" l="1"/>
  <c r="AE89" i="28"/>
  <c r="Z87" i="28"/>
  <c r="K87" i="28" s="1"/>
  <c r="AF90" i="28"/>
  <c r="AH91" i="28" s="1"/>
  <c r="AJ92" i="28" s="1"/>
  <c r="AL93" i="28" s="1"/>
  <c r="X89" i="28"/>
  <c r="I87" i="28" l="1"/>
  <c r="P87" i="28" s="1"/>
  <c r="B87" i="28"/>
  <c r="E88" i="28" s="1"/>
  <c r="AA88" i="28"/>
  <c r="Y89" i="28"/>
  <c r="T90" i="28" s="1"/>
  <c r="H89" i="28"/>
  <c r="S89" i="28" s="1"/>
  <c r="V90" i="28" s="1"/>
  <c r="AG90" i="28"/>
  <c r="AI91" i="28" s="1"/>
  <c r="AK92" i="28" s="1"/>
  <c r="AM93" i="28" s="1"/>
  <c r="M89" i="28"/>
  <c r="G88" i="28" l="1"/>
  <c r="F88" i="28"/>
  <c r="C87" i="28"/>
  <c r="W90" i="28"/>
  <c r="U91" i="28" s="1"/>
  <c r="AB89" i="28"/>
  <c r="AD90" i="28" s="1"/>
  <c r="AC89" i="28"/>
  <c r="D90" i="28" s="1"/>
  <c r="R87" i="28"/>
  <c r="N87" i="28"/>
  <c r="J87" i="28"/>
  <c r="O87" i="28"/>
  <c r="AN94" i="28"/>
  <c r="AO95" i="28" s="1"/>
  <c r="AP96" i="28" s="1"/>
  <c r="AQ97" i="28" s="1"/>
  <c r="L88" i="28" l="1"/>
  <c r="Q98" i="28"/>
  <c r="AE90" i="28"/>
  <c r="M90" i="28" s="1"/>
  <c r="AF91" i="28"/>
  <c r="AH92" i="28" s="1"/>
  <c r="AJ93" i="28" s="1"/>
  <c r="AL94" i="28" s="1"/>
  <c r="X90" i="28"/>
  <c r="Z88" i="28"/>
  <c r="K88" i="28" s="1"/>
  <c r="Y90" i="28" l="1"/>
  <c r="T91" i="28" s="1"/>
  <c r="H90" i="28"/>
  <c r="S90" i="28" s="1"/>
  <c r="V91" i="28" s="1"/>
  <c r="AG91" i="28"/>
  <c r="AI92" i="28" s="1"/>
  <c r="AK93" i="28" s="1"/>
  <c r="AM94" i="28" s="1"/>
  <c r="I88" i="28"/>
  <c r="P88" i="28" s="1"/>
  <c r="B88" i="28"/>
  <c r="E89" i="28" s="1"/>
  <c r="AA89" i="28"/>
  <c r="G89" i="28" l="1"/>
  <c r="C88" i="28"/>
  <c r="W91" i="28"/>
  <c r="U92" i="28" s="1"/>
  <c r="N88" i="28"/>
  <c r="J88" i="28"/>
  <c r="O88" i="28"/>
  <c r="R88" i="28"/>
  <c r="AB90" i="28"/>
  <c r="AD91" i="28" s="1"/>
  <c r="AC90" i="28"/>
  <c r="D91" i="28" s="1"/>
  <c r="AN95" i="28"/>
  <c r="AO96" i="28" s="1"/>
  <c r="AP97" i="28" s="1"/>
  <c r="AQ98" i="28" s="1"/>
  <c r="F89" i="28" l="1"/>
  <c r="L89" i="28"/>
  <c r="Z89" i="28"/>
  <c r="K89" i="28" s="1"/>
  <c r="AE91" i="28"/>
  <c r="M91" i="28" s="1"/>
  <c r="Q99" i="28"/>
  <c r="AF92" i="28"/>
  <c r="AH93" i="28" s="1"/>
  <c r="AJ94" i="28" s="1"/>
  <c r="AL95" i="28" s="1"/>
  <c r="X91" i="28"/>
  <c r="I89" i="28" l="1"/>
  <c r="P89" i="28" s="1"/>
  <c r="B89" i="28"/>
  <c r="E90" i="28" s="1"/>
  <c r="AA90" i="28"/>
  <c r="Y91" i="28"/>
  <c r="T92" i="28" s="1"/>
  <c r="H91" i="28"/>
  <c r="S91" i="28" s="1"/>
  <c r="V92" i="28" s="1"/>
  <c r="AG92" i="28"/>
  <c r="AI93" i="28" s="1"/>
  <c r="AK94" i="28" s="1"/>
  <c r="AM95" i="28" s="1"/>
  <c r="G90" i="28" l="1"/>
  <c r="F90" i="28"/>
  <c r="C89" i="28"/>
  <c r="W92" i="28"/>
  <c r="U93" i="28" s="1"/>
  <c r="J89" i="28"/>
  <c r="N89" i="28"/>
  <c r="O89" i="28"/>
  <c r="R89" i="28"/>
  <c r="AB91" i="28"/>
  <c r="AD92" i="28" s="1"/>
  <c r="AC91" i="28"/>
  <c r="D92" i="28" s="1"/>
  <c r="AN96" i="28"/>
  <c r="AO97" i="28" s="1"/>
  <c r="AP98" i="28" s="1"/>
  <c r="AQ99" i="28" s="1"/>
  <c r="L90" i="28" l="1"/>
  <c r="Z90" i="28"/>
  <c r="K90" i="28" s="1"/>
  <c r="Q100" i="28"/>
  <c r="AE92" i="28"/>
  <c r="M92" i="28" s="1"/>
  <c r="X92" i="28"/>
  <c r="AF93" i="28"/>
  <c r="AH94" i="28" s="1"/>
  <c r="AJ95" i="28" s="1"/>
  <c r="AL96" i="28" s="1"/>
  <c r="I90" i="28" l="1"/>
  <c r="P90" i="28" s="1"/>
  <c r="B90" i="28"/>
  <c r="E91" i="28" s="1"/>
  <c r="AA91" i="28"/>
  <c r="Y92" i="28"/>
  <c r="T93" i="28" s="1"/>
  <c r="H92" i="28"/>
  <c r="S92" i="28" s="1"/>
  <c r="V93" i="28" s="1"/>
  <c r="AG93" i="28"/>
  <c r="AI94" i="28" s="1"/>
  <c r="AK95" i="28" s="1"/>
  <c r="AM96" i="28" s="1"/>
  <c r="G91" i="28" l="1"/>
  <c r="F91" i="28"/>
  <c r="C90" i="28"/>
  <c r="W93" i="28"/>
  <c r="U94" i="28" s="1"/>
  <c r="AB92" i="28"/>
  <c r="AD93" i="28" s="1"/>
  <c r="AC92" i="28"/>
  <c r="D93" i="28" s="1"/>
  <c r="R90" i="28"/>
  <c r="N90" i="28"/>
  <c r="J90" i="28"/>
  <c r="O90" i="28"/>
  <c r="AN97" i="28"/>
  <c r="AO98" i="28" s="1"/>
  <c r="AP99" i="28" s="1"/>
  <c r="AQ100" i="28" s="1"/>
  <c r="L91" i="28" l="1"/>
  <c r="AE93" i="28"/>
  <c r="M93" i="28" s="1"/>
  <c r="Q101" i="28"/>
  <c r="Z91" i="28"/>
  <c r="K91" i="28" s="1"/>
  <c r="AF94" i="28"/>
  <c r="AH95" i="28" s="1"/>
  <c r="AJ96" i="28" s="1"/>
  <c r="AL97" i="28" s="1"/>
  <c r="X93" i="28"/>
  <c r="I91" i="28" l="1"/>
  <c r="P91" i="28" s="1"/>
  <c r="B91" i="28"/>
  <c r="E92" i="28" s="1"/>
  <c r="AA92" i="28"/>
  <c r="Y93" i="28"/>
  <c r="T94" i="28" s="1"/>
  <c r="H93" i="28"/>
  <c r="S93" i="28" s="1"/>
  <c r="V94" i="28" s="1"/>
  <c r="AG94" i="28"/>
  <c r="AI95" i="28" s="1"/>
  <c r="AK96" i="28" s="1"/>
  <c r="AM97" i="28" s="1"/>
  <c r="G92" i="28" l="1"/>
  <c r="F92" i="28"/>
  <c r="C91" i="28"/>
  <c r="W94" i="28"/>
  <c r="U95" i="28" s="1"/>
  <c r="AC93" i="28"/>
  <c r="D94" i="28" s="1"/>
  <c r="AB93" i="28"/>
  <c r="AD94" i="28" s="1"/>
  <c r="R91" i="28"/>
  <c r="J91" i="28"/>
  <c r="N91" i="28"/>
  <c r="O91" i="28"/>
  <c r="AN98" i="28"/>
  <c r="AO99" i="28" s="1"/>
  <c r="AP100" i="28" s="1"/>
  <c r="AQ101" i="28" s="1"/>
  <c r="L92" i="28" l="1"/>
  <c r="AF95" i="28"/>
  <c r="AH96" i="28" s="1"/>
  <c r="AJ97" i="28" s="1"/>
  <c r="AL98" i="28" s="1"/>
  <c r="X94" i="28"/>
  <c r="Q102" i="28"/>
  <c r="Z92" i="28"/>
  <c r="K92" i="28" s="1"/>
  <c r="AE94" i="28"/>
  <c r="I92" i="28" l="1"/>
  <c r="P92" i="28" s="1"/>
  <c r="B92" i="28"/>
  <c r="E93" i="28" s="1"/>
  <c r="AA93" i="28"/>
  <c r="Y94" i="28"/>
  <c r="T95" i="28" s="1"/>
  <c r="H94" i="28"/>
  <c r="S94" i="28" s="1"/>
  <c r="V95" i="28" s="1"/>
  <c r="AG95" i="28"/>
  <c r="AI96" i="28" s="1"/>
  <c r="AK97" i="28" s="1"/>
  <c r="AM98" i="28" s="1"/>
  <c r="M94" i="28"/>
  <c r="G93" i="28" l="1"/>
  <c r="F93" i="28"/>
  <c r="C92" i="28"/>
  <c r="W95" i="28"/>
  <c r="U96" i="28" s="1"/>
  <c r="AB94" i="28"/>
  <c r="AD95" i="28" s="1"/>
  <c r="AC94" i="28"/>
  <c r="D95" i="28" s="1"/>
  <c r="R92" i="28"/>
  <c r="N92" i="28"/>
  <c r="J92" i="28"/>
  <c r="O92" i="28"/>
  <c r="AN99" i="28"/>
  <c r="AO100" i="28" s="1"/>
  <c r="AP101" i="28" s="1"/>
  <c r="AQ102" i="28" s="1"/>
  <c r="L93" i="28" l="1"/>
  <c r="AE95" i="28"/>
  <c r="M95" i="28" s="1"/>
  <c r="Q103" i="28"/>
  <c r="AF96" i="28"/>
  <c r="AH97" i="28" s="1"/>
  <c r="AJ98" i="28" s="1"/>
  <c r="AL99" i="28" s="1"/>
  <c r="X95" i="28"/>
  <c r="Z93" i="28"/>
  <c r="K93" i="28" s="1"/>
  <c r="H95" i="28" l="1"/>
  <c r="S95" i="28" s="1"/>
  <c r="V96" i="28" s="1"/>
  <c r="Y95" i="28"/>
  <c r="T96" i="28" s="1"/>
  <c r="AG96" i="28"/>
  <c r="AI97" i="28" s="1"/>
  <c r="AK98" i="28" s="1"/>
  <c r="AM99" i="28" s="1"/>
  <c r="AN100" i="28" s="1"/>
  <c r="AO101" i="28" s="1"/>
  <c r="AP102" i="28" s="1"/>
  <c r="AQ103" i="28" s="1"/>
  <c r="I93" i="28"/>
  <c r="P93" i="28" s="1"/>
  <c r="B93" i="28"/>
  <c r="E94" i="28" s="1"/>
  <c r="AA94" i="28"/>
  <c r="G94" i="28" l="1"/>
  <c r="F94" i="28"/>
  <c r="C93" i="28"/>
  <c r="W96" i="28"/>
  <c r="U97" i="28" s="1"/>
  <c r="J93" i="28"/>
  <c r="N93" i="28"/>
  <c r="O93" i="28"/>
  <c r="R93" i="28"/>
  <c r="Q104" i="28"/>
  <c r="D44" i="6"/>
  <c r="C45" i="6"/>
  <c r="E45" i="6"/>
  <c r="AB95" i="28"/>
  <c r="AD96" i="28" s="1"/>
  <c r="AC95" i="28"/>
  <c r="D96" i="28" s="1"/>
  <c r="L94" i="28" l="1"/>
  <c r="F45" i="6"/>
  <c r="G45" i="6"/>
  <c r="AE96" i="28"/>
  <c r="M96" i="28" s="1"/>
  <c r="AF97" i="28"/>
  <c r="AH98" i="28" s="1"/>
  <c r="AJ99" i="28" s="1"/>
  <c r="AL100" i="28" s="1"/>
  <c r="X96" i="28"/>
  <c r="Z94" i="28" l="1"/>
  <c r="K94" i="28" s="1"/>
  <c r="B94" i="28"/>
  <c r="E95" i="28" s="1"/>
  <c r="AA95" i="28"/>
  <c r="H96" i="28"/>
  <c r="S96" i="28" s="1"/>
  <c r="V97" i="28" s="1"/>
  <c r="Y96" i="28"/>
  <c r="T97" i="28" s="1"/>
  <c r="AG97" i="28"/>
  <c r="AI98" i="28" s="1"/>
  <c r="AK99" i="28" s="1"/>
  <c r="AM100" i="28" s="1"/>
  <c r="AN101" i="28" s="1"/>
  <c r="AO102" i="28" s="1"/>
  <c r="AP103" i="28" s="1"/>
  <c r="I94" i="28" l="1"/>
  <c r="P94" i="28" s="1"/>
  <c r="O94" i="28" s="1"/>
  <c r="G95" i="28"/>
  <c r="F95" i="28"/>
  <c r="C94" i="28"/>
  <c r="W97" i="28"/>
  <c r="U98" i="28" s="1"/>
  <c r="AC96" i="28"/>
  <c r="D97" i="28" s="1"/>
  <c r="AB96" i="28"/>
  <c r="AD97" i="28" s="1"/>
  <c r="R94" i="28"/>
  <c r="AQ104" i="28"/>
  <c r="D43" i="6"/>
  <c r="E44" i="6"/>
  <c r="C44" i="6"/>
  <c r="J94" i="28"/>
  <c r="N94" i="28"/>
  <c r="L95" i="28" l="1"/>
  <c r="G44" i="6"/>
  <c r="F44" i="6"/>
  <c r="AF98" i="28"/>
  <c r="AH99" i="28" s="1"/>
  <c r="AJ100" i="28" s="1"/>
  <c r="AL101" i="28" s="1"/>
  <c r="X97" i="28"/>
  <c r="AE97" i="28"/>
  <c r="Q105" i="28"/>
  <c r="Z95" i="28" l="1"/>
  <c r="K95" i="28" s="1"/>
  <c r="Y97" i="28"/>
  <c r="T98" i="28" s="1"/>
  <c r="H97" i="28"/>
  <c r="S97" i="28" s="1"/>
  <c r="V98" i="28" s="1"/>
  <c r="AG98" i="28"/>
  <c r="AI99" i="28" s="1"/>
  <c r="AK100" i="28" s="1"/>
  <c r="AM101" i="28" s="1"/>
  <c r="M97" i="28"/>
  <c r="B95" i="28" l="1"/>
  <c r="E96" i="28" s="1"/>
  <c r="G96" i="28" s="1"/>
  <c r="AA96" i="28"/>
  <c r="AB97" i="28" s="1"/>
  <c r="AD98" i="28" s="1"/>
  <c r="I95" i="28"/>
  <c r="P95" i="28" s="1"/>
  <c r="W98" i="28"/>
  <c r="U99" i="28" s="1"/>
  <c r="R95" i="28"/>
  <c r="AN102" i="28"/>
  <c r="AO103" i="28" s="1"/>
  <c r="J95" i="28" l="1"/>
  <c r="N95" i="28"/>
  <c r="C95" i="28"/>
  <c r="AC97" i="28"/>
  <c r="D98" i="28" s="1"/>
  <c r="O95" i="28"/>
  <c r="F96" i="28"/>
  <c r="L96" i="28"/>
  <c r="Z96" i="28"/>
  <c r="K96" i="28" s="1"/>
  <c r="AP104" i="28"/>
  <c r="AQ105" i="28" s="1"/>
  <c r="C43" i="6"/>
  <c r="E43" i="6"/>
  <c r="X98" i="28"/>
  <c r="AF99" i="28"/>
  <c r="AH100" i="28" s="1"/>
  <c r="AJ101" i="28" s="1"/>
  <c r="AL102" i="28" s="1"/>
  <c r="AE98" i="28" l="1"/>
  <c r="M98" i="28" s="1"/>
  <c r="I96" i="28"/>
  <c r="P96" i="28" s="1"/>
  <c r="B96" i="28"/>
  <c r="E97" i="28" s="1"/>
  <c r="AA97" i="28"/>
  <c r="Q106" i="28"/>
  <c r="H98" i="28"/>
  <c r="S98" i="28" s="1"/>
  <c r="V99" i="28" s="1"/>
  <c r="Y98" i="28"/>
  <c r="T99" i="28" s="1"/>
  <c r="AG99" i="28"/>
  <c r="AI100" i="28" s="1"/>
  <c r="AK101" i="28" s="1"/>
  <c r="AM102" i="28" s="1"/>
  <c r="G43" i="6"/>
  <c r="F43" i="6"/>
  <c r="G97" i="28" l="1"/>
  <c r="C96" i="28"/>
  <c r="W99" i="28"/>
  <c r="U100" i="28" s="1"/>
  <c r="AB98" i="28"/>
  <c r="AD99" i="28" s="1"/>
  <c r="AC98" i="28"/>
  <c r="D99" i="28" s="1"/>
  <c r="R96" i="28"/>
  <c r="J96" i="28"/>
  <c r="N96" i="28"/>
  <c r="O96" i="28"/>
  <c r="AN103" i="28"/>
  <c r="F97" i="28" l="1"/>
  <c r="L97" i="28"/>
  <c r="AE99" i="28"/>
  <c r="M99" i="28" s="1"/>
  <c r="AO104" i="28"/>
  <c r="AP105" i="28" s="1"/>
  <c r="AQ106" i="28" s="1"/>
  <c r="C42" i="6"/>
  <c r="E42" i="6"/>
  <c r="D42" i="6"/>
  <c r="X99" i="28"/>
  <c r="AF100" i="28"/>
  <c r="AH101" i="28" s="1"/>
  <c r="AJ102" i="28" s="1"/>
  <c r="AL103" i="28" s="1"/>
  <c r="Z97" i="28" l="1"/>
  <c r="K97" i="28" s="1"/>
  <c r="C40" i="6"/>
  <c r="D40" i="6"/>
  <c r="E40" i="6"/>
  <c r="Y99" i="28"/>
  <c r="T100" i="28" s="1"/>
  <c r="H99" i="28"/>
  <c r="S99" i="28" s="1"/>
  <c r="V100" i="28" s="1"/>
  <c r="AG100" i="28"/>
  <c r="AI101" i="28" s="1"/>
  <c r="AK102" i="28" s="1"/>
  <c r="AM103" i="28" s="1"/>
  <c r="F42" i="6"/>
  <c r="G42" i="6"/>
  <c r="Q107" i="28"/>
  <c r="B97" i="28" l="1"/>
  <c r="E98" i="28" s="1"/>
  <c r="G98" i="28" s="1"/>
  <c r="AA98" i="28"/>
  <c r="AC99" i="28" s="1"/>
  <c r="D100" i="28" s="1"/>
  <c r="I97" i="28"/>
  <c r="P97" i="28" s="1"/>
  <c r="W100" i="28"/>
  <c r="U101" i="28" s="1"/>
  <c r="AB99" i="28"/>
  <c r="AD100" i="28" s="1"/>
  <c r="C41" i="6"/>
  <c r="D41" i="6"/>
  <c r="E41" i="6"/>
  <c r="F40" i="6"/>
  <c r="G40" i="6"/>
  <c r="AN104" i="28"/>
  <c r="AO105" i="28" s="1"/>
  <c r="AP106" i="28" s="1"/>
  <c r="AQ107" i="28" s="1"/>
  <c r="R97" i="28" l="1"/>
  <c r="F98" i="28"/>
  <c r="J97" i="28"/>
  <c r="C97" i="28"/>
  <c r="O97" i="28"/>
  <c r="N97" i="28"/>
  <c r="L98" i="28"/>
  <c r="AE100" i="28"/>
  <c r="M100" i="28" s="1"/>
  <c r="Z98" i="28"/>
  <c r="K98" i="28" s="1"/>
  <c r="F41" i="6"/>
  <c r="G41" i="6"/>
  <c r="AF101" i="28"/>
  <c r="AH102" i="28" s="1"/>
  <c r="AJ103" i="28" s="1"/>
  <c r="X100" i="28"/>
  <c r="Q108" i="28"/>
  <c r="Y100" i="28" l="1"/>
  <c r="T101" i="28" s="1"/>
  <c r="H100" i="28"/>
  <c r="S100" i="28" s="1"/>
  <c r="V101" i="28" s="1"/>
  <c r="AG101" i="28"/>
  <c r="AI102" i="28" s="1"/>
  <c r="AK103" i="28" s="1"/>
  <c r="AL104" i="28"/>
  <c r="C38" i="6"/>
  <c r="D38" i="6"/>
  <c r="E38" i="6"/>
  <c r="I98" i="28"/>
  <c r="P98" i="28" s="1"/>
  <c r="B98" i="28"/>
  <c r="E99" i="28" s="1"/>
  <c r="AA99" i="28"/>
  <c r="G99" i="28" l="1"/>
  <c r="F99" i="28"/>
  <c r="C98" i="28"/>
  <c r="W101" i="28"/>
  <c r="U102" i="28" s="1"/>
  <c r="R98" i="28"/>
  <c r="G38" i="6"/>
  <c r="F38" i="6"/>
  <c r="AC100" i="28"/>
  <c r="D101" i="28" s="1"/>
  <c r="AB100" i="28"/>
  <c r="AD101" i="28" s="1"/>
  <c r="AM104" i="28"/>
  <c r="E39" i="6"/>
  <c r="D39" i="6"/>
  <c r="C39" i="6"/>
  <c r="N98" i="28"/>
  <c r="J98" i="28"/>
  <c r="O98" i="28"/>
  <c r="L99" i="28" l="1"/>
  <c r="F39" i="6"/>
  <c r="G39" i="6"/>
  <c r="X101" i="28"/>
  <c r="AF102" i="28"/>
  <c r="AH103" i="28" s="1"/>
  <c r="Z99" i="28"/>
  <c r="K99" i="28" s="1"/>
  <c r="AN105" i="28"/>
  <c r="AO106" i="28" s="1"/>
  <c r="AP107" i="28" s="1"/>
  <c r="AQ108" i="28" s="1"/>
  <c r="AE101" i="28"/>
  <c r="Y101" i="28" l="1"/>
  <c r="T102" i="28" s="1"/>
  <c r="H101" i="28"/>
  <c r="S101" i="28" s="1"/>
  <c r="V102" i="28" s="1"/>
  <c r="AG102" i="28"/>
  <c r="AI103" i="28" s="1"/>
  <c r="AJ104" i="28"/>
  <c r="AL105" i="28" s="1"/>
  <c r="C36" i="6"/>
  <c r="D36" i="6"/>
  <c r="E36" i="6"/>
  <c r="I99" i="28"/>
  <c r="P99" i="28" s="1"/>
  <c r="B99" i="28"/>
  <c r="E100" i="28" s="1"/>
  <c r="AA100" i="28"/>
  <c r="Q109" i="28"/>
  <c r="M101" i="28"/>
  <c r="G100" i="28" l="1"/>
  <c r="F100" i="28"/>
  <c r="C99" i="28"/>
  <c r="W102" i="28"/>
  <c r="AB101" i="28"/>
  <c r="AD102" i="28" s="1"/>
  <c r="AC101" i="28"/>
  <c r="D102" i="28" s="1"/>
  <c r="U103" i="28"/>
  <c r="G36" i="6"/>
  <c r="F36" i="6"/>
  <c r="AK104" i="28"/>
  <c r="AM105" i="28" s="1"/>
  <c r="E37" i="6"/>
  <c r="C37" i="6"/>
  <c r="D37" i="6"/>
  <c r="R99" i="28"/>
  <c r="J99" i="28"/>
  <c r="N99" i="28"/>
  <c r="O99" i="28"/>
  <c r="L100" i="28" l="1"/>
  <c r="Z100" i="28"/>
  <c r="K100" i="28" s="1"/>
  <c r="AE102" i="28"/>
  <c r="M102" i="28" s="1"/>
  <c r="G37" i="6"/>
  <c r="F37" i="6"/>
  <c r="AN106" i="28"/>
  <c r="AO107" i="28" s="1"/>
  <c r="AP108" i="28" s="1"/>
  <c r="AQ109" i="28" s="1"/>
  <c r="X102" i="28"/>
  <c r="AF103" i="28"/>
  <c r="Q110" i="28" l="1"/>
  <c r="I100" i="28"/>
  <c r="P100" i="28" s="1"/>
  <c r="B100" i="28"/>
  <c r="E101" i="28" s="1"/>
  <c r="AA101" i="28"/>
  <c r="AH104" i="28"/>
  <c r="AJ105" i="28" s="1"/>
  <c r="AL106" i="28" s="1"/>
  <c r="D34" i="6"/>
  <c r="C34" i="6"/>
  <c r="E34" i="6"/>
  <c r="Y102" i="28"/>
  <c r="T103" i="28" s="1"/>
  <c r="H102" i="28"/>
  <c r="S102" i="28" s="1"/>
  <c r="V103" i="28" s="1"/>
  <c r="AG103" i="28"/>
  <c r="L16" i="6" l="1"/>
  <c r="G101" i="28"/>
  <c r="F101" i="28"/>
  <c r="F25" i="1"/>
  <c r="C100" i="28"/>
  <c r="W103" i="28"/>
  <c r="U104" i="28" s="1"/>
  <c r="AB102" i="28"/>
  <c r="AD103" i="28" s="1"/>
  <c r="AC102" i="28"/>
  <c r="D103" i="28" s="1"/>
  <c r="J100" i="28"/>
  <c r="N100" i="28"/>
  <c r="O100" i="28"/>
  <c r="R100" i="28"/>
  <c r="F34" i="6"/>
  <c r="G34" i="6"/>
  <c r="AI104" i="28"/>
  <c r="AK105" i="28" s="1"/>
  <c r="AM106" i="28" s="1"/>
  <c r="AN107" i="28" s="1"/>
  <c r="AO108" i="28" s="1"/>
  <c r="AP109" i="28" s="1"/>
  <c r="AQ110" i="28" s="1"/>
  <c r="C35" i="6"/>
  <c r="D35" i="6"/>
  <c r="E35" i="6"/>
  <c r="F26" i="1" l="1"/>
  <c r="L17" i="6"/>
  <c r="L18" i="6" s="1"/>
  <c r="L101" i="28"/>
  <c r="Q111" i="28"/>
  <c r="G35" i="6"/>
  <c r="F35" i="6"/>
  <c r="AE103" i="28"/>
  <c r="M103" i="28" s="1"/>
  <c r="AF104" i="28"/>
  <c r="AH105" i="28" s="1"/>
  <c r="AJ106" i="28" s="1"/>
  <c r="AL107" i="28" s="1"/>
  <c r="X103" i="28"/>
  <c r="E32" i="6"/>
  <c r="C32" i="6"/>
  <c r="D32" i="6"/>
  <c r="Z101" i="28"/>
  <c r="K101" i="28" s="1"/>
  <c r="I101" i="28" l="1"/>
  <c r="P101" i="28" s="1"/>
  <c r="B101" i="28"/>
  <c r="E102" i="28" s="1"/>
  <c r="AA102" i="28"/>
  <c r="Y103" i="28"/>
  <c r="T104" i="28" s="1"/>
  <c r="H103" i="28"/>
  <c r="S103" i="28" s="1"/>
  <c r="V104" i="28" s="1"/>
  <c r="AG104" i="28"/>
  <c r="AI105" i="28" s="1"/>
  <c r="AK106" i="28" s="1"/>
  <c r="AM107" i="28" s="1"/>
  <c r="D33" i="6"/>
  <c r="C33" i="6"/>
  <c r="E33" i="6"/>
  <c r="G32" i="6"/>
  <c r="F32" i="6"/>
  <c r="C19" i="6"/>
  <c r="G102" i="28" l="1"/>
  <c r="F102" i="28"/>
  <c r="C101" i="28"/>
  <c r="R101" i="28"/>
  <c r="W104" i="28"/>
  <c r="N101" i="28"/>
  <c r="J101" i="28"/>
  <c r="O101" i="28"/>
  <c r="F33" i="6"/>
  <c r="C20" i="6"/>
  <c r="G33" i="6"/>
  <c r="AB103" i="28"/>
  <c r="AC103" i="28"/>
  <c r="D104" i="28" s="1"/>
  <c r="AN108" i="28"/>
  <c r="AO109" i="28" s="1"/>
  <c r="AP110" i="28" s="1"/>
  <c r="AQ111" i="28" s="1"/>
  <c r="L102" i="28" l="1"/>
  <c r="AE104" i="28"/>
  <c r="D31" i="6"/>
  <c r="C31" i="6"/>
  <c r="E31" i="6"/>
  <c r="Q112" i="28"/>
  <c r="AD104" i="28"/>
  <c r="D30" i="6"/>
  <c r="E30" i="6"/>
  <c r="C30" i="6"/>
  <c r="U105" i="28"/>
  <c r="Z102" i="28"/>
  <c r="K102" i="28" s="1"/>
  <c r="M104" i="28" l="1"/>
  <c r="X104" i="28"/>
  <c r="AF105" i="28"/>
  <c r="AH106" i="28" s="1"/>
  <c r="AJ107" i="28" s="1"/>
  <c r="AL108" i="28" s="1"/>
  <c r="F31" i="6"/>
  <c r="G31" i="6"/>
  <c r="G30" i="6"/>
  <c r="F30" i="6"/>
  <c r="Y104" i="28"/>
  <c r="H104" i="28"/>
  <c r="S104" i="28" s="1"/>
  <c r="V105" i="28" s="1"/>
  <c r="AG105" i="28"/>
  <c r="AI106" i="28" s="1"/>
  <c r="AK107" i="28" s="1"/>
  <c r="AM108" i="28" s="1"/>
  <c r="I102" i="28"/>
  <c r="P102" i="28" s="1"/>
  <c r="B102" i="28"/>
  <c r="E103" i="28" s="1"/>
  <c r="AA103" i="28"/>
  <c r="G103" i="28" l="1"/>
  <c r="F103" i="28"/>
  <c r="C102" i="28"/>
  <c r="AN109" i="28"/>
  <c r="AO110" i="28" s="1"/>
  <c r="AP111" i="28" s="1"/>
  <c r="AQ112" i="28" s="1"/>
  <c r="Q113" i="28" s="1"/>
  <c r="R102" i="28"/>
  <c r="N102" i="28"/>
  <c r="J102" i="28"/>
  <c r="O102" i="28"/>
  <c r="T105" i="28"/>
  <c r="W105" i="28" s="1"/>
  <c r="AB104" i="28"/>
  <c r="AD105" i="28" s="1"/>
  <c r="AC104" i="28"/>
  <c r="D105" i="28" s="1"/>
  <c r="D29" i="6"/>
  <c r="C29" i="6"/>
  <c r="E29" i="6"/>
  <c r="L103" i="28" l="1"/>
  <c r="G29" i="6"/>
  <c r="F29" i="6"/>
  <c r="Z103" i="28"/>
  <c r="K103" i="28" s="1"/>
  <c r="AE105" i="28"/>
  <c r="AF106" i="28"/>
  <c r="AH107" i="28" s="1"/>
  <c r="AJ108" i="28" s="1"/>
  <c r="AL109" i="28" s="1"/>
  <c r="X105" i="28"/>
  <c r="U106" i="28"/>
  <c r="Y105" i="28" l="1"/>
  <c r="H105" i="28"/>
  <c r="S105" i="28" s="1"/>
  <c r="V106" i="28" s="1"/>
  <c r="AG106" i="28"/>
  <c r="AI107" i="28" s="1"/>
  <c r="AK108" i="28" s="1"/>
  <c r="AM109" i="28" s="1"/>
  <c r="AN110" i="28" s="1"/>
  <c r="AO111" i="28" s="1"/>
  <c r="AP112" i="28" s="1"/>
  <c r="AQ113" i="28" s="1"/>
  <c r="M105" i="28"/>
  <c r="T106" i="28"/>
  <c r="I103" i="28"/>
  <c r="P103" i="28" s="1"/>
  <c r="B103" i="28"/>
  <c r="E104" i="28" s="1"/>
  <c r="AA104" i="28"/>
  <c r="E28" i="6"/>
  <c r="C28" i="6"/>
  <c r="D28" i="6"/>
  <c r="G104" i="28" l="1"/>
  <c r="F104" i="28"/>
  <c r="C103" i="28"/>
  <c r="W106" i="28"/>
  <c r="U107" i="28" s="1"/>
  <c r="Q114" i="28"/>
  <c r="N103" i="28"/>
  <c r="J103" i="28"/>
  <c r="O103" i="28"/>
  <c r="G28" i="6"/>
  <c r="F28" i="6"/>
  <c r="AC105" i="28"/>
  <c r="D106" i="28" s="1"/>
  <c r="AB105" i="28"/>
  <c r="AD106" i="28" s="1"/>
  <c r="B5" i="6"/>
  <c r="B4" i="6"/>
  <c r="B7" i="6"/>
  <c r="B3" i="6"/>
  <c r="R103" i="28"/>
  <c r="L104" i="28" l="1"/>
  <c r="C3" i="6"/>
  <c r="E25" i="1"/>
  <c r="AF107" i="28"/>
  <c r="AH108" i="28" s="1"/>
  <c r="AJ109" i="28" s="1"/>
  <c r="AL110" i="28" s="1"/>
  <c r="X106" i="28"/>
  <c r="AE106" i="28"/>
  <c r="Z104" i="28" l="1"/>
  <c r="K104" i="28" s="1"/>
  <c r="B13" i="26"/>
  <c r="Y106" i="28"/>
  <c r="T107" i="28" s="1"/>
  <c r="H106" i="28"/>
  <c r="S106" i="28" s="1"/>
  <c r="V107" i="28" s="1"/>
  <c r="AG107" i="28"/>
  <c r="AI108" i="28" s="1"/>
  <c r="AK109" i="28" s="1"/>
  <c r="AM110" i="28" s="1"/>
  <c r="AN111" i="28" s="1"/>
  <c r="AO112" i="28" s="1"/>
  <c r="AP113" i="28" s="1"/>
  <c r="AQ114" i="28" s="1"/>
  <c r="B104" i="28"/>
  <c r="E105" i="28" s="1"/>
  <c r="AA105" i="28"/>
  <c r="B38" i="1"/>
  <c r="C1" i="14"/>
  <c r="B1" i="15"/>
  <c r="D2" i="9"/>
  <c r="D1" i="24"/>
  <c r="D36" i="8"/>
  <c r="M106" i="28"/>
  <c r="I104" i="28" l="1"/>
  <c r="P104" i="28" s="1"/>
  <c r="G105" i="28"/>
  <c r="D13" i="26"/>
  <c r="H13" i="26" s="1"/>
  <c r="F13" i="26"/>
  <c r="W107" i="28"/>
  <c r="U108" i="28" s="1"/>
  <c r="AC106" i="28"/>
  <c r="D107" i="28" s="1"/>
  <c r="AB106" i="28"/>
  <c r="AD107" i="28" s="1"/>
  <c r="R104" i="28"/>
  <c r="B31" i="15"/>
  <c r="B33" i="15" s="1"/>
  <c r="B35" i="15" s="1"/>
  <c r="B13" i="15"/>
  <c r="Q115" i="28"/>
  <c r="J104" i="28"/>
  <c r="N104" i="28"/>
  <c r="O104" i="28"/>
  <c r="D23" i="24"/>
  <c r="E23" i="24" s="1"/>
  <c r="D17" i="24"/>
  <c r="E17" i="24" s="1"/>
  <c r="D21" i="24"/>
  <c r="E21" i="24" s="1"/>
  <c r="D20" i="24"/>
  <c r="E20" i="24" s="1"/>
  <c r="D19" i="24"/>
  <c r="E19" i="24" s="1"/>
  <c r="D18" i="24"/>
  <c r="E18" i="24" s="1"/>
  <c r="D26" i="24"/>
  <c r="D16" i="24"/>
  <c r="E16" i="24" s="1"/>
  <c r="D15" i="24"/>
  <c r="E15" i="24" s="1"/>
  <c r="D22" i="24"/>
  <c r="E22" i="24" s="1"/>
  <c r="D24" i="24"/>
  <c r="E24" i="24" s="1"/>
  <c r="D14" i="24"/>
  <c r="E14" i="24" s="1"/>
  <c r="G129" i="21"/>
  <c r="AA9" i="21"/>
  <c r="F62" i="21"/>
  <c r="D6" i="9"/>
  <c r="F117" i="21"/>
  <c r="AA126" i="21"/>
  <c r="AA4" i="21"/>
  <c r="F29" i="21"/>
  <c r="F91" i="21"/>
  <c r="F94" i="21"/>
  <c r="F70" i="21"/>
  <c r="F105" i="21"/>
  <c r="F34" i="21"/>
  <c r="F69" i="21"/>
  <c r="F109" i="21"/>
  <c r="F24" i="21"/>
  <c r="F23" i="21"/>
  <c r="F108" i="21"/>
  <c r="F59" i="21"/>
  <c r="F110" i="21"/>
  <c r="F58" i="21"/>
  <c r="F18" i="21"/>
  <c r="F103" i="21"/>
  <c r="F92" i="21"/>
  <c r="F14" i="21"/>
  <c r="F86" i="21"/>
  <c r="F35" i="21"/>
  <c r="F90" i="21"/>
  <c r="F33" i="21"/>
  <c r="F97" i="21"/>
  <c r="F98" i="21"/>
  <c r="E37" i="9"/>
  <c r="F96" i="21"/>
  <c r="F25" i="21"/>
  <c r="F35" i="8"/>
  <c r="F32" i="8"/>
  <c r="G18" i="8" s="1"/>
  <c r="E1" i="14"/>
  <c r="I10" i="14"/>
  <c r="I9" i="14"/>
  <c r="D23" i="18"/>
  <c r="D38" i="1"/>
  <c r="C104" i="28" l="1"/>
  <c r="D9" i="24"/>
  <c r="F105" i="28"/>
  <c r="L105" i="28"/>
  <c r="E26" i="24"/>
  <c r="F26" i="24"/>
  <c r="AA18" i="21"/>
  <c r="X18" i="21"/>
  <c r="AA94" i="21"/>
  <c r="X94" i="21"/>
  <c r="B37" i="15"/>
  <c r="F14" i="9"/>
  <c r="B41" i="15"/>
  <c r="AA23" i="21"/>
  <c r="X23" i="21"/>
  <c r="AA91" i="21"/>
  <c r="X91" i="21"/>
  <c r="X58" i="21"/>
  <c r="AA58" i="21"/>
  <c r="AA24" i="21"/>
  <c r="X24" i="21"/>
  <c r="AA29" i="21"/>
  <c r="X29" i="21"/>
  <c r="AA96" i="21"/>
  <c r="X96" i="21"/>
  <c r="E39" i="9"/>
  <c r="AA90" i="21"/>
  <c r="X90" i="21"/>
  <c r="AA35" i="21"/>
  <c r="X35" i="21"/>
  <c r="AA110" i="21"/>
  <c r="X110" i="21"/>
  <c r="X69" i="21"/>
  <c r="AA69" i="21"/>
  <c r="Z105" i="28"/>
  <c r="K105" i="28" s="1"/>
  <c r="AA109" i="21"/>
  <c r="X109" i="21"/>
  <c r="AA86" i="21"/>
  <c r="X86" i="21"/>
  <c r="AA59" i="21"/>
  <c r="X59" i="21"/>
  <c r="X34" i="21"/>
  <c r="AA34" i="21"/>
  <c r="AA117" i="21"/>
  <c r="X117" i="21"/>
  <c r="J10" i="14"/>
  <c r="H10" i="14"/>
  <c r="AA33" i="21"/>
  <c r="X33" i="21"/>
  <c r="X14" i="21"/>
  <c r="AA14" i="21"/>
  <c r="AA103" i="21"/>
  <c r="X103" i="21"/>
  <c r="X105" i="21"/>
  <c r="AA105" i="21"/>
  <c r="X107" i="28"/>
  <c r="AF108" i="28"/>
  <c r="AH109" i="28" s="1"/>
  <c r="AJ110" i="28" s="1"/>
  <c r="AL111" i="28" s="1"/>
  <c r="AA97" i="21"/>
  <c r="X97" i="21"/>
  <c r="AA25" i="21"/>
  <c r="X25" i="21"/>
  <c r="AA98" i="21"/>
  <c r="X98" i="21"/>
  <c r="E23" i="18"/>
  <c r="F23" i="18"/>
  <c r="J9" i="14"/>
  <c r="H9" i="14"/>
  <c r="G20" i="8"/>
  <c r="N44" i="8" s="1"/>
  <c r="D21" i="8"/>
  <c r="AA92" i="21"/>
  <c r="X92" i="21"/>
  <c r="AA108" i="21"/>
  <c r="X108" i="21"/>
  <c r="AA70" i="21"/>
  <c r="X70" i="21"/>
  <c r="AA62" i="21"/>
  <c r="X62" i="21"/>
  <c r="B16" i="15"/>
  <c r="C16" i="15"/>
  <c r="D16" i="15"/>
  <c r="AE107" i="28"/>
  <c r="M107" i="28" s="1"/>
  <c r="G26" i="24" l="1"/>
  <c r="B43" i="15"/>
  <c r="B39" i="15"/>
  <c r="B38" i="15" s="1"/>
  <c r="B44" i="15"/>
  <c r="E14" i="9" s="1"/>
  <c r="Z92" i="21"/>
  <c r="AB92" i="21"/>
  <c r="AD92" i="21" s="1"/>
  <c r="Z69" i="21"/>
  <c r="AB69" i="21"/>
  <c r="AD69" i="21" s="1"/>
  <c r="Z58" i="21"/>
  <c r="AB58" i="21"/>
  <c r="AD58" i="21" s="1"/>
  <c r="Z94" i="21"/>
  <c r="AB94" i="21"/>
  <c r="AD94" i="21" s="1"/>
  <c r="Z117" i="21"/>
  <c r="AB117" i="21"/>
  <c r="AD117" i="21" s="1"/>
  <c r="B18" i="15"/>
  <c r="B15" i="15"/>
  <c r="D22" i="8"/>
  <c r="AB33" i="21"/>
  <c r="AD33" i="21" s="1"/>
  <c r="Z33" i="21"/>
  <c r="AB59" i="21"/>
  <c r="AD59" i="21" s="1"/>
  <c r="Z59" i="21"/>
  <c r="Z96" i="21"/>
  <c r="AB96" i="21"/>
  <c r="AD96" i="21" s="1"/>
  <c r="Z91" i="21"/>
  <c r="AB91" i="21"/>
  <c r="AD91" i="21" s="1"/>
  <c r="AB109" i="21"/>
  <c r="AD109" i="21" s="1"/>
  <c r="Z109" i="21"/>
  <c r="Z110" i="21"/>
  <c r="AB110" i="21"/>
  <c r="AD110" i="21" s="1"/>
  <c r="Z70" i="21"/>
  <c r="AB70" i="21"/>
  <c r="AD70" i="21" s="1"/>
  <c r="Z25" i="21"/>
  <c r="AB25" i="21"/>
  <c r="AD25" i="21" s="1"/>
  <c r="Z105" i="21"/>
  <c r="AB105" i="21"/>
  <c r="AD105" i="21" s="1"/>
  <c r="Z35" i="21"/>
  <c r="AB35" i="21"/>
  <c r="AD35" i="21" s="1"/>
  <c r="AB18" i="21"/>
  <c r="AD18" i="21" s="1"/>
  <c r="Z18" i="21"/>
  <c r="Z24" i="21"/>
  <c r="AB24" i="21"/>
  <c r="AD24" i="21" s="1"/>
  <c r="C15" i="15"/>
  <c r="C18" i="15"/>
  <c r="Y107" i="28"/>
  <c r="T108" i="28" s="1"/>
  <c r="H107" i="28"/>
  <c r="S107" i="28" s="1"/>
  <c r="V108" i="28" s="1"/>
  <c r="AG108" i="28"/>
  <c r="AI109" i="28" s="1"/>
  <c r="AK110" i="28" s="1"/>
  <c r="AM111" i="28" s="1"/>
  <c r="AN112" i="28" s="1"/>
  <c r="AO113" i="28" s="1"/>
  <c r="AP114" i="28" s="1"/>
  <c r="AQ115" i="28" s="1"/>
  <c r="Z103" i="21"/>
  <c r="AB103" i="21"/>
  <c r="AD103" i="21" s="1"/>
  <c r="Z86" i="21"/>
  <c r="AB86" i="21"/>
  <c r="AD86" i="21" s="1"/>
  <c r="Z29" i="21"/>
  <c r="AB29" i="21"/>
  <c r="AD29" i="21" s="1"/>
  <c r="Z23" i="21"/>
  <c r="AB23" i="21"/>
  <c r="AD23" i="21" s="1"/>
  <c r="D15" i="15"/>
  <c r="D18" i="15"/>
  <c r="Z62" i="21"/>
  <c r="AB62" i="21"/>
  <c r="AD62" i="21" s="1"/>
  <c r="Z98" i="21"/>
  <c r="AB98" i="21"/>
  <c r="AD98" i="21" s="1"/>
  <c r="AB34" i="21"/>
  <c r="AD34" i="21" s="1"/>
  <c r="Z34" i="21"/>
  <c r="Z108" i="21"/>
  <c r="AB108" i="21"/>
  <c r="AD108" i="21" s="1"/>
  <c r="Z97" i="21"/>
  <c r="AB97" i="21"/>
  <c r="AD97" i="21" s="1"/>
  <c r="I105" i="28"/>
  <c r="P105" i="28" s="1"/>
  <c r="B105" i="28"/>
  <c r="E106" i="28" s="1"/>
  <c r="AA106" i="28"/>
  <c r="Z90" i="21"/>
  <c r="AB90" i="21"/>
  <c r="AD90" i="21" s="1"/>
  <c r="G106" i="28" l="1"/>
  <c r="F106" i="28"/>
  <c r="C105" i="28"/>
  <c r="W108" i="28"/>
  <c r="U109" i="28" s="1"/>
  <c r="B25" i="15"/>
  <c r="B19" i="15"/>
  <c r="B48" i="15"/>
  <c r="B50" i="15" s="1"/>
  <c r="B52" i="15" s="1"/>
  <c r="C25" i="15"/>
  <c r="C26" i="15" s="1"/>
  <c r="C19" i="15"/>
  <c r="H18" i="8"/>
  <c r="I18" i="8"/>
  <c r="I20" i="8" s="1"/>
  <c r="AB107" i="28"/>
  <c r="AD108" i="28" s="1"/>
  <c r="AC107" i="28"/>
  <c r="D108" i="28" s="1"/>
  <c r="D19" i="15"/>
  <c r="D25" i="15"/>
  <c r="D26" i="15" s="1"/>
  <c r="R105" i="28"/>
  <c r="J20" i="8"/>
  <c r="J105" i="28"/>
  <c r="N105" i="28"/>
  <c r="O105" i="28"/>
  <c r="J18" i="8"/>
  <c r="L106" i="28" l="1"/>
  <c r="X108" i="28"/>
  <c r="AF109" i="28"/>
  <c r="AH110" i="28" s="1"/>
  <c r="AJ111" i="28" s="1"/>
  <c r="AL112" i="28" s="1"/>
  <c r="B20" i="15"/>
  <c r="F13" i="9"/>
  <c r="B22" i="15"/>
  <c r="AE108" i="28"/>
  <c r="H20" i="8"/>
  <c r="D43" i="8"/>
  <c r="Q44" i="8"/>
  <c r="C18" i="8"/>
  <c r="F12" i="9" s="1"/>
  <c r="C19" i="8"/>
  <c r="D8" i="8" s="1"/>
  <c r="B26" i="15"/>
  <c r="AG44" i="8"/>
  <c r="B54" i="15"/>
  <c r="B58" i="15"/>
  <c r="Z106" i="28"/>
  <c r="K106" i="28" s="1"/>
  <c r="B59" i="15" l="1"/>
  <c r="B60" i="15" s="1"/>
  <c r="E15" i="9" s="1"/>
  <c r="B56" i="15"/>
  <c r="B55" i="15" s="1"/>
  <c r="R45" i="8"/>
  <c r="R44" i="8"/>
  <c r="AH45" i="8"/>
  <c r="H44" i="8"/>
  <c r="M44" i="8"/>
  <c r="N45" i="8" s="1"/>
  <c r="I106" i="28"/>
  <c r="P106" i="28" s="1"/>
  <c r="B106" i="28"/>
  <c r="E107" i="28" s="1"/>
  <c r="AA107" i="28"/>
  <c r="H108" i="28"/>
  <c r="S108" i="28" s="1"/>
  <c r="V109" i="28" s="1"/>
  <c r="Y108" i="28"/>
  <c r="T109" i="28" s="1"/>
  <c r="AG109" i="28"/>
  <c r="AI110" i="28" s="1"/>
  <c r="AK111" i="28" s="1"/>
  <c r="AM112" i="28" s="1"/>
  <c r="AH44" i="8"/>
  <c r="AI45" i="8" s="1"/>
  <c r="B6" i="15"/>
  <c r="B8" i="15" s="1"/>
  <c r="B10" i="15" s="1"/>
  <c r="E11" i="9" s="1"/>
  <c r="B27" i="15"/>
  <c r="E13" i="9" s="1"/>
  <c r="F8" i="8"/>
  <c r="G123" i="21"/>
  <c r="G125" i="21" s="1"/>
  <c r="E12" i="9"/>
  <c r="M108" i="28"/>
  <c r="G107" i="28" l="1"/>
  <c r="F107" i="28"/>
  <c r="C106" i="28"/>
  <c r="W109" i="28"/>
  <c r="U110" i="28" s="1"/>
  <c r="S44" i="8"/>
  <c r="S45" i="8"/>
  <c r="N106" i="28"/>
  <c r="J106" i="28"/>
  <c r="O106" i="28"/>
  <c r="S46" i="8"/>
  <c r="E16" i="9"/>
  <c r="AB108" i="28"/>
  <c r="AD109" i="28" s="1"/>
  <c r="AC108" i="28"/>
  <c r="D109" i="28" s="1"/>
  <c r="E44" i="8"/>
  <c r="AG45" i="8" s="1"/>
  <c r="AN113" i="28"/>
  <c r="AO114" i="28" s="1"/>
  <c r="AP115" i="28" s="1"/>
  <c r="R106" i="28"/>
  <c r="L107" i="28" l="1"/>
  <c r="AE109" i="28"/>
  <c r="M109" i="28" s="1"/>
  <c r="X109" i="28"/>
  <c r="AF110" i="28"/>
  <c r="AH111" i="28" s="1"/>
  <c r="AJ112" i="28" s="1"/>
  <c r="AL113" i="28" s="1"/>
  <c r="Z107" i="28"/>
  <c r="K107" i="28" s="1"/>
  <c r="G106" i="21"/>
  <c r="G69" i="21"/>
  <c r="G80" i="21"/>
  <c r="G36" i="21"/>
  <c r="G24" i="21"/>
  <c r="G91" i="21"/>
  <c r="G23" i="21"/>
  <c r="G65" i="21"/>
  <c r="G47" i="21"/>
  <c r="G48" i="21"/>
  <c r="G30" i="21"/>
  <c r="G7" i="21"/>
  <c r="G43" i="21"/>
  <c r="G67" i="21"/>
  <c r="G66" i="21"/>
  <c r="G10" i="21"/>
  <c r="G108" i="21"/>
  <c r="G78" i="21"/>
  <c r="G75" i="21"/>
  <c r="G119" i="21"/>
  <c r="G51" i="21"/>
  <c r="G61" i="21"/>
  <c r="G5" i="21"/>
  <c r="G59" i="21"/>
  <c r="G62" i="21"/>
  <c r="G68" i="21"/>
  <c r="G96" i="21"/>
  <c r="G34" i="21"/>
  <c r="G81" i="21"/>
  <c r="G54" i="21"/>
  <c r="G50" i="21"/>
  <c r="G84" i="21"/>
  <c r="G103" i="21"/>
  <c r="G64" i="21"/>
  <c r="G94" i="21"/>
  <c r="G89" i="21"/>
  <c r="G117" i="21"/>
  <c r="G32" i="21"/>
  <c r="G17" i="21"/>
  <c r="G38" i="21"/>
  <c r="G90" i="21"/>
  <c r="G72" i="21"/>
  <c r="G109" i="21"/>
  <c r="G35" i="21"/>
  <c r="G49" i="21"/>
  <c r="G118" i="21"/>
  <c r="G74" i="21"/>
  <c r="G52" i="21"/>
  <c r="G92" i="21"/>
  <c r="G12" i="21"/>
  <c r="G63" i="21"/>
  <c r="G60" i="21"/>
  <c r="G40" i="21"/>
  <c r="G46" i="21"/>
  <c r="G25" i="21"/>
  <c r="G110" i="21"/>
  <c r="G93" i="21"/>
  <c r="G41" i="21"/>
  <c r="G77" i="21"/>
  <c r="G105" i="21"/>
  <c r="G33" i="21"/>
  <c r="G58" i="21"/>
  <c r="G27" i="21"/>
  <c r="G53" i="21"/>
  <c r="G6" i="21"/>
  <c r="G55" i="21"/>
  <c r="G56" i="21"/>
  <c r="G57" i="21"/>
  <c r="G107" i="21"/>
  <c r="G111" i="21"/>
  <c r="G71" i="21"/>
  <c r="G116" i="21"/>
  <c r="G18" i="21"/>
  <c r="G95" i="21"/>
  <c r="G70" i="21"/>
  <c r="G97" i="21"/>
  <c r="G73" i="21"/>
  <c r="G11" i="21"/>
  <c r="G26" i="21"/>
  <c r="G21" i="21"/>
  <c r="G37" i="21"/>
  <c r="G85" i="21"/>
  <c r="G42" i="21"/>
  <c r="G76" i="21"/>
  <c r="G22" i="21"/>
  <c r="G8" i="21"/>
  <c r="G86" i="21"/>
  <c r="G29" i="21"/>
  <c r="G79" i="21"/>
  <c r="G98" i="21"/>
  <c r="G112" i="21"/>
  <c r="G14" i="21"/>
  <c r="Y14" i="21" s="1"/>
  <c r="G104" i="21"/>
  <c r="Y104" i="21" s="1"/>
  <c r="G101" i="21"/>
  <c r="Y101" i="21" s="1"/>
  <c r="G28" i="21"/>
  <c r="Y28" i="21" s="1"/>
  <c r="G39" i="21"/>
  <c r="Y39" i="21" s="1"/>
  <c r="G31" i="21"/>
  <c r="Y31" i="21" s="1"/>
  <c r="G115" i="21"/>
  <c r="Y115" i="21" s="1"/>
  <c r="G9" i="21"/>
  <c r="Y9" i="21" s="1"/>
  <c r="G102" i="21"/>
  <c r="Y102" i="21" s="1"/>
  <c r="G4" i="21"/>
  <c r="F85" i="21"/>
  <c r="F6" i="21"/>
  <c r="F64" i="21"/>
  <c r="F38" i="21"/>
  <c r="F43" i="21"/>
  <c r="F107" i="21"/>
  <c r="F41" i="21"/>
  <c r="F52" i="21"/>
  <c r="F115" i="21"/>
  <c r="F7" i="21"/>
  <c r="F8" i="21"/>
  <c r="F89" i="21"/>
  <c r="F47" i="21"/>
  <c r="F60" i="21"/>
  <c r="F80" i="21"/>
  <c r="F78" i="21"/>
  <c r="F12" i="21"/>
  <c r="F119" i="21"/>
  <c r="F71" i="21"/>
  <c r="F37" i="21"/>
  <c r="F118" i="21"/>
  <c r="F21" i="21"/>
  <c r="F36" i="21"/>
  <c r="F10" i="21"/>
  <c r="F116" i="21"/>
  <c r="F51" i="21"/>
  <c r="F65" i="21"/>
  <c r="F75" i="21"/>
  <c r="F55" i="21"/>
  <c r="F46" i="21"/>
  <c r="F106" i="21"/>
  <c r="F84" i="21"/>
  <c r="F5" i="21"/>
  <c r="F26" i="21"/>
  <c r="F77" i="21"/>
  <c r="F61" i="21"/>
  <c r="F49" i="21"/>
  <c r="F76" i="21"/>
  <c r="F28" i="21"/>
  <c r="F66" i="21"/>
  <c r="F81" i="21"/>
  <c r="F11" i="21"/>
  <c r="F30" i="21"/>
  <c r="F54" i="21"/>
  <c r="F39" i="21"/>
  <c r="F101" i="21"/>
  <c r="F48" i="21"/>
  <c r="F63" i="21"/>
  <c r="F93" i="21"/>
  <c r="F102" i="21"/>
  <c r="F104" i="21"/>
  <c r="F17" i="21"/>
  <c r="F68" i="21"/>
  <c r="F31" i="21"/>
  <c r="F22" i="21"/>
  <c r="F53" i="21"/>
  <c r="F95" i="21"/>
  <c r="F112" i="21"/>
  <c r="F73" i="21"/>
  <c r="F42" i="21"/>
  <c r="F50" i="21"/>
  <c r="F40" i="21"/>
  <c r="F72" i="21"/>
  <c r="F74" i="21"/>
  <c r="F79" i="21"/>
  <c r="F57" i="21"/>
  <c r="F67" i="21"/>
  <c r="F32" i="21"/>
  <c r="F56" i="21"/>
  <c r="F27" i="21"/>
  <c r="F111" i="21"/>
  <c r="AH46" i="8"/>
  <c r="E45" i="8"/>
  <c r="T44" i="8"/>
  <c r="B44" i="8" s="1"/>
  <c r="AA116" i="21" l="1"/>
  <c r="X116" i="21"/>
  <c r="AA115" i="21"/>
  <c r="X115" i="21"/>
  <c r="AA85" i="21"/>
  <c r="X85" i="21"/>
  <c r="AA53" i="21"/>
  <c r="X53" i="21"/>
  <c r="AA78" i="21"/>
  <c r="X78" i="21"/>
  <c r="E17" i="9"/>
  <c r="Y4" i="21"/>
  <c r="I107" i="28"/>
  <c r="P107" i="28" s="1"/>
  <c r="B107" i="28"/>
  <c r="E108" i="28" s="1"/>
  <c r="AA108" i="28"/>
  <c r="AA79" i="21"/>
  <c r="X79" i="21"/>
  <c r="AA74" i="21"/>
  <c r="X74" i="21"/>
  <c r="AA84" i="21"/>
  <c r="X84" i="21"/>
  <c r="X72" i="21"/>
  <c r="AA72" i="21"/>
  <c r="AA22" i="21"/>
  <c r="X22" i="21"/>
  <c r="AA48" i="21"/>
  <c r="X48" i="21"/>
  <c r="AA28" i="21"/>
  <c r="X28" i="21"/>
  <c r="AA106" i="21"/>
  <c r="X106" i="21"/>
  <c r="AA36" i="21"/>
  <c r="X36" i="21"/>
  <c r="X80" i="21"/>
  <c r="AA80" i="21"/>
  <c r="AA41" i="21"/>
  <c r="X41" i="21"/>
  <c r="AB14" i="21"/>
  <c r="AD14" i="21" s="1"/>
  <c r="Z14" i="21"/>
  <c r="AA5" i="21"/>
  <c r="X5" i="21"/>
  <c r="AA46" i="21"/>
  <c r="X46" i="21"/>
  <c r="AA81" i="21"/>
  <c r="X81" i="21"/>
  <c r="AA63" i="21"/>
  <c r="X63" i="21"/>
  <c r="AA52" i="21"/>
  <c r="X52" i="21"/>
  <c r="AA40" i="21"/>
  <c r="X40" i="21"/>
  <c r="Z9" i="21"/>
  <c r="AB9" i="21"/>
  <c r="AD9" i="21" s="1"/>
  <c r="X56" i="21"/>
  <c r="AA56" i="21"/>
  <c r="X39" i="21"/>
  <c r="AA39" i="21"/>
  <c r="AA49" i="21"/>
  <c r="X49" i="21"/>
  <c r="AA55" i="21"/>
  <c r="X55" i="21"/>
  <c r="AA118" i="21"/>
  <c r="X118" i="21"/>
  <c r="X47" i="21"/>
  <c r="AA47" i="21"/>
  <c r="AA43" i="21"/>
  <c r="X43" i="21"/>
  <c r="AA12" i="21"/>
  <c r="X12" i="21"/>
  <c r="AA10" i="21"/>
  <c r="X10" i="21"/>
  <c r="AA27" i="21"/>
  <c r="X27" i="21"/>
  <c r="AA76" i="21"/>
  <c r="X76" i="21"/>
  <c r="AA60" i="21"/>
  <c r="X60" i="21"/>
  <c r="AA68" i="21"/>
  <c r="X68" i="21"/>
  <c r="D44" i="8"/>
  <c r="X32" i="21"/>
  <c r="AA32" i="21"/>
  <c r="AA42" i="21"/>
  <c r="X42" i="21"/>
  <c r="X17" i="21"/>
  <c r="AA17" i="21"/>
  <c r="AA54" i="21"/>
  <c r="X54" i="21"/>
  <c r="AA61" i="21"/>
  <c r="X61" i="21"/>
  <c r="AA75" i="21"/>
  <c r="X75" i="21"/>
  <c r="AA37" i="21"/>
  <c r="X37" i="21"/>
  <c r="AA89" i="21"/>
  <c r="X89" i="21"/>
  <c r="AA38" i="21"/>
  <c r="X38" i="21"/>
  <c r="AA95" i="21"/>
  <c r="X95" i="21"/>
  <c r="AA66" i="21"/>
  <c r="X66" i="21"/>
  <c r="AA111" i="21"/>
  <c r="X111" i="21"/>
  <c r="AA31" i="21"/>
  <c r="X31" i="21"/>
  <c r="AA21" i="21"/>
  <c r="X21" i="21"/>
  <c r="AG46" i="8"/>
  <c r="AA67" i="21"/>
  <c r="X67" i="21"/>
  <c r="AA73" i="21"/>
  <c r="X73" i="21"/>
  <c r="AA104" i="21"/>
  <c r="X104" i="21"/>
  <c r="AA30" i="21"/>
  <c r="X30" i="21"/>
  <c r="AA77" i="21"/>
  <c r="X77" i="21"/>
  <c r="AA65" i="21"/>
  <c r="X65" i="21"/>
  <c r="AA71" i="21"/>
  <c r="X71" i="21"/>
  <c r="AA8" i="21"/>
  <c r="X8" i="21"/>
  <c r="AA64" i="21"/>
  <c r="X64" i="21"/>
  <c r="Y109" i="28"/>
  <c r="T110" i="28" s="1"/>
  <c r="H109" i="28"/>
  <c r="S109" i="28" s="1"/>
  <c r="V110" i="28" s="1"/>
  <c r="AG110" i="28"/>
  <c r="AI111" i="28" s="1"/>
  <c r="AK112" i="28" s="1"/>
  <c r="AM113" i="28" s="1"/>
  <c r="AA93" i="21"/>
  <c r="X93" i="21"/>
  <c r="AA101" i="21"/>
  <c r="X101" i="21"/>
  <c r="X107" i="21"/>
  <c r="AA107" i="21"/>
  <c r="AA50" i="21"/>
  <c r="X50" i="21"/>
  <c r="AA57" i="21"/>
  <c r="X57" i="21"/>
  <c r="AA112" i="21"/>
  <c r="X112" i="21"/>
  <c r="X102" i="21"/>
  <c r="AA102" i="21"/>
  <c r="AA11" i="21"/>
  <c r="X11" i="21"/>
  <c r="X26" i="21"/>
  <c r="AA26" i="21"/>
  <c r="AA51" i="21"/>
  <c r="X51" i="21"/>
  <c r="X119" i="21"/>
  <c r="AA119" i="21"/>
  <c r="AA7" i="21"/>
  <c r="X7" i="21"/>
  <c r="E38" i="9"/>
  <c r="B11" i="26" s="1"/>
  <c r="AA6" i="21"/>
  <c r="X6" i="21"/>
  <c r="G108" i="28" l="1"/>
  <c r="F108" i="28"/>
  <c r="C107" i="28"/>
  <c r="W110" i="28"/>
  <c r="U111" i="28" s="1"/>
  <c r="Z119" i="21"/>
  <c r="AB119" i="21"/>
  <c r="AD119" i="21" s="1"/>
  <c r="AB109" i="28"/>
  <c r="AD110" i="28" s="1"/>
  <c r="AC109" i="28"/>
  <c r="D110" i="28" s="1"/>
  <c r="Z53" i="21"/>
  <c r="AB53" i="21"/>
  <c r="AD53" i="21" s="1"/>
  <c r="Z61" i="21"/>
  <c r="AB61" i="21"/>
  <c r="AD61" i="21" s="1"/>
  <c r="R107" i="28"/>
  <c r="Z12" i="21"/>
  <c r="AB12" i="21"/>
  <c r="AD12" i="21" s="1"/>
  <c r="Z106" i="21"/>
  <c r="AB106" i="21"/>
  <c r="AD106" i="21" s="1"/>
  <c r="AB65" i="21"/>
  <c r="AD65" i="21" s="1"/>
  <c r="Z65" i="21"/>
  <c r="AB32" i="21"/>
  <c r="AD32" i="21" s="1"/>
  <c r="Z32" i="21"/>
  <c r="Z41" i="21"/>
  <c r="AB41" i="21"/>
  <c r="AD41" i="21" s="1"/>
  <c r="AB28" i="21"/>
  <c r="AD28" i="21" s="1"/>
  <c r="Z28" i="21"/>
  <c r="AB84" i="21"/>
  <c r="AD84" i="21" s="1"/>
  <c r="Z84" i="21"/>
  <c r="N107" i="28"/>
  <c r="J107" i="28"/>
  <c r="O107" i="28"/>
  <c r="Z85" i="21"/>
  <c r="AB85" i="21"/>
  <c r="AD85" i="21" s="1"/>
  <c r="Z43" i="21"/>
  <c r="AB43" i="21"/>
  <c r="AD43" i="21" s="1"/>
  <c r="Z49" i="21"/>
  <c r="AB49" i="21"/>
  <c r="AD49" i="21" s="1"/>
  <c r="Z40" i="21"/>
  <c r="AB40" i="21"/>
  <c r="AD40" i="21" s="1"/>
  <c r="AN114" i="28"/>
  <c r="AO115" i="28" s="1"/>
  <c r="Z102" i="21"/>
  <c r="AB102" i="21"/>
  <c r="AD102" i="21" s="1"/>
  <c r="Z72" i="21"/>
  <c r="AB72" i="21"/>
  <c r="AD72" i="21" s="1"/>
  <c r="AB76" i="21"/>
  <c r="AD76" i="21" s="1"/>
  <c r="Z76" i="21"/>
  <c r="Z67" i="21"/>
  <c r="AB67" i="21"/>
  <c r="AD67" i="21" s="1"/>
  <c r="Z89" i="21"/>
  <c r="AB89" i="21"/>
  <c r="AD89" i="21" s="1"/>
  <c r="H45" i="8"/>
  <c r="M45" i="8"/>
  <c r="N46" i="8" s="1"/>
  <c r="F44" i="8"/>
  <c r="G45" i="8" s="1"/>
  <c r="O45" i="8"/>
  <c r="AB27" i="21"/>
  <c r="AD27" i="21" s="1"/>
  <c r="Z27" i="21"/>
  <c r="Z46" i="21"/>
  <c r="AB46" i="21"/>
  <c r="AD46" i="21" s="1"/>
  <c r="Z48" i="21"/>
  <c r="AB48" i="21"/>
  <c r="AD48" i="21" s="1"/>
  <c r="Z74" i="21"/>
  <c r="AB74" i="21"/>
  <c r="AD74" i="21" s="1"/>
  <c r="C44" i="9"/>
  <c r="Z4" i="21"/>
  <c r="AB4" i="21"/>
  <c r="AD4" i="21" s="1"/>
  <c r="Z115" i="21"/>
  <c r="AB115" i="21"/>
  <c r="AD115" i="21" s="1"/>
  <c r="AB112" i="21"/>
  <c r="AD112" i="21" s="1"/>
  <c r="Z112" i="21"/>
  <c r="Z31" i="21"/>
  <c r="AB31" i="21"/>
  <c r="AD31" i="21" s="1"/>
  <c r="Z55" i="21"/>
  <c r="AB55" i="21"/>
  <c r="AD55" i="21" s="1"/>
  <c r="Z81" i="21"/>
  <c r="AB81" i="21"/>
  <c r="AD81" i="21" s="1"/>
  <c r="E40" i="9"/>
  <c r="B37" i="1" s="1"/>
  <c r="D22" i="18" s="1"/>
  <c r="Z11" i="21"/>
  <c r="AB11" i="21"/>
  <c r="AD11" i="21" s="1"/>
  <c r="AB8" i="21"/>
  <c r="AD8" i="21" s="1"/>
  <c r="Z8" i="21"/>
  <c r="Z66" i="21"/>
  <c r="AB66" i="21"/>
  <c r="AD66" i="21" s="1"/>
  <c r="Z52" i="21"/>
  <c r="AB52" i="21"/>
  <c r="AD52" i="21" s="1"/>
  <c r="Z80" i="21"/>
  <c r="AB80" i="21"/>
  <c r="AD80" i="21" s="1"/>
  <c r="Z60" i="21"/>
  <c r="AB60" i="21"/>
  <c r="AD60" i="21" s="1"/>
  <c r="Z107" i="21"/>
  <c r="AB107" i="21"/>
  <c r="AD107" i="21" s="1"/>
  <c r="Z38" i="21"/>
  <c r="AB38" i="21"/>
  <c r="AD38" i="21" s="1"/>
  <c r="Z6" i="21"/>
  <c r="AB6" i="21"/>
  <c r="AD6" i="21" s="1"/>
  <c r="AB101" i="21"/>
  <c r="AD101" i="21" s="1"/>
  <c r="Z101" i="21"/>
  <c r="Z64" i="21"/>
  <c r="AB64" i="21"/>
  <c r="AD64" i="21" s="1"/>
  <c r="AB111" i="21"/>
  <c r="AD111" i="21" s="1"/>
  <c r="Z111" i="21"/>
  <c r="Z30" i="21"/>
  <c r="AB30" i="21"/>
  <c r="AD30" i="21" s="1"/>
  <c r="Z37" i="21"/>
  <c r="AB37" i="21"/>
  <c r="AD37" i="21" s="1"/>
  <c r="Z50" i="21"/>
  <c r="AB50" i="21"/>
  <c r="AD50" i="21" s="1"/>
  <c r="Z93" i="21"/>
  <c r="AB93" i="21"/>
  <c r="AD93" i="21" s="1"/>
  <c r="AB17" i="21"/>
  <c r="AD17" i="21" s="1"/>
  <c r="Z17" i="21"/>
  <c r="AB68" i="21"/>
  <c r="AD68" i="21" s="1"/>
  <c r="Z68" i="21"/>
  <c r="Z10" i="21"/>
  <c r="AB10" i="21"/>
  <c r="AD10" i="21" s="1"/>
  <c r="Z47" i="21"/>
  <c r="AB47" i="21"/>
  <c r="AD47" i="21" s="1"/>
  <c r="Z39" i="21"/>
  <c r="AB39" i="21"/>
  <c r="AD39" i="21" s="1"/>
  <c r="AB5" i="21"/>
  <c r="AD5" i="21" s="1"/>
  <c r="Z5" i="21"/>
  <c r="C43" i="9"/>
  <c r="Z36" i="21"/>
  <c r="AB36" i="21"/>
  <c r="AD36" i="21" s="1"/>
  <c r="Z22" i="21"/>
  <c r="AB22" i="21"/>
  <c r="AD22" i="21" s="1"/>
  <c r="AB79" i="21"/>
  <c r="AD79" i="21" s="1"/>
  <c r="Z79" i="21"/>
  <c r="AB78" i="21"/>
  <c r="AD78" i="21" s="1"/>
  <c r="Z78" i="21"/>
  <c r="Z116" i="21"/>
  <c r="AB116" i="21"/>
  <c r="AD116" i="21" s="1"/>
  <c r="Z56" i="21"/>
  <c r="AB56" i="21"/>
  <c r="AD56" i="21" s="1"/>
  <c r="Z51" i="21"/>
  <c r="AB51" i="21"/>
  <c r="AD51" i="21" s="1"/>
  <c r="Z73" i="21"/>
  <c r="AB73" i="21"/>
  <c r="AD73" i="21" s="1"/>
  <c r="Z57" i="21"/>
  <c r="AB57" i="21"/>
  <c r="AD57" i="21" s="1"/>
  <c r="Z77" i="21"/>
  <c r="AB77" i="21"/>
  <c r="AD77" i="21" s="1"/>
  <c r="Z54" i="21"/>
  <c r="AB54" i="21"/>
  <c r="AD54" i="21" s="1"/>
  <c r="AB26" i="21"/>
  <c r="AD26" i="21" s="1"/>
  <c r="Z26" i="21"/>
  <c r="Z7" i="21"/>
  <c r="AB7" i="21"/>
  <c r="AD7" i="21" s="1"/>
  <c r="AH47" i="8"/>
  <c r="Z71" i="21"/>
  <c r="AB71" i="21"/>
  <c r="AD71" i="21" s="1"/>
  <c r="AB104" i="21"/>
  <c r="AD104" i="21" s="1"/>
  <c r="Z104" i="21"/>
  <c r="Z21" i="21"/>
  <c r="AB21" i="21"/>
  <c r="AD21" i="21" s="1"/>
  <c r="Z95" i="21"/>
  <c r="AB95" i="21"/>
  <c r="AD95" i="21" s="1"/>
  <c r="Z75" i="21"/>
  <c r="AB75" i="21"/>
  <c r="AD75" i="21" s="1"/>
  <c r="Z42" i="21"/>
  <c r="AB42" i="21"/>
  <c r="AD42" i="21" s="1"/>
  <c r="Z118" i="21"/>
  <c r="AB118" i="21"/>
  <c r="AD118" i="21" s="1"/>
  <c r="Z63" i="21"/>
  <c r="AB63" i="21"/>
  <c r="AD63" i="21" s="1"/>
  <c r="L108" i="28" l="1"/>
  <c r="C45" i="9"/>
  <c r="D45" i="9" s="1"/>
  <c r="D37" i="1"/>
  <c r="AM46" i="8"/>
  <c r="AN46" i="8"/>
  <c r="AO46" i="8"/>
  <c r="AK46" i="8"/>
  <c r="AL46" i="8"/>
  <c r="AI46" i="8"/>
  <c r="AJ46" i="8"/>
  <c r="AE110" i="28"/>
  <c r="M110" i="28" s="1"/>
  <c r="F11" i="26"/>
  <c r="D11" i="26"/>
  <c r="AF111" i="28"/>
  <c r="AH112" i="28" s="1"/>
  <c r="AJ113" i="28" s="1"/>
  <c r="AL114" i="28" s="1"/>
  <c r="X110" i="28"/>
  <c r="W45" i="8"/>
  <c r="V45" i="8"/>
  <c r="T45" i="8"/>
  <c r="U45" i="8"/>
  <c r="Z108" i="28"/>
  <c r="K108" i="28" s="1"/>
  <c r="B12" i="26"/>
  <c r="C15" i="13"/>
  <c r="C47" i="9"/>
  <c r="P46" i="8"/>
  <c r="Q47" i="8" s="1"/>
  <c r="H11" i="26" l="1"/>
  <c r="D7" i="9"/>
  <c r="D8" i="9" s="1"/>
  <c r="B33" i="1"/>
  <c r="B34" i="1" s="1"/>
  <c r="D21" i="18" s="1"/>
  <c r="I108" i="28"/>
  <c r="P108" i="28" s="1"/>
  <c r="B108" i="28"/>
  <c r="E109" i="28" s="1"/>
  <c r="AA109" i="28"/>
  <c r="D45" i="8"/>
  <c r="J45" i="8"/>
  <c r="K45" i="8" s="1"/>
  <c r="B58" i="1"/>
  <c r="B57" i="1"/>
  <c r="Y110" i="28"/>
  <c r="T111" i="28" s="1"/>
  <c r="H110" i="28"/>
  <c r="S110" i="28" s="1"/>
  <c r="V111" i="28" s="1"/>
  <c r="AG111" i="28"/>
  <c r="AI112" i="28" s="1"/>
  <c r="AK113" i="28" s="1"/>
  <c r="AM114" i="28" s="1"/>
  <c r="AN115" i="28" s="1"/>
  <c r="E46" i="8"/>
  <c r="C17" i="13"/>
  <c r="C16" i="13"/>
  <c r="B45" i="8"/>
  <c r="F12" i="26"/>
  <c r="D12" i="26"/>
  <c r="H12" i="26" s="1"/>
  <c r="R48" i="8"/>
  <c r="S49" i="8" s="1"/>
  <c r="F22" i="18"/>
  <c r="E22" i="18"/>
  <c r="G109" i="28" l="1"/>
  <c r="F109" i="28"/>
  <c r="C108" i="28"/>
  <c r="D34" i="1"/>
  <c r="W111" i="28"/>
  <c r="U112" i="28" s="1"/>
  <c r="N108" i="28"/>
  <c r="J108" i="28"/>
  <c r="O108" i="28"/>
  <c r="R108" i="28"/>
  <c r="AG47" i="8"/>
  <c r="AC110" i="28"/>
  <c r="D111" i="28" s="1"/>
  <c r="AB110" i="28"/>
  <c r="AD111" i="28" s="1"/>
  <c r="B78" i="1"/>
  <c r="E21" i="18"/>
  <c r="F21" i="18"/>
  <c r="H46" i="8"/>
  <c r="L45" i="8"/>
  <c r="M46" i="8"/>
  <c r="N47" i="8" s="1"/>
  <c r="O46" i="8"/>
  <c r="F45" i="8"/>
  <c r="G46" i="8" s="1"/>
  <c r="L109" i="28" l="1"/>
  <c r="AI47" i="8"/>
  <c r="AM47" i="8"/>
  <c r="AK47" i="8"/>
  <c r="AL47" i="8"/>
  <c r="AO47" i="8"/>
  <c r="AN47" i="8"/>
  <c r="AJ47" i="8"/>
  <c r="AH48" i="8"/>
  <c r="P47" i="8"/>
  <c r="Q48" i="8" s="1"/>
  <c r="X111" i="28"/>
  <c r="AF112" i="28"/>
  <c r="AH113" i="28" s="1"/>
  <c r="AJ114" i="28" s="1"/>
  <c r="AL115" i="28" s="1"/>
  <c r="AE111" i="28"/>
  <c r="M111" i="28" s="1"/>
  <c r="Z109" i="28"/>
  <c r="K109" i="28" s="1"/>
  <c r="T46" i="8"/>
  <c r="W46" i="8"/>
  <c r="V46" i="8"/>
  <c r="U46" i="8"/>
  <c r="E47" i="8" l="1"/>
  <c r="AG48" i="8" s="1"/>
  <c r="D46" i="8"/>
  <c r="J46" i="8"/>
  <c r="K46" i="8" s="1"/>
  <c r="B46" i="8"/>
  <c r="R49" i="8"/>
  <c r="S50" i="8" s="1"/>
  <c r="I109" i="28"/>
  <c r="P109" i="28" s="1"/>
  <c r="AA110" i="28"/>
  <c r="B109" i="28"/>
  <c r="E110" i="28" s="1"/>
  <c r="AG112" i="28"/>
  <c r="AI113" i="28" s="1"/>
  <c r="AK114" i="28" s="1"/>
  <c r="AM115" i="28" s="1"/>
  <c r="Y111" i="28"/>
  <c r="T112" i="28" s="1"/>
  <c r="H111" i="28"/>
  <c r="S111" i="28" s="1"/>
  <c r="V112" i="28" s="1"/>
  <c r="G110" i="28" l="1"/>
  <c r="F110" i="28"/>
  <c r="C109" i="28"/>
  <c r="W112" i="28"/>
  <c r="U113" i="28" s="1"/>
  <c r="R109" i="28"/>
  <c r="AH49" i="8"/>
  <c r="AC111" i="28"/>
  <c r="D112" i="28" s="1"/>
  <c r="AB111" i="28"/>
  <c r="AD112" i="28" s="1"/>
  <c r="N109" i="28"/>
  <c r="J109" i="28"/>
  <c r="O109" i="28"/>
  <c r="H47" i="8"/>
  <c r="L46" i="8"/>
  <c r="M47" i="8"/>
  <c r="N48" i="8" s="1"/>
  <c r="O47" i="8"/>
  <c r="F46" i="8"/>
  <c r="G47" i="8" s="1"/>
  <c r="L110" i="28" l="1"/>
  <c r="P48" i="8"/>
  <c r="Q49" i="8" s="1"/>
  <c r="X112" i="28"/>
  <c r="AF113" i="28"/>
  <c r="AH114" i="28" s="1"/>
  <c r="AJ115" i="28" s="1"/>
  <c r="Z110" i="28"/>
  <c r="K110" i="28" s="1"/>
  <c r="T47" i="8"/>
  <c r="W47" i="8"/>
  <c r="U47" i="8"/>
  <c r="V47" i="8"/>
  <c r="AI48" i="8"/>
  <c r="AJ48" i="8"/>
  <c r="AO48" i="8"/>
  <c r="AL48" i="8"/>
  <c r="AM48" i="8"/>
  <c r="AK48" i="8"/>
  <c r="AN48" i="8"/>
  <c r="AE112" i="28"/>
  <c r="E48" i="8" l="1"/>
  <c r="Y112" i="28"/>
  <c r="T113" i="28" s="1"/>
  <c r="H112" i="28"/>
  <c r="S112" i="28" s="1"/>
  <c r="V113" i="28" s="1"/>
  <c r="AG113" i="28"/>
  <c r="AI114" i="28" s="1"/>
  <c r="AK115" i="28" s="1"/>
  <c r="M112" i="28"/>
  <c r="I110" i="28"/>
  <c r="P110" i="28" s="1"/>
  <c r="AA111" i="28"/>
  <c r="B110" i="28"/>
  <c r="E111" i="28" s="1"/>
  <c r="B47" i="8"/>
  <c r="D47" i="8"/>
  <c r="J47" i="8"/>
  <c r="K47" i="8" s="1"/>
  <c r="R50" i="8"/>
  <c r="S51" i="8" s="1"/>
  <c r="G111" i="28" l="1"/>
  <c r="F111" i="28"/>
  <c r="C110" i="28"/>
  <c r="W113" i="28"/>
  <c r="U114" i="28" s="1"/>
  <c r="R110" i="28"/>
  <c r="J110" i="28"/>
  <c r="N110" i="28"/>
  <c r="O110" i="28"/>
  <c r="AC112" i="28"/>
  <c r="D113" i="28" s="1"/>
  <c r="AB112" i="28"/>
  <c r="AD113" i="28" s="1"/>
  <c r="L47" i="8"/>
  <c r="M48" i="8"/>
  <c r="N49" i="8" s="1"/>
  <c r="H48" i="8"/>
  <c r="O48" i="8"/>
  <c r="F47" i="8"/>
  <c r="G48" i="8" s="1"/>
  <c r="AG49" i="8"/>
  <c r="L111" i="28" l="1"/>
  <c r="P49" i="8"/>
  <c r="Q50" i="8" s="1"/>
  <c r="AH50" i="8"/>
  <c r="Z111" i="28"/>
  <c r="K111" i="28" s="1"/>
  <c r="T48" i="8"/>
  <c r="V48" i="8"/>
  <c r="W48" i="8"/>
  <c r="U48" i="8"/>
  <c r="AF114" i="28"/>
  <c r="AH115" i="28" s="1"/>
  <c r="X113" i="28"/>
  <c r="AE113" i="28"/>
  <c r="AI49" i="8"/>
  <c r="AO49" i="8"/>
  <c r="AN49" i="8"/>
  <c r="AL49" i="8"/>
  <c r="AM49" i="8"/>
  <c r="AJ49" i="8"/>
  <c r="AK49" i="8"/>
  <c r="H113" i="28" l="1"/>
  <c r="S113" i="28" s="1"/>
  <c r="V114" i="28" s="1"/>
  <c r="Y113" i="28"/>
  <c r="T114" i="28" s="1"/>
  <c r="AG114" i="28"/>
  <c r="AI115" i="28" s="1"/>
  <c r="I111" i="28"/>
  <c r="P111" i="28" s="1"/>
  <c r="B111" i="28"/>
  <c r="E112" i="28" s="1"/>
  <c r="AA112" i="28"/>
  <c r="E49" i="8"/>
  <c r="M113" i="28"/>
  <c r="B48" i="8"/>
  <c r="R51" i="8"/>
  <c r="S52" i="8" s="1"/>
  <c r="D48" i="8"/>
  <c r="J48" i="8"/>
  <c r="K48" i="8" s="1"/>
  <c r="G112" i="28" l="1"/>
  <c r="F112" i="28"/>
  <c r="C111" i="28"/>
  <c r="R111" i="28"/>
  <c r="J111" i="28"/>
  <c r="N111" i="28"/>
  <c r="O111" i="28"/>
  <c r="W114" i="28"/>
  <c r="AG50" i="8"/>
  <c r="L48" i="8"/>
  <c r="M49" i="8"/>
  <c r="N50" i="8" s="1"/>
  <c r="H49" i="8"/>
  <c r="O49" i="8"/>
  <c r="F48" i="8"/>
  <c r="G49" i="8" s="1"/>
  <c r="AC113" i="28"/>
  <c r="D114" i="28" s="1"/>
  <c r="AB113" i="28"/>
  <c r="AD114" i="28" s="1"/>
  <c r="L112" i="28" l="1"/>
  <c r="T49" i="8"/>
  <c r="V49" i="8"/>
  <c r="W49" i="8"/>
  <c r="U49" i="8"/>
  <c r="U115" i="28"/>
  <c r="P50" i="8"/>
  <c r="Q51" i="8" s="1"/>
  <c r="AF115" i="28"/>
  <c r="X114" i="28"/>
  <c r="AE114" i="28"/>
  <c r="M114" i="28" s="1"/>
  <c r="AI50" i="8"/>
  <c r="AN50" i="8"/>
  <c r="AM50" i="8"/>
  <c r="AK50" i="8"/>
  <c r="AL50" i="8"/>
  <c r="AO50" i="8"/>
  <c r="AJ50" i="8"/>
  <c r="AH51" i="8"/>
  <c r="Z112" i="28"/>
  <c r="K112" i="28" s="1"/>
  <c r="B49" i="8" l="1"/>
  <c r="I112" i="28"/>
  <c r="P112" i="28" s="1"/>
  <c r="AA113" i="28"/>
  <c r="B112" i="28"/>
  <c r="E113" i="28" s="1"/>
  <c r="R52" i="8"/>
  <c r="S53" i="8" s="1"/>
  <c r="E50" i="8"/>
  <c r="H114" i="28"/>
  <c r="S114" i="28" s="1"/>
  <c r="V115" i="28" s="1"/>
  <c r="AG115" i="28"/>
  <c r="Y114" i="28"/>
  <c r="T115" i="28" s="1"/>
  <c r="D49" i="8"/>
  <c r="J49" i="8"/>
  <c r="K49" i="8" s="1"/>
  <c r="G113" i="28" l="1"/>
  <c r="C112" i="28"/>
  <c r="W115" i="28"/>
  <c r="AG51" i="8"/>
  <c r="R112" i="28"/>
  <c r="AC114" i="28"/>
  <c r="D115" i="28" s="1"/>
  <c r="AB114" i="28"/>
  <c r="AD115" i="28" s="1"/>
  <c r="H50" i="8"/>
  <c r="L49" i="8"/>
  <c r="M50" i="8"/>
  <c r="N51" i="8" s="1"/>
  <c r="O50" i="8"/>
  <c r="F49" i="8"/>
  <c r="G50" i="8" s="1"/>
  <c r="N112" i="28"/>
  <c r="J112" i="28"/>
  <c r="O112" i="28"/>
  <c r="F113" i="28" l="1"/>
  <c r="L113" i="28"/>
  <c r="P51" i="8"/>
  <c r="Q52" i="8" s="1"/>
  <c r="AE115" i="28"/>
  <c r="M115" i="28" s="1"/>
  <c r="T50" i="8"/>
  <c r="V50" i="8"/>
  <c r="U50" i="8"/>
  <c r="W50" i="8"/>
  <c r="AH52" i="8"/>
  <c r="AI51" i="8"/>
  <c r="AK51" i="8"/>
  <c r="AO51" i="8"/>
  <c r="AL51" i="8"/>
  <c r="AN51" i="8"/>
  <c r="AJ51" i="8"/>
  <c r="AM51" i="8"/>
  <c r="X115" i="28"/>
  <c r="Z113" i="28" l="1"/>
  <c r="K113" i="28" s="1"/>
  <c r="E51" i="8"/>
  <c r="AG52" i="8" s="1"/>
  <c r="D50" i="8"/>
  <c r="J50" i="8"/>
  <c r="K50" i="8" s="1"/>
  <c r="R53" i="8"/>
  <c r="S54" i="8" s="1"/>
  <c r="Y115" i="28"/>
  <c r="H115" i="28"/>
  <c r="S115" i="28" s="1"/>
  <c r="I113" i="28"/>
  <c r="P113" i="28" s="1"/>
  <c r="AA114" i="28"/>
  <c r="B50" i="8"/>
  <c r="B113" i="28" l="1"/>
  <c r="E114" i="28" s="1"/>
  <c r="G114" i="28" s="1"/>
  <c r="AB115" i="28"/>
  <c r="AC115" i="28"/>
  <c r="AH53" i="8"/>
  <c r="J113" i="28"/>
  <c r="H51" i="8"/>
  <c r="L50" i="8"/>
  <c r="M51" i="8"/>
  <c r="N52" i="8" s="1"/>
  <c r="O51" i="8"/>
  <c r="F50" i="8"/>
  <c r="G51" i="8" s="1"/>
  <c r="R113" i="28"/>
  <c r="O113" i="28" l="1"/>
  <c r="C113" i="28"/>
  <c r="N113" i="28"/>
  <c r="F114" i="28"/>
  <c r="L114" i="28"/>
  <c r="Z114" i="28"/>
  <c r="K114" i="28" s="1"/>
  <c r="AI52" i="8"/>
  <c r="AO52" i="8"/>
  <c r="AN52" i="8"/>
  <c r="AM52" i="8"/>
  <c r="AK52" i="8"/>
  <c r="AJ52" i="8"/>
  <c r="AL52" i="8"/>
  <c r="P52" i="8"/>
  <c r="Q53" i="8" s="1"/>
  <c r="T51" i="8"/>
  <c r="U51" i="8"/>
  <c r="V51" i="8"/>
  <c r="W51" i="8"/>
  <c r="C17" i="6"/>
  <c r="D17" i="6"/>
  <c r="D51" i="8" l="1"/>
  <c r="J51" i="8"/>
  <c r="K51" i="8" s="1"/>
  <c r="B51" i="8"/>
  <c r="R54" i="8"/>
  <c r="S55" i="8" s="1"/>
  <c r="AA115" i="28"/>
  <c r="I114" i="28"/>
  <c r="P114" i="28" s="1"/>
  <c r="B114" i="28"/>
  <c r="E115" i="28" s="1"/>
  <c r="E52" i="8"/>
  <c r="G115" i="28" l="1"/>
  <c r="L115" i="28" s="1"/>
  <c r="F115" i="28"/>
  <c r="C114" i="28"/>
  <c r="D6" i="24"/>
  <c r="R114" i="28"/>
  <c r="N114" i="28"/>
  <c r="J114" i="28"/>
  <c r="O114" i="28"/>
  <c r="H52" i="8"/>
  <c r="L51" i="8"/>
  <c r="M52" i="8"/>
  <c r="O52" i="8"/>
  <c r="F51" i="8"/>
  <c r="G52" i="8" s="1"/>
  <c r="AG53" i="8"/>
  <c r="T52" i="8" l="1"/>
  <c r="V52" i="8"/>
  <c r="U52" i="8"/>
  <c r="W52" i="8"/>
  <c r="AH54" i="8"/>
  <c r="P53" i="8"/>
  <c r="Q54" i="8" s="1"/>
  <c r="AI53" i="8"/>
  <c r="AK53" i="8"/>
  <c r="AL53" i="8"/>
  <c r="AM53" i="8"/>
  <c r="AN53" i="8"/>
  <c r="AJ53" i="8"/>
  <c r="AO53" i="8"/>
  <c r="Z115" i="28"/>
  <c r="K115" i="28" s="1"/>
  <c r="R55" i="8" l="1"/>
  <c r="S56" i="8" s="1"/>
  <c r="E53" i="8"/>
  <c r="I115" i="28"/>
  <c r="B115" i="28"/>
  <c r="K16" i="6" s="1"/>
  <c r="K18" i="6" s="1"/>
  <c r="B52" i="8"/>
  <c r="D52" i="8"/>
  <c r="J52" i="8"/>
  <c r="K52" i="8" s="1"/>
  <c r="C115" i="28" l="1"/>
  <c r="P115" i="28"/>
  <c r="D5" i="24"/>
  <c r="R115" i="28"/>
  <c r="D7" i="24" s="1"/>
  <c r="J115" i="28"/>
  <c r="N115" i="28"/>
  <c r="AG54" i="8"/>
  <c r="H53" i="8"/>
  <c r="L52" i="8"/>
  <c r="M53" i="8"/>
  <c r="O53" i="8"/>
  <c r="F52" i="8"/>
  <c r="G53" i="8" s="1"/>
  <c r="D4" i="24" l="1"/>
  <c r="D8" i="24"/>
  <c r="AH55" i="8"/>
  <c r="AI54" i="8"/>
  <c r="AL54" i="8"/>
  <c r="AK54" i="8"/>
  <c r="AM54" i="8"/>
  <c r="AJ54" i="8"/>
  <c r="AO54" i="8"/>
  <c r="AN54" i="8"/>
  <c r="T53" i="8"/>
  <c r="V53" i="8"/>
  <c r="W53" i="8"/>
  <c r="U53" i="8"/>
  <c r="C23" i="6"/>
  <c r="B29" i="1" s="1"/>
  <c r="D23" i="6"/>
  <c r="P54" i="8"/>
  <c r="Q55" i="8" s="1"/>
  <c r="N53" i="8"/>
  <c r="O115" i="28"/>
  <c r="R56" i="8" l="1"/>
  <c r="S57" i="8" s="1"/>
  <c r="E54" i="8"/>
  <c r="C22" i="6"/>
  <c r="D22" i="6"/>
  <c r="B53" i="8"/>
  <c r="D53" i="8"/>
  <c r="J53" i="8"/>
  <c r="K53" i="8" s="1"/>
  <c r="H54" i="8" l="1"/>
  <c r="L53" i="8"/>
  <c r="M54" i="8"/>
  <c r="N55" i="8" s="1"/>
  <c r="O54" i="8"/>
  <c r="N54" i="8" s="1"/>
  <c r="F53" i="8"/>
  <c r="G54" i="8" s="1"/>
  <c r="AG55" i="8"/>
  <c r="E22" i="6"/>
  <c r="B28" i="1"/>
  <c r="B35" i="1" s="1"/>
  <c r="AH56" i="8" l="1"/>
  <c r="P55" i="8"/>
  <c r="Q56" i="8" s="1"/>
  <c r="D35" i="1"/>
  <c r="D20" i="18"/>
  <c r="J128" i="21"/>
  <c r="G128" i="21" s="1"/>
  <c r="G126" i="21" s="1"/>
  <c r="S126" i="21" s="1"/>
  <c r="Q126" i="21" s="1"/>
  <c r="D26" i="13"/>
  <c r="B40" i="1"/>
  <c r="B10" i="26" s="1"/>
  <c r="T54" i="8"/>
  <c r="W54" i="8"/>
  <c r="V54" i="8"/>
  <c r="U54" i="8"/>
  <c r="AI55" i="8"/>
  <c r="AM55" i="8"/>
  <c r="AL55" i="8"/>
  <c r="AJ55" i="8"/>
  <c r="AO55" i="8"/>
  <c r="AN55" i="8"/>
  <c r="AK55" i="8"/>
  <c r="B54" i="8" l="1"/>
  <c r="D54" i="8"/>
  <c r="J54" i="8"/>
  <c r="K54" i="8" s="1"/>
  <c r="D40" i="1"/>
  <c r="E32" i="18"/>
  <c r="E34" i="18" s="1"/>
  <c r="E35" i="18" s="1"/>
  <c r="B19" i="1"/>
  <c r="B20" i="1" s="1"/>
  <c r="E26" i="13"/>
  <c r="D28" i="13"/>
  <c r="D27" i="13"/>
  <c r="E55" i="8"/>
  <c r="F20" i="18"/>
  <c r="F27" i="18" s="1"/>
  <c r="E20" i="18"/>
  <c r="R57" i="8"/>
  <c r="S58" i="8" s="1"/>
  <c r="AG56" i="8" l="1"/>
  <c r="E28" i="13"/>
  <c r="C34" i="13" s="1"/>
  <c r="E27" i="13"/>
  <c r="C31" i="13" s="1"/>
  <c r="F10" i="26"/>
  <c r="D10" i="26"/>
  <c r="B8" i="26" s="1"/>
  <c r="H55" i="8"/>
  <c r="L54" i="8"/>
  <c r="M55" i="8"/>
  <c r="N56" i="8" s="1"/>
  <c r="O55" i="8"/>
  <c r="F54" i="8"/>
  <c r="G55" i="8" s="1"/>
  <c r="F8" i="26" l="1"/>
  <c r="D8" i="26"/>
  <c r="C33" i="13"/>
  <c r="AH57" i="8"/>
  <c r="E34" i="13"/>
  <c r="C35" i="13"/>
  <c r="C42" i="13" s="1"/>
  <c r="C45" i="13" s="1"/>
  <c r="AI56" i="8"/>
  <c r="AN56" i="8"/>
  <c r="AL56" i="8"/>
  <c r="AO56" i="8"/>
  <c r="AK56" i="8"/>
  <c r="AJ56" i="8"/>
  <c r="AM56" i="8"/>
  <c r="P56" i="8"/>
  <c r="Q57" i="8" s="1"/>
  <c r="T55" i="8"/>
  <c r="V55" i="8"/>
  <c r="W55" i="8"/>
  <c r="U55" i="8"/>
  <c r="H10" i="26"/>
  <c r="E33" i="13" l="1"/>
  <c r="C41" i="13"/>
  <c r="B77" i="1" s="1"/>
  <c r="B82" i="1" s="1"/>
  <c r="D61" i="1" s="1"/>
  <c r="B4" i="26"/>
  <c r="C4" i="26" s="1"/>
  <c r="F29" i="24" s="1"/>
  <c r="H8" i="26"/>
  <c r="B3" i="26" s="1"/>
  <c r="C3" i="26" s="1"/>
  <c r="B88" i="1"/>
  <c r="B90" i="1" s="1"/>
  <c r="C46" i="13"/>
  <c r="D8" i="7"/>
  <c r="B13" i="7" s="1"/>
  <c r="E56" i="8"/>
  <c r="D55" i="8"/>
  <c r="J55" i="8"/>
  <c r="K55" i="8" s="1"/>
  <c r="R58" i="8"/>
  <c r="S59" i="8" s="1"/>
  <c r="B55" i="8"/>
  <c r="E77" i="1" l="1"/>
  <c r="G29" i="24"/>
  <c r="D29" i="24"/>
  <c r="F31" i="24"/>
  <c r="D77" i="1"/>
  <c r="B85" i="1"/>
  <c r="B84" i="1"/>
  <c r="C84" i="1"/>
  <c r="B92" i="1"/>
  <c r="B91" i="1"/>
  <c r="H56" i="8"/>
  <c r="L55" i="8"/>
  <c r="M56" i="8"/>
  <c r="N57" i="8" s="1"/>
  <c r="O56" i="8"/>
  <c r="F55" i="8"/>
  <c r="G56" i="8" s="1"/>
  <c r="E13" i="7"/>
  <c r="C13" i="7"/>
  <c r="D13" i="7" s="1"/>
  <c r="B14" i="7" s="1"/>
  <c r="D5" i="23"/>
  <c r="C82" i="1"/>
  <c r="D29" i="27"/>
  <c r="D63" i="1"/>
  <c r="AG57" i="8"/>
  <c r="D31" i="24" l="1"/>
  <c r="E31" i="24" s="1"/>
  <c r="E29" i="24"/>
  <c r="T56" i="8"/>
  <c r="W56" i="8"/>
  <c r="V56" i="8"/>
  <c r="U56" i="8"/>
  <c r="AI57" i="8"/>
  <c r="AJ57" i="8"/>
  <c r="AK57" i="8"/>
  <c r="AO57" i="8"/>
  <c r="AL57" i="8"/>
  <c r="AN57" i="8"/>
  <c r="AM57" i="8"/>
  <c r="D1" i="23"/>
  <c r="B93" i="1"/>
  <c r="B94" i="1" s="1"/>
  <c r="E14" i="7"/>
  <c r="C14" i="7"/>
  <c r="D14" i="7" s="1"/>
  <c r="B15" i="7" s="1"/>
  <c r="P57" i="8"/>
  <c r="Q58" i="8" s="1"/>
  <c r="D2" i="23"/>
  <c r="D3" i="23"/>
  <c r="D30" i="27"/>
  <c r="F13" i="7"/>
  <c r="AH58" i="8"/>
  <c r="D30" i="24" l="1"/>
  <c r="G31" i="24"/>
  <c r="F30" i="24"/>
  <c r="E57" i="8"/>
  <c r="AG58" i="8" s="1"/>
  <c r="F14" i="7"/>
  <c r="B56" i="8"/>
  <c r="R59" i="8"/>
  <c r="S60" i="8" s="1"/>
  <c r="D56" i="8"/>
  <c r="J56" i="8"/>
  <c r="K56" i="8" s="1"/>
  <c r="B102" i="1"/>
  <c r="B105" i="1" s="1"/>
  <c r="E94" i="1"/>
  <c r="B98" i="1"/>
  <c r="B100" i="1" s="1"/>
  <c r="E15" i="7"/>
  <c r="C15" i="7"/>
  <c r="D15" i="7" s="1"/>
  <c r="D62" i="1"/>
  <c r="B60" i="1" s="1"/>
  <c r="D60" i="1" s="1"/>
  <c r="F32" i="24" l="1"/>
  <c r="F33" i="24" s="1"/>
  <c r="F28" i="24"/>
  <c r="E30" i="24"/>
  <c r="D32" i="24"/>
  <c r="G30" i="24"/>
  <c r="G32" i="24"/>
  <c r="F15" i="7"/>
  <c r="B16" i="7"/>
  <c r="E16" i="7" s="1"/>
  <c r="AH59" i="8"/>
  <c r="M57" i="8"/>
  <c r="N58" i="8" s="1"/>
  <c r="H57" i="8"/>
  <c r="L56" i="8"/>
  <c r="O57" i="8"/>
  <c r="F56" i="8"/>
  <c r="G57" i="8" s="1"/>
  <c r="E32" i="24" l="1"/>
  <c r="D33" i="24"/>
  <c r="D10" i="24" s="1"/>
  <c r="D36" i="24" s="1"/>
  <c r="D39" i="24" s="1"/>
  <c r="C16" i="7"/>
  <c r="D16" i="7" s="1"/>
  <c r="F16" i="7" s="1"/>
  <c r="T57" i="8"/>
  <c r="W57" i="8"/>
  <c r="U57" i="8"/>
  <c r="V57" i="8"/>
  <c r="AI58" i="8"/>
  <c r="AM58" i="8"/>
  <c r="AL58" i="8"/>
  <c r="AN58" i="8"/>
  <c r="AO58" i="8"/>
  <c r="AK58" i="8"/>
  <c r="AJ58" i="8"/>
  <c r="P58" i="8"/>
  <c r="Q59" i="8" s="1"/>
  <c r="B17" i="7" l="1"/>
  <c r="E33" i="24"/>
  <c r="G33" i="24"/>
  <c r="F10" i="24"/>
  <c r="F36" i="24" s="1"/>
  <c r="F37" i="24" s="1"/>
  <c r="R60" i="8"/>
  <c r="S61" i="8" s="1"/>
  <c r="E58" i="8"/>
  <c r="B57" i="8"/>
  <c r="D57" i="8"/>
  <c r="J57" i="8"/>
  <c r="K57" i="8" s="1"/>
  <c r="C17" i="7"/>
  <c r="D17" i="7" s="1"/>
  <c r="E17" i="7"/>
  <c r="D37" i="24" l="1"/>
  <c r="E39" i="24"/>
  <c r="D42" i="24"/>
  <c r="E42" i="24" s="1"/>
  <c r="D40" i="24"/>
  <c r="E40" i="24" s="1"/>
  <c r="D41" i="24"/>
  <c r="E41" i="24" s="1"/>
  <c r="D38" i="24"/>
  <c r="E38" i="24" s="1"/>
  <c r="F38" i="24"/>
  <c r="G38" i="24" s="1"/>
  <c r="F39" i="24"/>
  <c r="G39" i="24" s="1"/>
  <c r="F40" i="24"/>
  <c r="F41" i="24"/>
  <c r="G41" i="24" s="1"/>
  <c r="F42" i="24"/>
  <c r="G42" i="24" s="1"/>
  <c r="G40" i="24"/>
  <c r="F17" i="7"/>
  <c r="AG59" i="8"/>
  <c r="H58" i="8"/>
  <c r="L57" i="8"/>
  <c r="M58" i="8"/>
  <c r="N59" i="8" s="1"/>
  <c r="O58" i="8"/>
  <c r="F57" i="8"/>
  <c r="G58" i="8" s="1"/>
  <c r="B18" i="7"/>
  <c r="E37" i="24" l="1"/>
  <c r="E36" i="24" s="1"/>
  <c r="D11" i="24" s="1"/>
  <c r="E8" i="24" s="1"/>
  <c r="D35" i="24"/>
  <c r="G37" i="24"/>
  <c r="F35" i="24"/>
  <c r="E18" i="7"/>
  <c r="C18" i="7"/>
  <c r="D18" i="7" s="1"/>
  <c r="F18" i="7" s="1"/>
  <c r="T58" i="8"/>
  <c r="U58" i="8"/>
  <c r="W58" i="8"/>
  <c r="V58" i="8"/>
  <c r="AH60" i="8"/>
  <c r="AI59" i="8"/>
  <c r="AN59" i="8"/>
  <c r="AK59" i="8"/>
  <c r="AJ59" i="8"/>
  <c r="AM59" i="8"/>
  <c r="AL59" i="8"/>
  <c r="AO59" i="8"/>
  <c r="P59" i="8"/>
  <c r="Q60" i="8" s="1"/>
  <c r="D58" i="8" l="1"/>
  <c r="J58" i="8"/>
  <c r="K58" i="8" s="1"/>
  <c r="B58" i="8"/>
  <c r="R61" i="8"/>
  <c r="S62" i="8" s="1"/>
  <c r="E59" i="8"/>
  <c r="B19" i="7"/>
  <c r="D27" i="8" l="1"/>
  <c r="D26" i="8"/>
  <c r="AG60" i="8"/>
  <c r="L58" i="8"/>
  <c r="H59" i="8"/>
  <c r="M59" i="8"/>
  <c r="N60" i="8" s="1"/>
  <c r="O59" i="8"/>
  <c r="F58" i="8"/>
  <c r="G59" i="8" s="1"/>
  <c r="C19" i="7"/>
  <c r="D19" i="7" s="1"/>
  <c r="F19" i="7" s="1"/>
  <c r="E19" i="7"/>
  <c r="B20" i="7" l="1"/>
  <c r="AH61" i="8"/>
  <c r="T59" i="8"/>
  <c r="V59" i="8"/>
  <c r="U59" i="8"/>
  <c r="W59" i="8"/>
  <c r="AI60" i="8"/>
  <c r="AN60" i="8"/>
  <c r="AL60" i="8"/>
  <c r="AM60" i="8"/>
  <c r="AJ60" i="8"/>
  <c r="AO60" i="8"/>
  <c r="AK60" i="8"/>
  <c r="E20" i="7"/>
  <c r="C20" i="7"/>
  <c r="D20" i="7" s="1"/>
  <c r="B21" i="7" s="1"/>
  <c r="P60" i="8"/>
  <c r="Q61" i="8" s="1"/>
  <c r="B59" i="8" l="1"/>
  <c r="F20" i="7"/>
  <c r="E60" i="8"/>
  <c r="R62" i="8"/>
  <c r="S63" i="8" s="1"/>
  <c r="D59" i="8"/>
  <c r="J59" i="8"/>
  <c r="K59" i="8" s="1"/>
  <c r="E21" i="7"/>
  <c r="C21" i="7"/>
  <c r="D21" i="7" s="1"/>
  <c r="B22" i="7" s="1"/>
  <c r="E22" i="7" l="1"/>
  <c r="C22" i="7"/>
  <c r="D22" i="7" s="1"/>
  <c r="B23" i="7" s="1"/>
  <c r="H60" i="8"/>
  <c r="L59" i="8"/>
  <c r="M60" i="8"/>
  <c r="N61" i="8" s="1"/>
  <c r="O60" i="8"/>
  <c r="F59" i="8"/>
  <c r="G60" i="8" s="1"/>
  <c r="F21" i="7"/>
  <c r="AG61" i="8"/>
  <c r="E23" i="7" l="1"/>
  <c r="C23" i="7"/>
  <c r="D23" i="7" s="1"/>
  <c r="B24" i="7" s="1"/>
  <c r="AI61" i="8"/>
  <c r="AK61" i="8"/>
  <c r="AM61" i="8"/>
  <c r="AL61" i="8"/>
  <c r="AJ61" i="8"/>
  <c r="AO61" i="8"/>
  <c r="AN61" i="8"/>
  <c r="P61" i="8"/>
  <c r="Q62" i="8" s="1"/>
  <c r="T60" i="8"/>
  <c r="V60" i="8"/>
  <c r="U60" i="8"/>
  <c r="W60" i="8"/>
  <c r="AH62" i="8"/>
  <c r="F22" i="7"/>
  <c r="F23" i="7" l="1"/>
  <c r="E61" i="8"/>
  <c r="AG62" i="8" s="1"/>
  <c r="E24" i="7"/>
  <c r="C24" i="7"/>
  <c r="D24" i="7" s="1"/>
  <c r="D60" i="8"/>
  <c r="J60" i="8"/>
  <c r="K60" i="8" s="1"/>
  <c r="B60" i="8"/>
  <c r="R63" i="8"/>
  <c r="S64" i="8" s="1"/>
  <c r="F24" i="7" l="1"/>
  <c r="B25" i="7"/>
  <c r="C25" i="7" s="1"/>
  <c r="D25" i="7" s="1"/>
  <c r="H61" i="8"/>
  <c r="L60" i="8"/>
  <c r="M61" i="8"/>
  <c r="N62" i="8" s="1"/>
  <c r="O61" i="8"/>
  <c r="F60" i="8"/>
  <c r="G61" i="8" s="1"/>
  <c r="AH63" i="8"/>
  <c r="E25" i="7" l="1"/>
  <c r="F25" i="7"/>
  <c r="B26" i="7"/>
  <c r="C26" i="7" s="1"/>
  <c r="D26" i="7" s="1"/>
  <c r="P62" i="8"/>
  <c r="Q63" i="8" s="1"/>
  <c r="T61" i="8"/>
  <c r="W61" i="8"/>
  <c r="V61" i="8"/>
  <c r="U61" i="8"/>
  <c r="AI62" i="8"/>
  <c r="AN62" i="8"/>
  <c r="AK62" i="8"/>
  <c r="AL62" i="8"/>
  <c r="AJ62" i="8"/>
  <c r="AO62" i="8"/>
  <c r="AM62" i="8"/>
  <c r="F26" i="7" l="1"/>
  <c r="E26" i="7"/>
  <c r="B27" i="7"/>
  <c r="E27" i="7" s="1"/>
  <c r="D61" i="8"/>
  <c r="J61" i="8"/>
  <c r="K61" i="8" s="1"/>
  <c r="B61" i="8"/>
  <c r="R64" i="8"/>
  <c r="S65" i="8" s="1"/>
  <c r="E62" i="8"/>
  <c r="C27" i="7" l="1"/>
  <c r="D27" i="7" s="1"/>
  <c r="F27" i="7" s="1"/>
  <c r="AG63" i="8"/>
  <c r="H62" i="8"/>
  <c r="L61" i="8"/>
  <c r="M62" i="8"/>
  <c r="N63" i="8" s="1"/>
  <c r="O62" i="8"/>
  <c r="F61" i="8"/>
  <c r="G62" i="8" s="1"/>
  <c r="B28" i="7" l="1"/>
  <c r="E28" i="7" s="1"/>
  <c r="T62" i="8"/>
  <c r="V62" i="8"/>
  <c r="U62" i="8"/>
  <c r="W62" i="8"/>
  <c r="AH64" i="8"/>
  <c r="AI63" i="8"/>
  <c r="AO63" i="8"/>
  <c r="AJ63" i="8"/>
  <c r="AK63" i="8"/>
  <c r="AM63" i="8"/>
  <c r="AL63" i="8"/>
  <c r="AN63" i="8"/>
  <c r="P63" i="8"/>
  <c r="Q64" i="8" s="1"/>
  <c r="C28" i="7" l="1"/>
  <c r="D28" i="7" s="1"/>
  <c r="F28" i="7" s="1"/>
  <c r="R65" i="8"/>
  <c r="S66" i="8" s="1"/>
  <c r="D62" i="8"/>
  <c r="J62" i="8"/>
  <c r="K62" i="8" s="1"/>
  <c r="B62" i="8"/>
  <c r="B29" i="7"/>
  <c r="E63" i="8"/>
  <c r="H63" i="8" l="1"/>
  <c r="L62" i="8"/>
  <c r="M63" i="8"/>
  <c r="N64" i="8" s="1"/>
  <c r="O63" i="8"/>
  <c r="F62" i="8"/>
  <c r="G63" i="8" s="1"/>
  <c r="E29" i="7"/>
  <c r="C29" i="7"/>
  <c r="D29" i="7" s="1"/>
  <c r="F29" i="7" s="1"/>
  <c r="AG64" i="8"/>
  <c r="AI64" i="8" l="1"/>
  <c r="AO64" i="8"/>
  <c r="AL64" i="8"/>
  <c r="AN64" i="8"/>
  <c r="AJ64" i="8"/>
  <c r="AK64" i="8"/>
  <c r="AM64" i="8"/>
  <c r="AH65" i="8"/>
  <c r="P64" i="8"/>
  <c r="Q65" i="8" s="1"/>
  <c r="B30" i="7"/>
  <c r="T63" i="8"/>
  <c r="V63" i="8"/>
  <c r="U63" i="8"/>
  <c r="W63" i="8"/>
  <c r="R66" i="8" l="1"/>
  <c r="S67" i="8" s="1"/>
  <c r="D63" i="8"/>
  <c r="J63" i="8"/>
  <c r="K63" i="8" s="1"/>
  <c r="B63" i="8"/>
  <c r="C30" i="7"/>
  <c r="D30" i="7" s="1"/>
  <c r="F30" i="7" s="1"/>
  <c r="E30" i="7"/>
  <c r="E64" i="8"/>
  <c r="B31" i="7" l="1"/>
  <c r="C31" i="7" s="1"/>
  <c r="D31" i="7" s="1"/>
  <c r="B32" i="7" s="1"/>
  <c r="H64" i="8"/>
  <c r="L63" i="8"/>
  <c r="M64" i="8"/>
  <c r="N65" i="8" s="1"/>
  <c r="O64" i="8"/>
  <c r="F63" i="8"/>
  <c r="G64" i="8" s="1"/>
  <c r="AG65" i="8"/>
  <c r="E31" i="7" l="1"/>
  <c r="F31" i="7"/>
  <c r="E32" i="7"/>
  <c r="C32" i="7"/>
  <c r="D32" i="7" s="1"/>
  <c r="B33" i="7" s="1"/>
  <c r="AI65" i="8"/>
  <c r="AN65" i="8"/>
  <c r="AO65" i="8"/>
  <c r="AJ65" i="8"/>
  <c r="AK65" i="8"/>
  <c r="AL65" i="8"/>
  <c r="AM65" i="8"/>
  <c r="P65" i="8"/>
  <c r="Q66" i="8" s="1"/>
  <c r="AH66" i="8"/>
  <c r="T64" i="8"/>
  <c r="V64" i="8"/>
  <c r="W64" i="8"/>
  <c r="U64" i="8"/>
  <c r="F32" i="7" l="1"/>
  <c r="E65" i="8"/>
  <c r="AG66" i="8" s="1"/>
  <c r="B64" i="8"/>
  <c r="E33" i="7"/>
  <c r="C33" i="7"/>
  <c r="D33" i="7" s="1"/>
  <c r="B34" i="7" s="1"/>
  <c r="R67" i="8"/>
  <c r="S68" i="8" s="1"/>
  <c r="D64" i="8"/>
  <c r="J64" i="8"/>
  <c r="K64" i="8" s="1"/>
  <c r="F33" i="7" l="1"/>
  <c r="E34" i="7"/>
  <c r="C34" i="7"/>
  <c r="D34" i="7" s="1"/>
  <c r="B35" i="7" s="1"/>
  <c r="AH67" i="8"/>
  <c r="L64" i="8"/>
  <c r="H65" i="8"/>
  <c r="M65" i="8"/>
  <c r="N66" i="8" s="1"/>
  <c r="O65" i="8"/>
  <c r="F64" i="8"/>
  <c r="G65" i="8" s="1"/>
  <c r="F34" i="7" l="1"/>
  <c r="AI66" i="8"/>
  <c r="AO66" i="8"/>
  <c r="AJ66" i="8"/>
  <c r="AK66" i="8"/>
  <c r="AM66" i="8"/>
  <c r="AL66" i="8"/>
  <c r="AN66" i="8"/>
  <c r="E35" i="7"/>
  <c r="C35" i="7"/>
  <c r="D35" i="7" s="1"/>
  <c r="B36" i="7" s="1"/>
  <c r="P66" i="8"/>
  <c r="Q67" i="8" s="1"/>
  <c r="T65" i="8"/>
  <c r="U65" i="8"/>
  <c r="V65" i="8"/>
  <c r="W65" i="8"/>
  <c r="B65" i="8" l="1"/>
  <c r="F35" i="7"/>
  <c r="R68" i="8"/>
  <c r="S69" i="8" s="1"/>
  <c r="C36" i="7"/>
  <c r="D36" i="7" s="1"/>
  <c r="E36" i="7"/>
  <c r="D65" i="8"/>
  <c r="J65" i="8"/>
  <c r="K65" i="8" s="1"/>
  <c r="E66" i="8"/>
  <c r="F36" i="7" l="1"/>
  <c r="B37" i="7"/>
  <c r="C37" i="7" s="1"/>
  <c r="D37" i="7" s="1"/>
  <c r="L65" i="8"/>
  <c r="H66" i="8"/>
  <c r="M66" i="8"/>
  <c r="N67" i="8" s="1"/>
  <c r="O66" i="8"/>
  <c r="F65" i="8"/>
  <c r="G66" i="8" s="1"/>
  <c r="AG67" i="8"/>
  <c r="E37" i="7" l="1"/>
  <c r="F37" i="7"/>
  <c r="B38" i="7"/>
  <c r="C38" i="7" s="1"/>
  <c r="D38" i="7" s="1"/>
  <c r="AI67" i="8"/>
  <c r="AM67" i="8"/>
  <c r="AK67" i="8"/>
  <c r="AJ67" i="8"/>
  <c r="AO67" i="8"/>
  <c r="AN67" i="8"/>
  <c r="AL67" i="8"/>
  <c r="P67" i="8"/>
  <c r="Q68" i="8" s="1"/>
  <c r="AH68" i="8"/>
  <c r="T66" i="8"/>
  <c r="V66" i="8"/>
  <c r="U66" i="8"/>
  <c r="W66" i="8"/>
  <c r="E38" i="7" l="1"/>
  <c r="F38" i="7"/>
  <c r="B39" i="7"/>
  <c r="E39" i="7" s="1"/>
  <c r="D66" i="8"/>
  <c r="J66" i="8"/>
  <c r="K66" i="8" s="1"/>
  <c r="E67" i="8"/>
  <c r="B66" i="8"/>
  <c r="R69" i="8"/>
  <c r="S70" i="8" s="1"/>
  <c r="C39" i="7" l="1"/>
  <c r="D39" i="7" s="1"/>
  <c r="F39" i="7" s="1"/>
  <c r="AG68" i="8"/>
  <c r="L66" i="8"/>
  <c r="H67" i="8"/>
  <c r="M67" i="8"/>
  <c r="N68" i="8" s="1"/>
  <c r="O67" i="8"/>
  <c r="F66" i="8"/>
  <c r="G67" i="8" s="1"/>
  <c r="B40" i="7" l="1"/>
  <c r="E40" i="7" s="1"/>
  <c r="T67" i="8"/>
  <c r="U67" i="8"/>
  <c r="W67" i="8"/>
  <c r="V67" i="8"/>
  <c r="AH69" i="8"/>
  <c r="AI68" i="8"/>
  <c r="AN68" i="8"/>
  <c r="AJ68" i="8"/>
  <c r="AM68" i="8"/>
  <c r="AO68" i="8"/>
  <c r="AK68" i="8"/>
  <c r="AL68" i="8"/>
  <c r="P68" i="8"/>
  <c r="Q69" i="8" s="1"/>
  <c r="C40" i="7" l="1"/>
  <c r="D40" i="7" s="1"/>
  <c r="F40" i="7" s="1"/>
  <c r="E68" i="8"/>
  <c r="AG69" i="8" s="1"/>
  <c r="R70" i="8"/>
  <c r="S71" i="8" s="1"/>
  <c r="D67" i="8"/>
  <c r="J67" i="8"/>
  <c r="K67" i="8" s="1"/>
  <c r="B67" i="8"/>
  <c r="B41" i="7" l="1"/>
  <c r="C41" i="7" s="1"/>
  <c r="D41" i="7" s="1"/>
  <c r="AH70" i="8"/>
  <c r="H68" i="8"/>
  <c r="L67" i="8"/>
  <c r="M68" i="8"/>
  <c r="N69" i="8" s="1"/>
  <c r="O68" i="8"/>
  <c r="F67" i="8"/>
  <c r="G68" i="8" s="1"/>
  <c r="E41" i="7" l="1"/>
  <c r="F41" i="7"/>
  <c r="B42" i="7"/>
  <c r="T68" i="8"/>
  <c r="V68" i="8"/>
  <c r="W68" i="8"/>
  <c r="U68" i="8"/>
  <c r="AI69" i="8"/>
  <c r="AN69" i="8"/>
  <c r="AK69" i="8"/>
  <c r="AJ69" i="8"/>
  <c r="AM69" i="8"/>
  <c r="AO69" i="8"/>
  <c r="AL69" i="8"/>
  <c r="P69" i="8"/>
  <c r="Q70" i="8" s="1"/>
  <c r="B68" i="8" l="1"/>
  <c r="E42" i="7"/>
  <c r="C42" i="7"/>
  <c r="D42" i="7" s="1"/>
  <c r="R71" i="8"/>
  <c r="S72" i="8" s="1"/>
  <c r="E69" i="8"/>
  <c r="D68" i="8"/>
  <c r="J68" i="8"/>
  <c r="K68" i="8" s="1"/>
  <c r="F42" i="7" l="1"/>
  <c r="B43" i="7"/>
  <c r="L68" i="8"/>
  <c r="H69" i="8"/>
  <c r="M69" i="8"/>
  <c r="N70" i="8" s="1"/>
  <c r="O69" i="8"/>
  <c r="F68" i="8"/>
  <c r="G69" i="8" s="1"/>
  <c r="AG70" i="8"/>
  <c r="E43" i="7" l="1"/>
  <c r="C43" i="7"/>
  <c r="D43" i="7" s="1"/>
  <c r="P70" i="8"/>
  <c r="Q71" i="8" s="1"/>
  <c r="T69" i="8"/>
  <c r="V69" i="8"/>
  <c r="W69" i="8"/>
  <c r="U69" i="8"/>
  <c r="AH71" i="8"/>
  <c r="AI70" i="8"/>
  <c r="AL70" i="8"/>
  <c r="AM70" i="8"/>
  <c r="AO70" i="8"/>
  <c r="AK70" i="8"/>
  <c r="AN70" i="8"/>
  <c r="AJ70" i="8"/>
  <c r="F43" i="7" l="1"/>
  <c r="B44" i="7"/>
  <c r="R72" i="8"/>
  <c r="S73" i="8" s="1"/>
  <c r="D69" i="8"/>
  <c r="J69" i="8"/>
  <c r="K69" i="8" s="1"/>
  <c r="B69" i="8"/>
  <c r="E70" i="8"/>
  <c r="E44" i="7" l="1"/>
  <c r="C44" i="7"/>
  <c r="D44" i="7" s="1"/>
  <c r="F44" i="7" s="1"/>
  <c r="AG71" i="8"/>
  <c r="H70" i="8"/>
  <c r="L69" i="8"/>
  <c r="M70" i="8"/>
  <c r="N71" i="8" s="1"/>
  <c r="O70" i="8"/>
  <c r="F69" i="8"/>
  <c r="G70" i="8" s="1"/>
  <c r="B45" i="7" l="1"/>
  <c r="T70" i="8"/>
  <c r="U70" i="8"/>
  <c r="W70" i="8"/>
  <c r="V70" i="8"/>
  <c r="AH72" i="8"/>
  <c r="AI71" i="8"/>
  <c r="AM71" i="8"/>
  <c r="AO71" i="8"/>
  <c r="AL71" i="8"/>
  <c r="AN71" i="8"/>
  <c r="AJ71" i="8"/>
  <c r="AK71" i="8"/>
  <c r="P71" i="8"/>
  <c r="Q72" i="8" s="1"/>
  <c r="C45" i="7" l="1"/>
  <c r="D45" i="7" s="1"/>
  <c r="E45" i="7"/>
  <c r="E71" i="8"/>
  <c r="B70" i="8"/>
  <c r="R73" i="8"/>
  <c r="S74" i="8" s="1"/>
  <c r="D70" i="8"/>
  <c r="J70" i="8"/>
  <c r="K70" i="8" s="1"/>
  <c r="B46" i="7" l="1"/>
  <c r="F45" i="7"/>
  <c r="L70" i="8"/>
  <c r="H71" i="8"/>
  <c r="M71" i="8"/>
  <c r="N72" i="8" s="1"/>
  <c r="O71" i="8"/>
  <c r="F70" i="8"/>
  <c r="G71" i="8" s="1"/>
  <c r="AG72" i="8"/>
  <c r="C46" i="7" l="1"/>
  <c r="D46" i="7" s="1"/>
  <c r="B47" i="7" s="1"/>
  <c r="E46" i="7"/>
  <c r="P72" i="8"/>
  <c r="Q73" i="8" s="1"/>
  <c r="AH73" i="8"/>
  <c r="AI72" i="8"/>
  <c r="AJ72" i="8"/>
  <c r="AO72" i="8"/>
  <c r="AM72" i="8"/>
  <c r="AK72" i="8"/>
  <c r="AN72" i="8"/>
  <c r="AL72" i="8"/>
  <c r="T71" i="8"/>
  <c r="U71" i="8"/>
  <c r="W71" i="8"/>
  <c r="V71" i="8"/>
  <c r="E47" i="7" l="1"/>
  <c r="C47" i="7"/>
  <c r="D47" i="7" s="1"/>
  <c r="B48" i="7" s="1"/>
  <c r="F46" i="7"/>
  <c r="B71" i="8"/>
  <c r="R74" i="8"/>
  <c r="S75" i="8" s="1"/>
  <c r="E72" i="8"/>
  <c r="D71" i="8"/>
  <c r="J71" i="8"/>
  <c r="K71" i="8" s="1"/>
  <c r="F47" i="7" l="1"/>
  <c r="E48" i="7"/>
  <c r="C48" i="7"/>
  <c r="D48" i="7" s="1"/>
  <c r="B49" i="7" s="1"/>
  <c r="AG73" i="8"/>
  <c r="H72" i="8"/>
  <c r="L71" i="8"/>
  <c r="M72" i="8"/>
  <c r="N73" i="8" s="1"/>
  <c r="O72" i="8"/>
  <c r="F71" i="8"/>
  <c r="G72" i="8" s="1"/>
  <c r="C49" i="7" l="1"/>
  <c r="D49" i="7" s="1"/>
  <c r="B50" i="7" s="1"/>
  <c r="E49" i="7"/>
  <c r="F48" i="7"/>
  <c r="T72" i="8"/>
  <c r="W72" i="8"/>
  <c r="V72" i="8"/>
  <c r="U72" i="8"/>
  <c r="AH74" i="8"/>
  <c r="AI73" i="8"/>
  <c r="AL73" i="8"/>
  <c r="AN73" i="8"/>
  <c r="AK73" i="8"/>
  <c r="AJ73" i="8"/>
  <c r="AM73" i="8"/>
  <c r="AO73" i="8"/>
  <c r="P73" i="8"/>
  <c r="Q74" i="8" s="1"/>
  <c r="E50" i="7" l="1"/>
  <c r="C50" i="7"/>
  <c r="D50" i="7" s="1"/>
  <c r="F49" i="7"/>
  <c r="B72" i="8"/>
  <c r="E73" i="8"/>
  <c r="R75" i="8"/>
  <c r="S76" i="8" s="1"/>
  <c r="D72" i="8"/>
  <c r="J72" i="8"/>
  <c r="K72" i="8" s="1"/>
  <c r="F50" i="7" l="1"/>
  <c r="B51" i="7"/>
  <c r="E51" i="7" s="1"/>
  <c r="H73" i="8"/>
  <c r="L72" i="8"/>
  <c r="M73" i="8"/>
  <c r="N74" i="8" s="1"/>
  <c r="O73" i="8"/>
  <c r="F72" i="8"/>
  <c r="G73" i="8" s="1"/>
  <c r="AG74" i="8"/>
  <c r="C51" i="7" l="1"/>
  <c r="D51" i="7" s="1"/>
  <c r="B52" i="7" s="1"/>
  <c r="E52" i="7" s="1"/>
  <c r="T73" i="8"/>
  <c r="V73" i="8"/>
  <c r="U73" i="8"/>
  <c r="W73" i="8"/>
  <c r="AH75" i="8"/>
  <c r="AI74" i="8"/>
  <c r="AM74" i="8"/>
  <c r="AK74" i="8"/>
  <c r="AJ74" i="8"/>
  <c r="AL74" i="8"/>
  <c r="AO74" i="8"/>
  <c r="AN74" i="8"/>
  <c r="P74" i="8"/>
  <c r="Q75" i="8" s="1"/>
  <c r="F51" i="7" l="1"/>
  <c r="C52" i="7"/>
  <c r="D52" i="7" s="1"/>
  <c r="B53" i="7" s="1"/>
  <c r="E53" i="7" s="1"/>
  <c r="B73" i="8"/>
  <c r="E74" i="8"/>
  <c r="AG75" i="8" s="1"/>
  <c r="D73" i="8"/>
  <c r="J73" i="8"/>
  <c r="K73" i="8" s="1"/>
  <c r="R76" i="8"/>
  <c r="S77" i="8" s="1"/>
  <c r="C53" i="7" l="1"/>
  <c r="D53" i="7" s="1"/>
  <c r="B54" i="7" s="1"/>
  <c r="E54" i="7" s="1"/>
  <c r="F52" i="7"/>
  <c r="AH76" i="8"/>
  <c r="L73" i="8"/>
  <c r="H74" i="8"/>
  <c r="M74" i="8"/>
  <c r="N75" i="8" s="1"/>
  <c r="O74" i="8"/>
  <c r="F73" i="8"/>
  <c r="G74" i="8" s="1"/>
  <c r="C54" i="7" l="1"/>
  <c r="D54" i="7" s="1"/>
  <c r="B55" i="7" s="1"/>
  <c r="C55" i="7" s="1"/>
  <c r="D55" i="7" s="1"/>
  <c r="B56" i="7" s="1"/>
  <c r="F53" i="7"/>
  <c r="P75" i="8"/>
  <c r="Q76" i="8" s="1"/>
  <c r="AI75" i="8"/>
  <c r="AL75" i="8"/>
  <c r="AN75" i="8"/>
  <c r="AK75" i="8"/>
  <c r="AM75" i="8"/>
  <c r="AO75" i="8"/>
  <c r="AJ75" i="8"/>
  <c r="T74" i="8"/>
  <c r="W74" i="8"/>
  <c r="U74" i="8"/>
  <c r="V74" i="8"/>
  <c r="E55" i="7" l="1"/>
  <c r="F54" i="7"/>
  <c r="F55" i="7" s="1"/>
  <c r="C56" i="7"/>
  <c r="D56" i="7" s="1"/>
  <c r="B57" i="7" s="1"/>
  <c r="E56" i="7"/>
  <c r="E75" i="8"/>
  <c r="B74" i="8"/>
  <c r="D74" i="8"/>
  <c r="J74" i="8"/>
  <c r="K74" i="8" s="1"/>
  <c r="R77" i="8"/>
  <c r="S78" i="8" s="1"/>
  <c r="C57" i="7" l="1"/>
  <c r="D57" i="7" s="1"/>
  <c r="B58" i="7" s="1"/>
  <c r="E57" i="7"/>
  <c r="F56" i="7"/>
  <c r="AG76" i="8"/>
  <c r="L74" i="8"/>
  <c r="H75" i="8"/>
  <c r="M75" i="8"/>
  <c r="N76" i="8" s="1"/>
  <c r="O75" i="8"/>
  <c r="F74" i="8"/>
  <c r="G75" i="8" s="1"/>
  <c r="C58" i="7" l="1"/>
  <c r="D58" i="7" s="1"/>
  <c r="B59" i="7" s="1"/>
  <c r="E58" i="7"/>
  <c r="F57" i="7"/>
  <c r="P76" i="8"/>
  <c r="Q77" i="8" s="1"/>
  <c r="T75" i="8"/>
  <c r="U75" i="8"/>
  <c r="W75" i="8"/>
  <c r="V75" i="8"/>
  <c r="AH77" i="8"/>
  <c r="AI76" i="8"/>
  <c r="AO76" i="8"/>
  <c r="AJ76" i="8"/>
  <c r="AK76" i="8"/>
  <c r="AM76" i="8"/>
  <c r="AL76" i="8"/>
  <c r="AN76" i="8"/>
  <c r="C59" i="7" l="1"/>
  <c r="D59" i="7" s="1"/>
  <c r="B60" i="7" s="1"/>
  <c r="E59" i="7"/>
  <c r="F58" i="7"/>
  <c r="D75" i="8"/>
  <c r="J75" i="8"/>
  <c r="K75" i="8" s="1"/>
  <c r="B75" i="8"/>
  <c r="D28" i="8" s="1"/>
  <c r="E76" i="8"/>
  <c r="R78" i="8"/>
  <c r="S79" i="8" s="1"/>
  <c r="E60" i="7" l="1"/>
  <c r="C60" i="7"/>
  <c r="D60" i="7" s="1"/>
  <c r="F59" i="7"/>
  <c r="H76" i="8"/>
  <c r="L75" i="8"/>
  <c r="M76" i="8"/>
  <c r="N77" i="8" s="1"/>
  <c r="O76" i="8"/>
  <c r="F75" i="8"/>
  <c r="G76" i="8" s="1"/>
  <c r="AG77" i="8"/>
  <c r="F60" i="7" l="1"/>
  <c r="B61" i="7"/>
  <c r="AI77" i="8"/>
  <c r="AL77" i="8"/>
  <c r="AK77" i="8"/>
  <c r="AM77" i="8"/>
  <c r="AN77" i="8"/>
  <c r="AJ77" i="8"/>
  <c r="AO77" i="8"/>
  <c r="P77" i="8"/>
  <c r="Q78" i="8" s="1"/>
  <c r="AH78" i="8"/>
  <c r="T76" i="8"/>
  <c r="V76" i="8"/>
  <c r="W76" i="8"/>
  <c r="U76" i="8"/>
  <c r="E61" i="7" l="1"/>
  <c r="C61" i="7"/>
  <c r="D61" i="7" s="1"/>
  <c r="B62" i="7" s="1"/>
  <c r="E77" i="8"/>
  <c r="AG78" i="8" s="1"/>
  <c r="D76" i="8"/>
  <c r="J76" i="8"/>
  <c r="K76" i="8" s="1"/>
  <c r="B76" i="8"/>
  <c r="R79" i="8"/>
  <c r="S80" i="8" s="1"/>
  <c r="C62" i="7" l="1"/>
  <c r="D62" i="7" s="1"/>
  <c r="B63" i="7" s="1"/>
  <c r="E62" i="7"/>
  <c r="F61" i="7"/>
  <c r="AH79" i="8"/>
  <c r="H77" i="8"/>
  <c r="L76" i="8"/>
  <c r="M77" i="8"/>
  <c r="N78" i="8" s="1"/>
  <c r="O77" i="8"/>
  <c r="F76" i="8"/>
  <c r="G77" i="8" s="1"/>
  <c r="E63" i="7" l="1"/>
  <c r="C63" i="7"/>
  <c r="D63" i="7" s="1"/>
  <c r="F62" i="7"/>
  <c r="AI78" i="8"/>
  <c r="AL78" i="8"/>
  <c r="AM78" i="8"/>
  <c r="AJ78" i="8"/>
  <c r="AN78" i="8"/>
  <c r="AK78" i="8"/>
  <c r="AO78" i="8"/>
  <c r="P78" i="8"/>
  <c r="Q79" i="8" s="1"/>
  <c r="T77" i="8"/>
  <c r="V77" i="8"/>
  <c r="W77" i="8"/>
  <c r="U77" i="8"/>
  <c r="F63" i="7" l="1"/>
  <c r="B64" i="7"/>
  <c r="D77" i="8"/>
  <c r="J77" i="8"/>
  <c r="K77" i="8" s="1"/>
  <c r="B77" i="8"/>
  <c r="R80" i="8"/>
  <c r="E78" i="8"/>
  <c r="C64" i="7" l="1"/>
  <c r="D64" i="7" s="1"/>
  <c r="B65" i="7" s="1"/>
  <c r="E64" i="7"/>
  <c r="H78" i="8"/>
  <c r="L77" i="8"/>
  <c r="M78" i="8"/>
  <c r="N79" i="8" s="1"/>
  <c r="O78" i="8"/>
  <c r="F77" i="8"/>
  <c r="G78" i="8" s="1"/>
  <c r="AG79" i="8"/>
  <c r="F64" i="7" l="1"/>
  <c r="E65" i="7"/>
  <c r="C65" i="7"/>
  <c r="D65" i="7" s="1"/>
  <c r="F65" i="7" s="1"/>
  <c r="AI79" i="8"/>
  <c r="AM79" i="8"/>
  <c r="AJ79" i="8"/>
  <c r="AL79" i="8"/>
  <c r="AO79" i="8"/>
  <c r="AK79" i="8"/>
  <c r="AN79" i="8"/>
  <c r="AH80" i="8"/>
  <c r="P79" i="8"/>
  <c r="Q80" i="8" s="1"/>
  <c r="T78" i="8"/>
  <c r="U78" i="8"/>
  <c r="V78" i="8"/>
  <c r="W78" i="8"/>
  <c r="B66" i="7" l="1"/>
  <c r="D78" i="8"/>
  <c r="J78" i="8"/>
  <c r="K78" i="8" s="1"/>
  <c r="B78" i="8"/>
  <c r="E79" i="8"/>
  <c r="E66" i="7" l="1"/>
  <c r="C66" i="7"/>
  <c r="D66" i="7" s="1"/>
  <c r="M79" i="8"/>
  <c r="N80" i="8" s="1"/>
  <c r="L78" i="8"/>
  <c r="H79" i="8"/>
  <c r="O79" i="8"/>
  <c r="F78" i="8"/>
  <c r="G79" i="8" s="1"/>
  <c r="AG80" i="8"/>
  <c r="B67" i="7" l="1"/>
  <c r="F66" i="7"/>
  <c r="P80" i="8"/>
  <c r="T79" i="8"/>
  <c r="U79" i="8"/>
  <c r="V79" i="8"/>
  <c r="W79" i="8"/>
  <c r="AI80" i="8"/>
  <c r="AM80" i="8"/>
  <c r="AJ80" i="8"/>
  <c r="AK80" i="8"/>
  <c r="AO80" i="8"/>
  <c r="AL80" i="8"/>
  <c r="AN80" i="8"/>
  <c r="E67" i="7" l="1"/>
  <c r="C67" i="7"/>
  <c r="D67" i="7" s="1"/>
  <c r="F67" i="7" s="1"/>
  <c r="E80" i="8"/>
  <c r="D79" i="8"/>
  <c r="J79" i="8"/>
  <c r="K79" i="8" s="1"/>
  <c r="B79" i="8"/>
  <c r="B68" i="7" l="1"/>
  <c r="M80" i="8"/>
  <c r="L79" i="8"/>
  <c r="H80" i="8"/>
  <c r="O80" i="8"/>
  <c r="F79" i="8"/>
  <c r="G80" i="8" s="1"/>
  <c r="E68" i="7" l="1"/>
  <c r="C68" i="7"/>
  <c r="D68" i="7" s="1"/>
  <c r="F68" i="7" s="1"/>
  <c r="T80" i="8"/>
  <c r="U80" i="8"/>
  <c r="V80" i="8"/>
  <c r="W80" i="8"/>
  <c r="B69" i="7" l="1"/>
  <c r="D80" i="8"/>
  <c r="J80" i="8"/>
  <c r="K80" i="8" s="1"/>
  <c r="B80" i="8"/>
  <c r="E69" i="7" l="1"/>
  <c r="C69" i="7"/>
  <c r="D69" i="7" s="1"/>
  <c r="L80" i="8"/>
  <c r="F80" i="8"/>
  <c r="B70" i="7" l="1"/>
  <c r="F69" i="7"/>
  <c r="E70" i="7" l="1"/>
  <c r="C70" i="7"/>
  <c r="D70" i="7" s="1"/>
  <c r="B71" i="7" s="1"/>
  <c r="E71" i="7" l="1"/>
  <c r="C71" i="7"/>
  <c r="D71" i="7" s="1"/>
  <c r="B72" i="7" s="1"/>
  <c r="F70" i="7"/>
  <c r="F71" i="7" l="1"/>
  <c r="C72" i="7"/>
  <c r="D72" i="7" s="1"/>
  <c r="B73" i="7" s="1"/>
  <c r="E72" i="7"/>
  <c r="E73" i="7" l="1"/>
  <c r="C73" i="7"/>
  <c r="D73" i="7" s="1"/>
  <c r="B74" i="7" s="1"/>
  <c r="F72" i="7"/>
  <c r="F73" i="7" l="1"/>
  <c r="E74" i="7"/>
  <c r="C74" i="7"/>
  <c r="D74" i="7" s="1"/>
  <c r="B75" i="7" s="1"/>
  <c r="E75" i="7" l="1"/>
  <c r="C75" i="7"/>
  <c r="D75" i="7" s="1"/>
  <c r="B76" i="7" s="1"/>
  <c r="F74" i="7"/>
  <c r="F75" i="7" l="1"/>
  <c r="E76" i="7"/>
  <c r="C76" i="7"/>
  <c r="D76" i="7" s="1"/>
  <c r="D9" i="7" s="1"/>
  <c r="E9" i="7" s="1"/>
  <c r="B77" i="7" l="1"/>
  <c r="F76" i="7"/>
  <c r="C77" i="7" l="1"/>
  <c r="D77" i="7" s="1"/>
  <c r="F77" i="7" s="1"/>
  <c r="E77" i="7"/>
  <c r="B78" i="7" l="1"/>
  <c r="E78" i="7" s="1"/>
  <c r="C78" i="7" l="1"/>
  <c r="D78" i="7" s="1"/>
  <c r="B79" i="7" s="1"/>
  <c r="C79" i="7" s="1"/>
  <c r="D79" i="7" s="1"/>
  <c r="B80" i="7" s="1"/>
  <c r="E79" i="7" l="1"/>
  <c r="C80" i="7"/>
  <c r="D80" i="7" s="1"/>
  <c r="B81" i="7" s="1"/>
  <c r="E80" i="7"/>
  <c r="C81" i="7" l="1"/>
  <c r="D81" i="7" s="1"/>
  <c r="B82" i="7" s="1"/>
  <c r="E81" i="7"/>
  <c r="E82" i="7" l="1"/>
  <c r="C82" i="7"/>
  <c r="D82" i="7" s="1"/>
  <c r="B83" i="7" s="1"/>
  <c r="E83" i="7" l="1"/>
  <c r="C83" i="7"/>
  <c r="D83" i="7" s="1"/>
  <c r="B84" i="7" s="1"/>
  <c r="E84" i="7" l="1"/>
  <c r="C84" i="7"/>
  <c r="D84" i="7" s="1"/>
  <c r="B85" i="7" s="1"/>
  <c r="E85" i="7" l="1"/>
  <c r="C85" i="7"/>
  <c r="D85" i="7" s="1"/>
  <c r="B86" i="7" s="1"/>
  <c r="C86" i="7" l="1"/>
  <c r="D86" i="7" s="1"/>
  <c r="B87" i="7" s="1"/>
  <c r="E86" i="7"/>
  <c r="E87" i="7" l="1"/>
  <c r="C87" i="7"/>
  <c r="D87" i="7" s="1"/>
  <c r="B88" i="7" s="1"/>
  <c r="E88" i="7" l="1"/>
  <c r="C88" i="7"/>
  <c r="D88" i="7" s="1"/>
  <c r="B89" i="7" s="1"/>
  <c r="C89" i="7" l="1"/>
  <c r="D89" i="7" s="1"/>
  <c r="B90" i="7" s="1"/>
  <c r="E89" i="7"/>
  <c r="C90" i="7" l="1"/>
  <c r="D90" i="7" s="1"/>
  <c r="B91" i="7" s="1"/>
  <c r="E90" i="7"/>
  <c r="C91" i="7" l="1"/>
  <c r="D91" i="7" s="1"/>
  <c r="B92" i="7" s="1"/>
  <c r="E91" i="7"/>
  <c r="E92" i="7" l="1"/>
  <c r="C92" i="7"/>
  <c r="D92" i="7" s="1"/>
  <c r="B93" i="7" s="1"/>
  <c r="E93" i="7" l="1"/>
  <c r="C93" i="7"/>
  <c r="D93" i="7" s="1"/>
  <c r="B94" i="7" s="1"/>
  <c r="E94" i="7" l="1"/>
  <c r="C94" i="7"/>
  <c r="D94" i="7" s="1"/>
  <c r="B95" i="7" s="1"/>
  <c r="E95" i="7" l="1"/>
  <c r="C95" i="7"/>
  <c r="D95" i="7" s="1"/>
  <c r="B96" i="7" s="1"/>
  <c r="C96" i="7" l="1"/>
  <c r="D96" i="7" s="1"/>
  <c r="B97" i="7" s="1"/>
  <c r="E96" i="7"/>
  <c r="C97" i="7" l="1"/>
  <c r="D97" i="7" s="1"/>
  <c r="B98" i="7" s="1"/>
  <c r="E97" i="7"/>
  <c r="E98" i="7" l="1"/>
  <c r="C98" i="7"/>
  <c r="D98" i="7" s="1"/>
  <c r="B99" i="7" s="1"/>
  <c r="C99" i="7" l="1"/>
  <c r="D99" i="7" s="1"/>
  <c r="B100" i="7" s="1"/>
  <c r="E99" i="7"/>
  <c r="C100" i="7" l="1"/>
  <c r="D100" i="7" s="1"/>
  <c r="B101" i="7" s="1"/>
  <c r="E100" i="7"/>
  <c r="E101" i="7" l="1"/>
  <c r="C101" i="7"/>
  <c r="D101" i="7" s="1"/>
  <c r="B102" i="7" s="1"/>
  <c r="C102" i="7" l="1"/>
  <c r="D102" i="7" s="1"/>
  <c r="B103" i="7" s="1"/>
  <c r="E102" i="7"/>
  <c r="C103" i="7" l="1"/>
  <c r="D103" i="7" s="1"/>
  <c r="B104" i="7" s="1"/>
  <c r="E103" i="7"/>
  <c r="E104" i="7" l="1"/>
  <c r="C104" i="7"/>
  <c r="D104" i="7" s="1"/>
  <c r="B105" i="7" s="1"/>
  <c r="E105" i="7" l="1"/>
  <c r="C105" i="7"/>
  <c r="D105" i="7" s="1"/>
  <c r="B106" i="7" s="1"/>
  <c r="C106" i="7" l="1"/>
  <c r="D106" i="7" s="1"/>
  <c r="B107" i="7" s="1"/>
  <c r="E106" i="7"/>
  <c r="E107" i="7" l="1"/>
  <c r="C107" i="7"/>
  <c r="D107" i="7" s="1"/>
  <c r="B108" i="7" s="1"/>
  <c r="C108" i="7" l="1"/>
  <c r="D108" i="7" s="1"/>
  <c r="B109" i="7" s="1"/>
  <c r="E108" i="7"/>
  <c r="C109" i="7" l="1"/>
  <c r="D109" i="7" s="1"/>
  <c r="B110" i="7" s="1"/>
  <c r="E109" i="7"/>
  <c r="E110" i="7" l="1"/>
  <c r="C110" i="7"/>
  <c r="D110" i="7" s="1"/>
  <c r="B111" i="7" s="1"/>
  <c r="E111" i="7" l="1"/>
  <c r="C111" i="7"/>
  <c r="D111" i="7" s="1"/>
  <c r="B112" i="7" s="1"/>
  <c r="E112" i="7" l="1"/>
  <c r="C112" i="7"/>
  <c r="D112" i="7" s="1"/>
  <c r="B113" i="7" s="1"/>
  <c r="E113" i="7" l="1"/>
  <c r="C113" i="7"/>
  <c r="D113" i="7" s="1"/>
  <c r="B114" i="7" s="1"/>
  <c r="E114" i="7" l="1"/>
  <c r="C114" i="7"/>
  <c r="D114" i="7" s="1"/>
  <c r="B115" i="7" s="1"/>
  <c r="E115" i="7" l="1"/>
  <c r="C115" i="7"/>
  <c r="D115" i="7" s="1"/>
  <c r="B116" i="7" s="1"/>
  <c r="E116" i="7" l="1"/>
  <c r="C116" i="7"/>
  <c r="D116" i="7" s="1"/>
  <c r="B117" i="7" s="1"/>
  <c r="E117" i="7" l="1"/>
  <c r="C117" i="7"/>
  <c r="D117" i="7" s="1"/>
  <c r="B118" i="7" s="1"/>
  <c r="C118" i="7" l="1"/>
  <c r="D118" i="7" s="1"/>
  <c r="B119" i="7" s="1"/>
  <c r="E118" i="7"/>
  <c r="C119" i="7" l="1"/>
  <c r="D119" i="7" s="1"/>
  <c r="B120" i="7" s="1"/>
  <c r="E119" i="7"/>
  <c r="E120" i="7" l="1"/>
  <c r="C120" i="7"/>
  <c r="D120" i="7" s="1"/>
  <c r="B121" i="7" s="1"/>
  <c r="C121" i="7" l="1"/>
  <c r="D121" i="7" s="1"/>
  <c r="B122" i="7" s="1"/>
  <c r="E121" i="7"/>
  <c r="E122" i="7" l="1"/>
  <c r="C122" i="7"/>
  <c r="D122" i="7" s="1"/>
  <c r="B123" i="7" s="1"/>
  <c r="C123" i="7" l="1"/>
  <c r="D123" i="7" s="1"/>
  <c r="B124" i="7" s="1"/>
  <c r="E123" i="7"/>
  <c r="E124" i="7" l="1"/>
  <c r="C124" i="7"/>
  <c r="D124" i="7" s="1"/>
  <c r="B125" i="7" s="1"/>
  <c r="C125" i="7" l="1"/>
  <c r="D125" i="7" s="1"/>
  <c r="B126" i="7" s="1"/>
  <c r="E125" i="7"/>
  <c r="E126" i="7" l="1"/>
  <c r="C126" i="7"/>
  <c r="D126" i="7" s="1"/>
  <c r="B127" i="7" s="1"/>
  <c r="E127" i="7" l="1"/>
  <c r="C127" i="7"/>
  <c r="D127" i="7" s="1"/>
  <c r="B128" i="7" s="1"/>
  <c r="C128" i="7" l="1"/>
  <c r="D128" i="7" s="1"/>
  <c r="B129" i="7" s="1"/>
  <c r="E128" i="7"/>
  <c r="E129" i="7" l="1"/>
  <c r="C129" i="7"/>
  <c r="D129" i="7" s="1"/>
  <c r="B130" i="7" s="1"/>
  <c r="C130" i="7" l="1"/>
  <c r="D130" i="7" s="1"/>
  <c r="B131" i="7" s="1"/>
  <c r="E130" i="7"/>
  <c r="C131" i="7" l="1"/>
  <c r="D131" i="7" s="1"/>
  <c r="B132" i="7" s="1"/>
  <c r="E131" i="7"/>
  <c r="C132" i="7" l="1"/>
  <c r="D132" i="7" s="1"/>
  <c r="B133" i="7" s="1"/>
  <c r="E132" i="7"/>
  <c r="C133" i="7" l="1"/>
  <c r="D133" i="7" s="1"/>
  <c r="B134" i="7" s="1"/>
  <c r="E133" i="7"/>
  <c r="E134" i="7" l="1"/>
  <c r="C134" i="7"/>
  <c r="D134" i="7" s="1"/>
  <c r="B135" i="7" s="1"/>
  <c r="C135" i="7" l="1"/>
  <c r="D135" i="7" s="1"/>
  <c r="B136" i="7" s="1"/>
  <c r="E135" i="7"/>
  <c r="E136" i="7" l="1"/>
  <c r="C136" i="7"/>
  <c r="D136" i="7" s="1"/>
  <c r="B137" i="7" s="1"/>
  <c r="E137" i="7" l="1"/>
  <c r="C137" i="7"/>
  <c r="D137" i="7" s="1"/>
  <c r="B138" i="7" s="1"/>
  <c r="C138" i="7" l="1"/>
  <c r="D138" i="7" s="1"/>
  <c r="B139" i="7" s="1"/>
  <c r="E138" i="7"/>
  <c r="E139" i="7" l="1"/>
  <c r="C139" i="7"/>
  <c r="D139" i="7" s="1"/>
  <c r="B140" i="7" s="1"/>
  <c r="E140" i="7" l="1"/>
  <c r="C140" i="7"/>
  <c r="D140" i="7" s="1"/>
  <c r="B141" i="7" s="1"/>
  <c r="C141" i="7" l="1"/>
  <c r="D141" i="7" s="1"/>
  <c r="B142" i="7" s="1"/>
  <c r="E141" i="7"/>
  <c r="C142" i="7" l="1"/>
  <c r="D142" i="7" s="1"/>
  <c r="B143" i="7" s="1"/>
  <c r="E142" i="7"/>
  <c r="C143" i="7" l="1"/>
  <c r="D143" i="7" s="1"/>
  <c r="B144" i="7" s="1"/>
  <c r="E143" i="7"/>
  <c r="E144" i="7" l="1"/>
  <c r="C144" i="7"/>
  <c r="D144" i="7" s="1"/>
  <c r="B145" i="7" s="1"/>
  <c r="E145" i="7" l="1"/>
  <c r="C145" i="7"/>
  <c r="D145" i="7" s="1"/>
  <c r="B146" i="7" s="1"/>
  <c r="C146" i="7" l="1"/>
  <c r="D146" i="7" s="1"/>
  <c r="B147" i="7" s="1"/>
  <c r="E146" i="7"/>
  <c r="C147" i="7" l="1"/>
  <c r="D147" i="7" s="1"/>
  <c r="B148" i="7" s="1"/>
  <c r="E147" i="7"/>
  <c r="C148" i="7" l="1"/>
  <c r="D148" i="7" s="1"/>
  <c r="B149" i="7" s="1"/>
  <c r="E148" i="7"/>
  <c r="E149" i="7" l="1"/>
  <c r="C149" i="7"/>
  <c r="D149" i="7" s="1"/>
  <c r="B150" i="7" s="1"/>
  <c r="C150" i="7" l="1"/>
  <c r="D150" i="7" s="1"/>
  <c r="B151" i="7" s="1"/>
  <c r="E150" i="7"/>
  <c r="E151" i="7" l="1"/>
  <c r="C151" i="7"/>
  <c r="D151" i="7" s="1"/>
  <c r="B152" i="7" s="1"/>
  <c r="E152" i="7" l="1"/>
  <c r="C152" i="7"/>
  <c r="D152" i="7" s="1"/>
  <c r="B153" i="7" s="1"/>
  <c r="C153" i="7" l="1"/>
  <c r="D153" i="7" s="1"/>
  <c r="B154" i="7" s="1"/>
  <c r="E153" i="7"/>
  <c r="E154" i="7" l="1"/>
  <c r="C154" i="7"/>
  <c r="D154" i="7" s="1"/>
  <c r="B155" i="7" s="1"/>
  <c r="E155" i="7" l="1"/>
  <c r="C155" i="7"/>
  <c r="D155" i="7" s="1"/>
  <c r="B156" i="7" s="1"/>
  <c r="C156" i="7" l="1"/>
  <c r="D156" i="7" s="1"/>
  <c r="B157" i="7" s="1"/>
  <c r="E156" i="7"/>
  <c r="E157" i="7" l="1"/>
  <c r="C157" i="7"/>
  <c r="D157" i="7" s="1"/>
  <c r="B158" i="7" s="1"/>
  <c r="E158" i="7" l="1"/>
  <c r="C158" i="7"/>
  <c r="D158" i="7" s="1"/>
  <c r="B159" i="7" s="1"/>
  <c r="C159" i="7" l="1"/>
  <c r="D159" i="7" s="1"/>
  <c r="B160" i="7" s="1"/>
  <c r="E159" i="7"/>
  <c r="C160" i="7" l="1"/>
  <c r="D160" i="7" s="1"/>
  <c r="B161" i="7" s="1"/>
  <c r="E160" i="7"/>
  <c r="C161" i="7" l="1"/>
  <c r="D161" i="7" s="1"/>
  <c r="B162" i="7" s="1"/>
  <c r="E161" i="7"/>
  <c r="C162" i="7" l="1"/>
  <c r="D162" i="7" s="1"/>
  <c r="B163" i="7" s="1"/>
  <c r="E162" i="7"/>
  <c r="E163" i="7" l="1"/>
  <c r="C163" i="7"/>
  <c r="D163" i="7" s="1"/>
  <c r="B164" i="7" s="1"/>
  <c r="C164" i="7" l="1"/>
  <c r="D164" i="7" s="1"/>
  <c r="B165" i="7" s="1"/>
  <c r="E164" i="7"/>
  <c r="C165" i="7" l="1"/>
  <c r="D165" i="7" s="1"/>
  <c r="B166" i="7" s="1"/>
  <c r="E165" i="7"/>
  <c r="C166" i="7" l="1"/>
  <c r="D166" i="7" s="1"/>
  <c r="B167" i="7" s="1"/>
  <c r="E166" i="7"/>
  <c r="E167" i="7" l="1"/>
  <c r="C167" i="7"/>
  <c r="D167" i="7" s="1"/>
  <c r="B168" i="7" s="1"/>
  <c r="E168" i="7" l="1"/>
  <c r="C168" i="7"/>
  <c r="D168" i="7" s="1"/>
  <c r="B169" i="7" s="1"/>
  <c r="E169" i="7" l="1"/>
  <c r="C169" i="7"/>
  <c r="D169" i="7" s="1"/>
  <c r="B170" i="7" s="1"/>
  <c r="E170" i="7" l="1"/>
  <c r="C170" i="7"/>
  <c r="D170" i="7" s="1"/>
  <c r="B171" i="7" s="1"/>
  <c r="E171" i="7" l="1"/>
  <c r="C171" i="7"/>
  <c r="D171" i="7" s="1"/>
  <c r="B172" i="7" s="1"/>
  <c r="E172" i="7" l="1"/>
  <c r="C172" i="7"/>
  <c r="D172" i="7" s="1"/>
  <c r="B173" i="7" s="1"/>
  <c r="C173" i="7" l="1"/>
  <c r="D173" i="7" s="1"/>
  <c r="B174" i="7" s="1"/>
  <c r="E173" i="7"/>
  <c r="E174" i="7" l="1"/>
  <c r="C174" i="7"/>
  <c r="D174" i="7" s="1"/>
  <c r="B175" i="7" s="1"/>
  <c r="E175" i="7" l="1"/>
  <c r="C175" i="7"/>
  <c r="D175" i="7" s="1"/>
  <c r="B176" i="7" s="1"/>
  <c r="E176" i="7" l="1"/>
  <c r="C176" i="7"/>
  <c r="D176" i="7" s="1"/>
  <c r="B177" i="7" s="1"/>
  <c r="E177" i="7" l="1"/>
  <c r="C177" i="7"/>
  <c r="D177" i="7" s="1"/>
  <c r="B178" i="7" s="1"/>
  <c r="C178" i="7" l="1"/>
  <c r="D178" i="7" s="1"/>
  <c r="B179" i="7" s="1"/>
  <c r="E178" i="7"/>
  <c r="C179" i="7" l="1"/>
  <c r="D179" i="7" s="1"/>
  <c r="B180" i="7" s="1"/>
  <c r="E179" i="7"/>
  <c r="C180" i="7" l="1"/>
  <c r="D180" i="7" s="1"/>
  <c r="B181" i="7" s="1"/>
  <c r="E180" i="7"/>
  <c r="C181" i="7" l="1"/>
  <c r="D181" i="7" s="1"/>
  <c r="B182" i="7" s="1"/>
  <c r="E181" i="7"/>
  <c r="C182" i="7" l="1"/>
  <c r="D182" i="7" s="1"/>
  <c r="B183" i="7" s="1"/>
  <c r="E182" i="7"/>
  <c r="E183" i="7" l="1"/>
  <c r="C183" i="7"/>
  <c r="D183" i="7" s="1"/>
  <c r="B184" i="7" s="1"/>
  <c r="C184" i="7" l="1"/>
  <c r="D184" i="7" s="1"/>
  <c r="B185" i="7" s="1"/>
  <c r="E184" i="7"/>
  <c r="C185" i="7" l="1"/>
  <c r="D185" i="7" s="1"/>
  <c r="B186" i="7" s="1"/>
  <c r="E185" i="7"/>
  <c r="E186" i="7" l="1"/>
  <c r="C186" i="7"/>
  <c r="D186" i="7" s="1"/>
  <c r="B187" i="7" s="1"/>
  <c r="C187" i="7" l="1"/>
  <c r="D187" i="7" s="1"/>
  <c r="B188" i="7" s="1"/>
  <c r="E187" i="7"/>
  <c r="C188" i="7" l="1"/>
  <c r="D188" i="7" s="1"/>
  <c r="B189" i="7" s="1"/>
  <c r="E188" i="7"/>
  <c r="E189" i="7" l="1"/>
  <c r="C189" i="7"/>
  <c r="D189" i="7" s="1"/>
  <c r="B190" i="7" s="1"/>
  <c r="C190" i="7" l="1"/>
  <c r="D190" i="7" s="1"/>
  <c r="B191" i="7" s="1"/>
  <c r="E190" i="7"/>
  <c r="C191" i="7" l="1"/>
  <c r="D191" i="7" s="1"/>
  <c r="B192" i="7" s="1"/>
  <c r="E191" i="7"/>
  <c r="E192" i="7" l="1"/>
  <c r="C192" i="7"/>
  <c r="D192" i="7" s="1"/>
  <c r="B193" i="7" s="1"/>
  <c r="E193" i="7" l="1"/>
  <c r="C193" i="7"/>
  <c r="D193" i="7" s="1"/>
  <c r="B194" i="7" s="1"/>
  <c r="C194" i="7" l="1"/>
  <c r="D194" i="7" s="1"/>
  <c r="B195" i="7" s="1"/>
  <c r="E194" i="7"/>
  <c r="E195" i="7" l="1"/>
  <c r="C195" i="7"/>
  <c r="D195" i="7" s="1"/>
  <c r="B196" i="7" s="1"/>
  <c r="C196" i="7" l="1"/>
  <c r="D196" i="7" s="1"/>
  <c r="E196" i="7"/>
  <c r="B197" i="7"/>
  <c r="C197" i="7" l="1"/>
  <c r="D197" i="7" s="1"/>
  <c r="B198" i="7" s="1"/>
  <c r="E197" i="7"/>
  <c r="E198" i="7" l="1"/>
  <c r="C198" i="7"/>
  <c r="D198" i="7" s="1"/>
  <c r="B199" i="7" s="1"/>
  <c r="C199" i="7" l="1"/>
  <c r="D199" i="7" s="1"/>
  <c r="B200" i="7" s="1"/>
  <c r="E199" i="7"/>
  <c r="C200" i="7" l="1"/>
  <c r="D200" i="7" s="1"/>
  <c r="B201" i="7" s="1"/>
  <c r="E200" i="7"/>
  <c r="C201" i="7" l="1"/>
  <c r="D201" i="7" s="1"/>
  <c r="B202" i="7" s="1"/>
  <c r="E201" i="7"/>
  <c r="E202" i="7" l="1"/>
  <c r="C202" i="7"/>
  <c r="D202" i="7" s="1"/>
  <c r="B203" i="7" s="1"/>
  <c r="E203" i="7" l="1"/>
  <c r="C203" i="7"/>
  <c r="D203" i="7" s="1"/>
  <c r="B204" i="7" s="1"/>
  <c r="E204" i="7" l="1"/>
  <c r="C204" i="7"/>
  <c r="D204" i="7" s="1"/>
  <c r="B205" i="7" s="1"/>
  <c r="E205" i="7" l="1"/>
  <c r="C205" i="7"/>
  <c r="D205" i="7" s="1"/>
  <c r="B206" i="7" s="1"/>
  <c r="C206" i="7" l="1"/>
  <c r="D206" i="7" s="1"/>
  <c r="B207" i="7" s="1"/>
  <c r="E206" i="7"/>
  <c r="E207" i="7" l="1"/>
  <c r="C207" i="7"/>
  <c r="D207" i="7" s="1"/>
  <c r="B208" i="7" s="1"/>
  <c r="C208" i="7" l="1"/>
  <c r="D208" i="7" s="1"/>
  <c r="B209" i="7" s="1"/>
  <c r="E208" i="7"/>
  <c r="E209" i="7" l="1"/>
  <c r="C209" i="7"/>
  <c r="D209" i="7" s="1"/>
  <c r="B210" i="7" s="1"/>
  <c r="E210" i="7" l="1"/>
  <c r="C210" i="7"/>
  <c r="D210" i="7" s="1"/>
  <c r="B211" i="7" s="1"/>
  <c r="C211" i="7" l="1"/>
  <c r="D211" i="7" s="1"/>
  <c r="B212" i="7" s="1"/>
  <c r="E211" i="7"/>
  <c r="C212" i="7" l="1"/>
  <c r="D212" i="7" s="1"/>
  <c r="B213" i="7" s="1"/>
  <c r="E212" i="7"/>
  <c r="C213" i="7" l="1"/>
  <c r="D213" i="7" s="1"/>
  <c r="B214" i="7" s="1"/>
  <c r="E213" i="7"/>
  <c r="E214" i="7" l="1"/>
  <c r="C214" i="7"/>
  <c r="D214" i="7" s="1"/>
  <c r="B215" i="7" s="1"/>
  <c r="C215" i="7" l="1"/>
  <c r="D215" i="7" s="1"/>
  <c r="B216" i="7" s="1"/>
  <c r="E215" i="7"/>
  <c r="C216" i="7" l="1"/>
  <c r="D216" i="7" s="1"/>
  <c r="B217" i="7" s="1"/>
  <c r="E216" i="7"/>
  <c r="C217" i="7" l="1"/>
  <c r="D217" i="7" s="1"/>
  <c r="B218" i="7" s="1"/>
  <c r="E217" i="7"/>
  <c r="E218" i="7" l="1"/>
  <c r="C218" i="7"/>
  <c r="D218" i="7" s="1"/>
  <c r="B219" i="7" s="1"/>
  <c r="E219" i="7" l="1"/>
  <c r="C219" i="7"/>
  <c r="D219" i="7" s="1"/>
  <c r="B220" i="7" s="1"/>
  <c r="E220" i="7" l="1"/>
  <c r="C220" i="7"/>
  <c r="D220" i="7" s="1"/>
  <c r="B221" i="7" s="1"/>
  <c r="E221" i="7" l="1"/>
  <c r="C221" i="7"/>
  <c r="D221" i="7" s="1"/>
  <c r="B222" i="7" s="1"/>
  <c r="C222" i="7" l="1"/>
  <c r="D222" i="7" s="1"/>
  <c r="B223" i="7" s="1"/>
  <c r="E222" i="7"/>
  <c r="C223" i="7" l="1"/>
  <c r="D223" i="7" s="1"/>
  <c r="B224" i="7" s="1"/>
  <c r="E223" i="7"/>
  <c r="E224" i="7" l="1"/>
  <c r="C224" i="7"/>
  <c r="D224" i="7" s="1"/>
  <c r="B225" i="7" s="1"/>
  <c r="E225" i="7" l="1"/>
  <c r="C225" i="7"/>
  <c r="D225" i="7" s="1"/>
  <c r="B226" i="7" s="1"/>
  <c r="C226" i="7" l="1"/>
  <c r="D226" i="7" s="1"/>
  <c r="B227" i="7" s="1"/>
  <c r="E226" i="7"/>
  <c r="E227" i="7" l="1"/>
  <c r="C227" i="7"/>
  <c r="D227" i="7" s="1"/>
  <c r="B228" i="7" s="1"/>
  <c r="E228" i="7" l="1"/>
  <c r="C228" i="7"/>
  <c r="D228" i="7" s="1"/>
  <c r="B229" i="7" s="1"/>
  <c r="C229" i="7" l="1"/>
  <c r="D229" i="7" s="1"/>
  <c r="B230" i="7" s="1"/>
  <c r="E229" i="7"/>
  <c r="C230" i="7" l="1"/>
  <c r="D230" i="7" s="1"/>
  <c r="B231" i="7" s="1"/>
  <c r="E230" i="7"/>
  <c r="E231" i="7" l="1"/>
  <c r="C231" i="7"/>
  <c r="D231" i="7" s="1"/>
  <c r="B232" i="7" s="1"/>
  <c r="C232" i="7" l="1"/>
  <c r="D232" i="7" s="1"/>
  <c r="B233" i="7" s="1"/>
  <c r="E232" i="7"/>
  <c r="C233" i="7" l="1"/>
  <c r="D233" i="7" s="1"/>
  <c r="B234" i="7" s="1"/>
  <c r="E233" i="7"/>
  <c r="E234" i="7" l="1"/>
  <c r="C234" i="7"/>
  <c r="D234" i="7" s="1"/>
  <c r="B235" i="7" s="1"/>
  <c r="C235" i="7" l="1"/>
  <c r="D235" i="7" s="1"/>
  <c r="B236" i="7" s="1"/>
  <c r="E235" i="7"/>
  <c r="E236" i="7" l="1"/>
  <c r="C236" i="7"/>
  <c r="D236" i="7" s="1"/>
  <c r="B237" i="7" s="1"/>
  <c r="E237" i="7" l="1"/>
  <c r="C237" i="7"/>
  <c r="D237" i="7" s="1"/>
  <c r="B238" i="7" s="1"/>
  <c r="E238" i="7" l="1"/>
  <c r="C238" i="7"/>
  <c r="D238" i="7" s="1"/>
  <c r="B239" i="7" s="1"/>
  <c r="C239" i="7" l="1"/>
  <c r="D239" i="7" s="1"/>
  <c r="B240" i="7" s="1"/>
  <c r="E239" i="7"/>
  <c r="E240" i="7" l="1"/>
  <c r="C240" i="7"/>
  <c r="D240" i="7" s="1"/>
  <c r="B241" i="7" s="1"/>
  <c r="E241" i="7" l="1"/>
  <c r="C241" i="7"/>
  <c r="D241" i="7" s="1"/>
  <c r="B242" i="7" s="1"/>
  <c r="E242" i="7" l="1"/>
  <c r="C242" i="7"/>
  <c r="D242" i="7" s="1"/>
  <c r="B243" i="7" s="1"/>
  <c r="E243" i="7" l="1"/>
  <c r="C243" i="7"/>
  <c r="D243" i="7" s="1"/>
  <c r="B244" i="7" s="1"/>
  <c r="C244" i="7" l="1"/>
  <c r="D244" i="7" s="1"/>
  <c r="B245" i="7" s="1"/>
  <c r="E244" i="7"/>
  <c r="E245" i="7" l="1"/>
  <c r="C245" i="7"/>
  <c r="D245" i="7" s="1"/>
  <c r="B246" i="7" s="1"/>
  <c r="C246" i="7" l="1"/>
  <c r="D246" i="7" s="1"/>
  <c r="B247" i="7" s="1"/>
  <c r="E246" i="7"/>
  <c r="E247" i="7" l="1"/>
  <c r="C247" i="7"/>
  <c r="D247" i="7" s="1"/>
  <c r="B248" i="7" s="1"/>
  <c r="E248" i="7" l="1"/>
  <c r="C248" i="7"/>
  <c r="D248" i="7" s="1"/>
  <c r="B249" i="7" s="1"/>
  <c r="C249" i="7" l="1"/>
  <c r="D249" i="7" s="1"/>
  <c r="B250" i="7" s="1"/>
  <c r="E249" i="7"/>
  <c r="C250" i="7" l="1"/>
  <c r="D250" i="7" s="1"/>
  <c r="B251" i="7" s="1"/>
  <c r="E250" i="7"/>
  <c r="E251" i="7" l="1"/>
  <c r="C251" i="7"/>
  <c r="D251" i="7" s="1"/>
  <c r="B252" i="7" s="1"/>
  <c r="C252" i="7" l="1"/>
  <c r="D252" i="7" s="1"/>
  <c r="B253" i="7" s="1"/>
  <c r="E252" i="7"/>
  <c r="C253" i="7" l="1"/>
  <c r="D253" i="7" s="1"/>
  <c r="B254" i="7" s="1"/>
  <c r="E253" i="7"/>
  <c r="E254" i="7" l="1"/>
  <c r="C254" i="7"/>
  <c r="D254" i="7" s="1"/>
  <c r="B255" i="7" s="1"/>
  <c r="E255" i="7" l="1"/>
  <c r="C255" i="7"/>
  <c r="D255" i="7" s="1"/>
  <c r="B256" i="7" s="1"/>
  <c r="E256" i="7" l="1"/>
  <c r="C256" i="7"/>
  <c r="D256" i="7" s="1"/>
  <c r="B257" i="7" s="1"/>
  <c r="E257" i="7" l="1"/>
  <c r="C257" i="7"/>
  <c r="D257" i="7" s="1"/>
  <c r="B258" i="7" s="1"/>
  <c r="C258" i="7" l="1"/>
  <c r="D258" i="7" s="1"/>
  <c r="B259" i="7" s="1"/>
  <c r="E258" i="7"/>
  <c r="E259" i="7" l="1"/>
  <c r="C259" i="7"/>
  <c r="D259" i="7" s="1"/>
  <c r="B260" i="7" s="1"/>
  <c r="E260" i="7" l="1"/>
  <c r="C260" i="7"/>
  <c r="D260" i="7" s="1"/>
  <c r="B261" i="7" s="1"/>
  <c r="C261" i="7" l="1"/>
  <c r="D261" i="7" s="1"/>
  <c r="B262" i="7" s="1"/>
  <c r="E261" i="7"/>
  <c r="E262" i="7" l="1"/>
  <c r="C262" i="7"/>
  <c r="D262" i="7" s="1"/>
  <c r="B263" i="7" s="1"/>
  <c r="E263" i="7" l="1"/>
  <c r="C263" i="7"/>
  <c r="D263" i="7" s="1"/>
  <c r="B264" i="7" s="1"/>
  <c r="C264" i="7" l="1"/>
  <c r="D264" i="7" s="1"/>
  <c r="B265" i="7" s="1"/>
  <c r="E264" i="7"/>
  <c r="E265" i="7" l="1"/>
  <c r="C265" i="7"/>
  <c r="D265" i="7" s="1"/>
  <c r="B266" i="7" s="1"/>
  <c r="E266" i="7" l="1"/>
  <c r="C266" i="7"/>
  <c r="D266" i="7" s="1"/>
  <c r="B267" i="7" s="1"/>
  <c r="C267" i="7" l="1"/>
  <c r="D267" i="7" s="1"/>
  <c r="B268" i="7" s="1"/>
  <c r="E267" i="7"/>
  <c r="C268" i="7" l="1"/>
  <c r="D268" i="7" s="1"/>
  <c r="B269" i="7" s="1"/>
  <c r="E268" i="7"/>
  <c r="E269" i="7" l="1"/>
  <c r="C269" i="7"/>
  <c r="D269" i="7" s="1"/>
  <c r="B270" i="7" s="1"/>
  <c r="C270" i="7" l="1"/>
  <c r="D270" i="7" s="1"/>
  <c r="B271" i="7" s="1"/>
  <c r="E270" i="7"/>
  <c r="C271" i="7" l="1"/>
  <c r="D271" i="7" s="1"/>
  <c r="B272" i="7" s="1"/>
  <c r="E271" i="7"/>
  <c r="E272" i="7" l="1"/>
  <c r="C272" i="7"/>
  <c r="D272" i="7" s="1"/>
  <c r="B273" i="7" s="1"/>
  <c r="C273" i="7" l="1"/>
  <c r="D273" i="7" s="1"/>
  <c r="B274" i="7" s="1"/>
  <c r="E273" i="7"/>
  <c r="E274" i="7" l="1"/>
  <c r="C274" i="7"/>
  <c r="D274" i="7" s="1"/>
  <c r="B275" i="7" s="1"/>
  <c r="E275" i="7" l="1"/>
  <c r="C275" i="7"/>
  <c r="D275" i="7" s="1"/>
  <c r="B276" i="7" s="1"/>
  <c r="C276" i="7" l="1"/>
  <c r="D276" i="7" s="1"/>
  <c r="B277" i="7" s="1"/>
  <c r="E276" i="7"/>
  <c r="C277" i="7" l="1"/>
  <c r="D277" i="7" s="1"/>
  <c r="B278" i="7" s="1"/>
  <c r="E277" i="7"/>
  <c r="E278" i="7" l="1"/>
  <c r="C278" i="7"/>
  <c r="D278" i="7" s="1"/>
  <c r="B279" i="7" s="1"/>
  <c r="C279" i="7" l="1"/>
  <c r="D279" i="7" s="1"/>
  <c r="B280" i="7" s="1"/>
  <c r="E279" i="7"/>
  <c r="C280" i="7" l="1"/>
  <c r="D280" i="7" s="1"/>
  <c r="B281" i="7" s="1"/>
  <c r="E280" i="7"/>
  <c r="E281" i="7" l="1"/>
  <c r="C281" i="7"/>
  <c r="D281" i="7" s="1"/>
  <c r="B282" i="7" s="1"/>
  <c r="C282" i="7" l="1"/>
  <c r="D282" i="7" s="1"/>
  <c r="B283" i="7" s="1"/>
  <c r="E282" i="7"/>
  <c r="E283" i="7" l="1"/>
  <c r="C283" i="7"/>
  <c r="D283" i="7" s="1"/>
  <c r="B284" i="7" s="1"/>
  <c r="C284" i="7" l="1"/>
  <c r="D284" i="7" s="1"/>
  <c r="B285" i="7" s="1"/>
  <c r="E284" i="7"/>
  <c r="E285" i="7" l="1"/>
  <c r="C285" i="7"/>
  <c r="D285" i="7" s="1"/>
  <c r="B286" i="7" s="1"/>
  <c r="E286" i="7" l="1"/>
  <c r="C286" i="7"/>
  <c r="D286" i="7" s="1"/>
  <c r="B287" i="7" s="1"/>
  <c r="E287" i="7" l="1"/>
  <c r="C287" i="7"/>
  <c r="D287" i="7" s="1"/>
  <c r="B288" i="7" s="1"/>
  <c r="E288" i="7" l="1"/>
  <c r="C288" i="7"/>
  <c r="D288" i="7" s="1"/>
  <c r="B289" i="7" s="1"/>
  <c r="C289" i="7" l="1"/>
  <c r="D289" i="7" s="1"/>
  <c r="B290" i="7" s="1"/>
  <c r="E289" i="7"/>
  <c r="E290" i="7" l="1"/>
  <c r="C290" i="7"/>
  <c r="D290" i="7" s="1"/>
  <c r="B291" i="7" s="1"/>
  <c r="E291" i="7" l="1"/>
  <c r="C291" i="7"/>
  <c r="D291" i="7" s="1"/>
  <c r="B292" i="7" s="1"/>
  <c r="E292" i="7" l="1"/>
  <c r="C292" i="7"/>
  <c r="D292" i="7" s="1"/>
  <c r="B293" i="7" s="1"/>
  <c r="C293" i="7" l="1"/>
  <c r="D293" i="7" s="1"/>
  <c r="B294" i="7" s="1"/>
  <c r="E293" i="7"/>
  <c r="C294" i="7" l="1"/>
  <c r="D294" i="7" s="1"/>
  <c r="B295" i="7" s="1"/>
  <c r="E294" i="7"/>
  <c r="C295" i="7" l="1"/>
  <c r="D295" i="7" s="1"/>
  <c r="B296" i="7" s="1"/>
  <c r="E295" i="7"/>
  <c r="C296" i="7" l="1"/>
  <c r="D296" i="7" s="1"/>
  <c r="B297" i="7" s="1"/>
  <c r="E296" i="7"/>
  <c r="E297" i="7" l="1"/>
  <c r="C297" i="7"/>
  <c r="D297" i="7" s="1"/>
  <c r="B298" i="7" s="1"/>
  <c r="E298" i="7" l="1"/>
  <c r="C298" i="7"/>
  <c r="D298" i="7" s="1"/>
  <c r="B299" i="7" s="1"/>
  <c r="C299" i="7" l="1"/>
  <c r="D299" i="7" s="1"/>
  <c r="B300" i="7" s="1"/>
  <c r="E299" i="7"/>
  <c r="E300" i="7" l="1"/>
  <c r="C300" i="7"/>
  <c r="D300" i="7" s="1"/>
  <c r="B301" i="7" s="1"/>
  <c r="C301" i="7" l="1"/>
  <c r="D301" i="7" s="1"/>
  <c r="B302" i="7" s="1"/>
  <c r="E301" i="7"/>
  <c r="E302" i="7" l="1"/>
  <c r="C302" i="7"/>
  <c r="D302" i="7" s="1"/>
  <c r="B303" i="7" s="1"/>
  <c r="C303" i="7" l="1"/>
  <c r="D303" i="7" s="1"/>
  <c r="B304" i="7" s="1"/>
  <c r="E303" i="7"/>
  <c r="E304" i="7" l="1"/>
  <c r="C304" i="7"/>
  <c r="D304" i="7" s="1"/>
  <c r="B305" i="7" s="1"/>
  <c r="C305" i="7" l="1"/>
  <c r="D305" i="7" s="1"/>
  <c r="B306" i="7" s="1"/>
  <c r="E305" i="7"/>
  <c r="E306" i="7" l="1"/>
  <c r="C306" i="7"/>
  <c r="D306" i="7" s="1"/>
  <c r="B307" i="7" s="1"/>
  <c r="E307" i="7" l="1"/>
  <c r="C307" i="7"/>
  <c r="D307" i="7" s="1"/>
  <c r="B308" i="7" s="1"/>
  <c r="C308" i="7" l="1"/>
  <c r="D308" i="7" s="1"/>
  <c r="B309" i="7" s="1"/>
  <c r="E308" i="7"/>
  <c r="C309" i="7" l="1"/>
  <c r="D309" i="7" s="1"/>
  <c r="B310" i="7" s="1"/>
  <c r="E309" i="7"/>
  <c r="E310" i="7" l="1"/>
  <c r="C310" i="7"/>
  <c r="D310" i="7" s="1"/>
  <c r="B311" i="7" s="1"/>
  <c r="C311" i="7" l="1"/>
  <c r="D311" i="7" s="1"/>
  <c r="B312" i="7" s="1"/>
  <c r="E311" i="7"/>
  <c r="C312" i="7" l="1"/>
  <c r="D312" i="7" s="1"/>
  <c r="B313" i="7" s="1"/>
  <c r="E312" i="7"/>
  <c r="E313" i="7" l="1"/>
  <c r="C313" i="7"/>
  <c r="D313" i="7" s="1"/>
  <c r="B314" i="7" s="1"/>
  <c r="C314" i="7" l="1"/>
  <c r="D314" i="7" s="1"/>
  <c r="B315" i="7" s="1"/>
  <c r="E314" i="7"/>
  <c r="C315" i="7" l="1"/>
  <c r="D315" i="7" s="1"/>
  <c r="B316" i="7" s="1"/>
  <c r="E315" i="7"/>
  <c r="E316" i="7" l="1"/>
  <c r="C316" i="7"/>
  <c r="D316" i="7" s="1"/>
  <c r="B317" i="7" s="1"/>
  <c r="E317" i="7" l="1"/>
  <c r="C317" i="7"/>
  <c r="D317" i="7" s="1"/>
  <c r="B318" i="7" s="1"/>
  <c r="C318" i="7" l="1"/>
  <c r="D318" i="7" s="1"/>
  <c r="B319" i="7" s="1"/>
  <c r="E318" i="7"/>
  <c r="E319" i="7" l="1"/>
  <c r="C319" i="7"/>
  <c r="D319" i="7" s="1"/>
  <c r="B320" i="7" s="1"/>
  <c r="C320" i="7" l="1"/>
  <c r="D320" i="7" s="1"/>
  <c r="B321" i="7" s="1"/>
  <c r="E320" i="7"/>
  <c r="C321" i="7" l="1"/>
  <c r="D321" i="7" s="1"/>
  <c r="B322" i="7" s="1"/>
  <c r="E321" i="7"/>
  <c r="C322" i="7" l="1"/>
  <c r="D322" i="7" s="1"/>
  <c r="B323" i="7" s="1"/>
  <c r="E322" i="7"/>
  <c r="E323" i="7" l="1"/>
  <c r="C323" i="7"/>
  <c r="D323" i="7" s="1"/>
  <c r="B324" i="7" s="1"/>
  <c r="C324" i="7" l="1"/>
  <c r="D324" i="7" s="1"/>
  <c r="B325" i="7" s="1"/>
  <c r="E324" i="7"/>
  <c r="E325" i="7" l="1"/>
  <c r="C325" i="7"/>
  <c r="D325" i="7" s="1"/>
  <c r="B326" i="7" s="1"/>
  <c r="C326" i="7" l="1"/>
  <c r="D326" i="7" s="1"/>
  <c r="B327" i="7" s="1"/>
  <c r="E326" i="7"/>
  <c r="C327" i="7" l="1"/>
  <c r="D327" i="7" s="1"/>
  <c r="B328" i="7" s="1"/>
  <c r="E327" i="7"/>
  <c r="E328" i="7" l="1"/>
  <c r="C328" i="7"/>
  <c r="D328" i="7" s="1"/>
  <c r="B329" i="7" s="1"/>
  <c r="C329" i="7" l="1"/>
  <c r="D329" i="7" s="1"/>
  <c r="B330" i="7" s="1"/>
  <c r="E329" i="7"/>
  <c r="E330" i="7" l="1"/>
  <c r="C330" i="7"/>
  <c r="D330" i="7" s="1"/>
  <c r="B331" i="7" s="1"/>
  <c r="C331" i="7" l="1"/>
  <c r="D331" i="7" s="1"/>
  <c r="B332" i="7" s="1"/>
  <c r="E331" i="7"/>
  <c r="C332" i="7" l="1"/>
  <c r="D332" i="7" s="1"/>
  <c r="B333" i="7" s="1"/>
  <c r="E332" i="7"/>
  <c r="C333" i="7" l="1"/>
  <c r="D333" i="7" s="1"/>
  <c r="B334" i="7" s="1"/>
  <c r="E333" i="7"/>
  <c r="C334" i="7" l="1"/>
  <c r="D334" i="7" s="1"/>
  <c r="B335" i="7" s="1"/>
  <c r="E334" i="7"/>
  <c r="E335" i="7" l="1"/>
  <c r="C335" i="7"/>
  <c r="D335" i="7" s="1"/>
  <c r="B336" i="7" s="1"/>
  <c r="C336" i="7" l="1"/>
  <c r="D336" i="7" s="1"/>
  <c r="B337" i="7" s="1"/>
  <c r="E336" i="7"/>
  <c r="E337" i="7" l="1"/>
  <c r="C337" i="7"/>
  <c r="D337" i="7" s="1"/>
  <c r="B338" i="7" s="1"/>
  <c r="E338" i="7" l="1"/>
  <c r="C338" i="7"/>
  <c r="D338" i="7" s="1"/>
  <c r="B339" i="7" s="1"/>
  <c r="E339" i="7" l="1"/>
  <c r="C339" i="7"/>
  <c r="D339" i="7" s="1"/>
  <c r="B340" i="7" s="1"/>
  <c r="E340" i="7" l="1"/>
  <c r="C340" i="7"/>
  <c r="D340" i="7" s="1"/>
  <c r="B341" i="7" s="1"/>
  <c r="C341" i="7" l="1"/>
  <c r="D341" i="7" s="1"/>
  <c r="B342" i="7" s="1"/>
  <c r="E341" i="7"/>
  <c r="C342" i="7" l="1"/>
  <c r="D342" i="7" s="1"/>
  <c r="B343" i="7" s="1"/>
  <c r="E342" i="7"/>
  <c r="E343" i="7" l="1"/>
  <c r="C343" i="7"/>
  <c r="D343" i="7" s="1"/>
  <c r="B344" i="7" s="1"/>
  <c r="E344" i="7" l="1"/>
  <c r="C344" i="7"/>
  <c r="D344" i="7" s="1"/>
  <c r="B345" i="7" s="1"/>
  <c r="E345" i="7" l="1"/>
  <c r="C345" i="7"/>
  <c r="D345" i="7" s="1"/>
  <c r="B346" i="7" s="1"/>
  <c r="C346" i="7" l="1"/>
  <c r="D346" i="7" s="1"/>
  <c r="B347" i="7" s="1"/>
  <c r="E346" i="7"/>
  <c r="C347" i="7" l="1"/>
  <c r="D347" i="7" s="1"/>
  <c r="B348" i="7" s="1"/>
  <c r="E347" i="7"/>
  <c r="E348" i="7" l="1"/>
  <c r="C348" i="7"/>
  <c r="D348" i="7" s="1"/>
  <c r="B349" i="7" s="1"/>
  <c r="E349" i="7" l="1"/>
  <c r="C349" i="7"/>
  <c r="D349" i="7" s="1"/>
  <c r="B350" i="7" s="1"/>
  <c r="E350" i="7" l="1"/>
  <c r="C350" i="7"/>
  <c r="D350" i="7" s="1"/>
  <c r="B351" i="7" s="1"/>
  <c r="C351" i="7" l="1"/>
  <c r="D351" i="7" s="1"/>
  <c r="B352" i="7" s="1"/>
  <c r="E351" i="7"/>
  <c r="E352" i="7" l="1"/>
  <c r="C352" i="7"/>
  <c r="D352" i="7" s="1"/>
  <c r="B353" i="7" s="1"/>
  <c r="C353" i="7" l="1"/>
  <c r="D353" i="7" s="1"/>
  <c r="B354" i="7" s="1"/>
  <c r="E353" i="7"/>
  <c r="E354" i="7" l="1"/>
  <c r="C354" i="7"/>
  <c r="D354" i="7" s="1"/>
  <c r="B355" i="7" s="1"/>
  <c r="E355" i="7" l="1"/>
  <c r="C355" i="7"/>
  <c r="D355" i="7" s="1"/>
  <c r="B356" i="7" s="1"/>
  <c r="E356" i="7" l="1"/>
  <c r="C356" i="7"/>
  <c r="D356" i="7" s="1"/>
  <c r="B357" i="7" s="1"/>
  <c r="C357" i="7" l="1"/>
  <c r="D357" i="7" s="1"/>
  <c r="B358" i="7" s="1"/>
  <c r="E357" i="7"/>
  <c r="C358" i="7" l="1"/>
  <c r="D358" i="7" s="1"/>
  <c r="B359" i="7" s="1"/>
  <c r="E358" i="7"/>
  <c r="E359" i="7" l="1"/>
  <c r="C359" i="7"/>
  <c r="D359" i="7" s="1"/>
  <c r="B360" i="7" s="1"/>
  <c r="C360" i="7" l="1"/>
  <c r="D360" i="7" s="1"/>
  <c r="B361" i="7" s="1"/>
  <c r="E360" i="7"/>
  <c r="E361" i="7" l="1"/>
  <c r="C361" i="7"/>
  <c r="D361" i="7" s="1"/>
  <c r="B362" i="7" s="1"/>
  <c r="C362" i="7" l="1"/>
  <c r="D362" i="7" s="1"/>
  <c r="B363" i="7" s="1"/>
  <c r="E362" i="7"/>
  <c r="E363" i="7" l="1"/>
  <c r="C363" i="7"/>
  <c r="D363" i="7" s="1"/>
  <c r="B364" i="7" s="1"/>
  <c r="E364" i="7" l="1"/>
  <c r="C364" i="7"/>
  <c r="D364" i="7" s="1"/>
  <c r="B365" i="7" s="1"/>
  <c r="C365" i="7" l="1"/>
  <c r="D365" i="7" s="1"/>
  <c r="B366" i="7" s="1"/>
  <c r="E365" i="7"/>
  <c r="C366" i="7" l="1"/>
  <c r="D366" i="7" s="1"/>
  <c r="B367" i="7" s="1"/>
  <c r="E366" i="7"/>
  <c r="C367" i="7" l="1"/>
  <c r="D367" i="7" s="1"/>
  <c r="B368" i="7" s="1"/>
  <c r="E367" i="7"/>
  <c r="C368" i="7" l="1"/>
  <c r="D368" i="7" s="1"/>
  <c r="B369" i="7" s="1"/>
  <c r="E368" i="7"/>
  <c r="C369" i="7" l="1"/>
  <c r="D369" i="7" s="1"/>
  <c r="B370" i="7" s="1"/>
  <c r="E369" i="7"/>
  <c r="C370" i="7" l="1"/>
  <c r="D370" i="7" s="1"/>
  <c r="B371" i="7" s="1"/>
  <c r="E370" i="7"/>
  <c r="E371" i="7" l="1"/>
  <c r="C371" i="7"/>
  <c r="D371" i="7" s="1"/>
  <c r="B372" i="7" s="1"/>
  <c r="E372" i="7" l="1"/>
  <c r="C372" i="7"/>
  <c r="D372" i="7" s="1"/>
  <c r="B373" i="7" s="1"/>
  <c r="E373" i="7" l="1"/>
  <c r="C373" i="7"/>
  <c r="D373" i="7" s="1"/>
  <c r="B374" i="7" s="1"/>
  <c r="C374" i="7" l="1"/>
  <c r="D374" i="7" s="1"/>
  <c r="B375" i="7" s="1"/>
  <c r="E374" i="7"/>
  <c r="C375" i="7" l="1"/>
  <c r="D375" i="7" s="1"/>
  <c r="B376" i="7" s="1"/>
  <c r="E375" i="7"/>
  <c r="E376" i="7" l="1"/>
  <c r="C376" i="7"/>
  <c r="D376" i="7" s="1"/>
  <c r="B377" i="7" s="1"/>
  <c r="E377" i="7" l="1"/>
  <c r="C377" i="7"/>
  <c r="D377" i="7" s="1"/>
  <c r="B378" i="7" s="1"/>
  <c r="E378" i="7" l="1"/>
  <c r="C378" i="7"/>
  <c r="D378" i="7" s="1"/>
  <c r="B379" i="7" s="1"/>
  <c r="E379" i="7" l="1"/>
  <c r="C379" i="7"/>
  <c r="D379" i="7" s="1"/>
  <c r="B380" i="7" s="1"/>
  <c r="C380" i="7" l="1"/>
  <c r="D380" i="7" s="1"/>
  <c r="B381" i="7" s="1"/>
  <c r="E380" i="7"/>
  <c r="C381" i="7" l="1"/>
  <c r="D381" i="7" s="1"/>
  <c r="B382" i="7" s="1"/>
  <c r="E381" i="7"/>
  <c r="E382" i="7" l="1"/>
  <c r="C382" i="7"/>
  <c r="D382" i="7" s="1"/>
  <c r="B383" i="7" s="1"/>
  <c r="C383" i="7" l="1"/>
  <c r="D383" i="7" s="1"/>
  <c r="B384" i="7" s="1"/>
  <c r="E383" i="7"/>
  <c r="E384" i="7" l="1"/>
  <c r="C384" i="7"/>
  <c r="D384" i="7" s="1"/>
  <c r="B385" i="7" s="1"/>
  <c r="C385" i="7" l="1"/>
  <c r="D385" i="7" s="1"/>
  <c r="B386" i="7" s="1"/>
  <c r="E385" i="7"/>
  <c r="E386" i="7" l="1"/>
  <c r="C386" i="7"/>
  <c r="D386" i="7" s="1"/>
  <c r="B387" i="7" s="1"/>
  <c r="C387" i="7" l="1"/>
  <c r="D387" i="7" s="1"/>
  <c r="B388" i="7" s="1"/>
  <c r="E387" i="7"/>
  <c r="E388" i="7" l="1"/>
  <c r="C388" i="7"/>
  <c r="D388" i="7" s="1"/>
  <c r="B389" i="7" s="1"/>
  <c r="E389" i="7" l="1"/>
  <c r="C389" i="7"/>
  <c r="D389" i="7" s="1"/>
  <c r="B390" i="7" s="1"/>
  <c r="C390" i="7" l="1"/>
  <c r="D390" i="7" s="1"/>
  <c r="B391" i="7" s="1"/>
  <c r="E390" i="7"/>
  <c r="E391" i="7" l="1"/>
  <c r="C391" i="7"/>
  <c r="D391" i="7" s="1"/>
  <c r="B392" i="7" s="1"/>
  <c r="C392" i="7" l="1"/>
  <c r="D392" i="7" s="1"/>
  <c r="B393" i="7" s="1"/>
  <c r="E392" i="7"/>
  <c r="E393" i="7" l="1"/>
  <c r="C393" i="7"/>
  <c r="D393" i="7" s="1"/>
  <c r="B394" i="7" s="1"/>
  <c r="E394" i="7" l="1"/>
  <c r="C394" i="7"/>
  <c r="D394" i="7" s="1"/>
  <c r="B395" i="7" s="1"/>
  <c r="E395" i="7" l="1"/>
  <c r="C395" i="7"/>
  <c r="D395" i="7" s="1"/>
  <c r="B396" i="7" s="1"/>
  <c r="C396" i="7" l="1"/>
  <c r="D396" i="7" s="1"/>
  <c r="B397" i="7" s="1"/>
  <c r="E396" i="7"/>
  <c r="C397" i="7" l="1"/>
  <c r="D397" i="7" s="1"/>
  <c r="B398" i="7" s="1"/>
  <c r="E397" i="7"/>
  <c r="C398" i="7" l="1"/>
  <c r="D398" i="7" s="1"/>
  <c r="B399" i="7" s="1"/>
  <c r="E398" i="7"/>
  <c r="C399" i="7" l="1"/>
  <c r="D399" i="7" s="1"/>
  <c r="B400" i="7" s="1"/>
  <c r="E399" i="7"/>
  <c r="C400" i="7" l="1"/>
  <c r="D400" i="7" s="1"/>
  <c r="B401" i="7" s="1"/>
  <c r="E400" i="7"/>
  <c r="C401" i="7" l="1"/>
  <c r="D401" i="7" s="1"/>
  <c r="B402" i="7" s="1"/>
  <c r="E401" i="7"/>
  <c r="C402" i="7" l="1"/>
  <c r="D402" i="7" s="1"/>
  <c r="B403" i="7" s="1"/>
  <c r="E402" i="7"/>
  <c r="C403" i="7" l="1"/>
  <c r="D403" i="7" s="1"/>
  <c r="B404" i="7" s="1"/>
  <c r="E403" i="7"/>
  <c r="E404" i="7" l="1"/>
  <c r="C404" i="7"/>
  <c r="D404" i="7" s="1"/>
  <c r="B405" i="7" s="1"/>
  <c r="E405" i="7" l="1"/>
  <c r="C405" i="7"/>
  <c r="D405" i="7" s="1"/>
  <c r="B406" i="7" s="1"/>
  <c r="E406" i="7" l="1"/>
  <c r="C406" i="7"/>
  <c r="D406" i="7" s="1"/>
  <c r="B407" i="7" s="1"/>
  <c r="C407" i="7" l="1"/>
  <c r="D407" i="7" s="1"/>
  <c r="B408" i="7" s="1"/>
  <c r="E407" i="7"/>
  <c r="E408" i="7" l="1"/>
  <c r="C408" i="7"/>
  <c r="D408" i="7" s="1"/>
  <c r="B409" i="7" s="1"/>
  <c r="C409" i="7" l="1"/>
  <c r="D409" i="7" s="1"/>
  <c r="B410" i="7" s="1"/>
  <c r="E409" i="7"/>
  <c r="C410" i="7" l="1"/>
  <c r="D410" i="7" s="1"/>
  <c r="B411" i="7" s="1"/>
  <c r="E410" i="7"/>
  <c r="E411" i="7" l="1"/>
  <c r="C411" i="7"/>
  <c r="D411" i="7" s="1"/>
  <c r="B412" i="7" s="1"/>
  <c r="E412" i="7" l="1"/>
  <c r="C412" i="7"/>
  <c r="D412" i="7" s="1"/>
  <c r="G36" i="24"/>
  <c r="F11" i="24" s="1"/>
  <c r="G8" i="24" s="1"/>
</calcChain>
</file>

<file path=xl/sharedStrings.xml><?xml version="1.0" encoding="utf-8"?>
<sst xmlns="http://schemas.openxmlformats.org/spreadsheetml/2006/main" count="1137" uniqueCount="865">
  <si>
    <t>Light Year</t>
  </si>
  <si>
    <t>Accelleration Rate:</t>
  </si>
  <si>
    <t>ly</t>
  </si>
  <si>
    <t>m</t>
  </si>
  <si>
    <t>m/s/s</t>
  </si>
  <si>
    <t>s</t>
  </si>
  <si>
    <t>Turn-Around Distance</t>
  </si>
  <si>
    <t>year</t>
  </si>
  <si>
    <t>Accelleration</t>
  </si>
  <si>
    <t>Distance</t>
  </si>
  <si>
    <t>Seconds in year</t>
  </si>
  <si>
    <t>G</t>
  </si>
  <si>
    <t>dt</t>
  </si>
  <si>
    <t>Year</t>
  </si>
  <si>
    <t>Lorentz Factor (ymid)</t>
  </si>
  <si>
    <t>Travel time (ship)</t>
  </si>
  <si>
    <t>Trave time (map)</t>
  </si>
  <si>
    <t>Speed of Light</t>
  </si>
  <si>
    <t>Total</t>
  </si>
  <si>
    <t>Soil Depth</t>
  </si>
  <si>
    <t>m^2</t>
  </si>
  <si>
    <t>Beam Capacity</t>
  </si>
  <si>
    <t>Mass per m</t>
  </si>
  <si>
    <t>kg/m</t>
  </si>
  <si>
    <t>Soil Mass</t>
  </si>
  <si>
    <t>Propulsion System</t>
  </si>
  <si>
    <t>Total Vehicle Mass</t>
  </si>
  <si>
    <t>Mass of eros</t>
  </si>
  <si>
    <t>million m^2</t>
  </si>
  <si>
    <t>American football fields</t>
  </si>
  <si>
    <t>Acres</t>
  </si>
  <si>
    <t>Square Miles</t>
  </si>
  <si>
    <t>Death</t>
  </si>
  <si>
    <t>Death Rate Info https://www.allcountries.org/uscensus/129_death_and_death_rates_by_age.html</t>
  </si>
  <si>
    <t>DT</t>
  </si>
  <si>
    <t>Elderly %</t>
  </si>
  <si>
    <t>Peak</t>
  </si>
  <si>
    <t>Min</t>
  </si>
  <si>
    <t>Final</t>
  </si>
  <si>
    <t>Natural</t>
  </si>
  <si>
    <t>Selected</t>
  </si>
  <si>
    <t>Seed Females</t>
  </si>
  <si>
    <t>M/F Ratio</t>
  </si>
  <si>
    <t>Seed Male</t>
  </si>
  <si>
    <t>Survival Rate</t>
  </si>
  <si>
    <t>Child/Female</t>
  </si>
  <si>
    <t>Fertile Female</t>
  </si>
  <si>
    <t>Over 70</t>
  </si>
  <si>
    <t>Children</t>
  </si>
  <si>
    <t>Pop Max</t>
  </si>
  <si>
    <t>Pop Start</t>
  </si>
  <si>
    <t>Peak Population</t>
  </si>
  <si>
    <t>kg</t>
  </si>
  <si>
    <t>Mass of ceres</t>
  </si>
  <si>
    <t>Fuel Mass</t>
  </si>
  <si>
    <t>e = m c^2</t>
  </si>
  <si>
    <t>https://f4e.europa.eu/understandingfusion/merits.aspx</t>
  </si>
  <si>
    <t>Impulse</t>
  </si>
  <si>
    <t>Deuterium</t>
  </si>
  <si>
    <t>Lithium</t>
  </si>
  <si>
    <t>https://www.space.com/37146-nuclear-fusion-rockets-interstellar-spaceflight.html</t>
  </si>
  <si>
    <t>https://earthsky.org/space/rosettas-comet-fuels-debate-on-origin-of-earths-oceans</t>
  </si>
  <si>
    <t>comet 3x deuterium concentration</t>
  </si>
  <si>
    <t>Goal: 1 kW/kg fusion</t>
  </si>
  <si>
    <t>Mass of spacecraft * accelleration * time</t>
  </si>
  <si>
    <t>Dry Mass</t>
  </si>
  <si>
    <t>Fuel Consumption</t>
  </si>
  <si>
    <t>Vehicle Dry Mass</t>
  </si>
  <si>
    <t>Vehicle Mass</t>
  </si>
  <si>
    <t>Fuel Consumed</t>
  </si>
  <si>
    <t>Fuel Mass Estimate</t>
  </si>
  <si>
    <t>Nimitz Class Carriers</t>
  </si>
  <si>
    <t>Dry Mass Estimate</t>
  </si>
  <si>
    <t>Child %</t>
  </si>
  <si>
    <t>Seed Child</t>
  </si>
  <si>
    <t>Seed %</t>
  </si>
  <si>
    <t>Carry</t>
  </si>
  <si>
    <t>Promote</t>
  </si>
  <si>
    <t>Mass Consume</t>
  </si>
  <si>
    <t>Agriculture Calculations</t>
  </si>
  <si>
    <t>Graze Area</t>
  </si>
  <si>
    <t>km^2</t>
  </si>
  <si>
    <t>Max Dense</t>
  </si>
  <si>
    <t>Calf</t>
  </si>
  <si>
    <t>Oxen</t>
  </si>
  <si>
    <t>Cow</t>
  </si>
  <si>
    <t>Bull</t>
  </si>
  <si>
    <t>Heifer</t>
  </si>
  <si>
    <t>Year:</t>
  </si>
  <si>
    <t>calf</t>
  </si>
  <si>
    <t>Ox</t>
  </si>
  <si>
    <t>Cultivation</t>
  </si>
  <si>
    <t>https://en.wikipedia.org/wiki/Carucate</t>
  </si>
  <si>
    <t>Total Area:</t>
  </si>
  <si>
    <t>Oxen:</t>
  </si>
  <si>
    <t>https://www.drovers.com/article/breeding-season-bull-management</t>
  </si>
  <si>
    <t>Cows</t>
  </si>
  <si>
    <t>Bulls</t>
  </si>
  <si>
    <t>cow:bull</t>
  </si>
  <si>
    <t>Cull bull</t>
  </si>
  <si>
    <t>Cull Cow</t>
  </si>
  <si>
    <t>Beef Production</t>
  </si>
  <si>
    <t>Cull Ox</t>
  </si>
  <si>
    <t>Delta</t>
  </si>
  <si>
    <t>Harvest</t>
  </si>
  <si>
    <t>Target Population</t>
  </si>
  <si>
    <t>Target Population:</t>
  </si>
  <si>
    <t>Milk</t>
  </si>
  <si>
    <t>Cow/Bull Ratio</t>
  </si>
  <si>
    <t>Steer</t>
  </si>
  <si>
    <t>Target Dairy:</t>
  </si>
  <si>
    <t>Beef / Head</t>
  </si>
  <si>
    <t>Target Beef/capita:</t>
  </si>
  <si>
    <t>Replacement Rate (Ox, Steer)</t>
  </si>
  <si>
    <t>Replacement Rate (Cow, Bull)</t>
  </si>
  <si>
    <t>https://en.wikipedia.org/wiki/List_of_countries_by_milk_consumption_per_capita</t>
  </si>
  <si>
    <t>kg/capita/year</t>
  </si>
  <si>
    <t>head</t>
  </si>
  <si>
    <t>Milk / Cow</t>
  </si>
  <si>
    <t>kg/cow/day</t>
  </si>
  <si>
    <t>Human Population</t>
  </si>
  <si>
    <t>Crops</t>
  </si>
  <si>
    <t>Wheat</t>
  </si>
  <si>
    <t>kg Per Capita</t>
  </si>
  <si>
    <t>kg / Hectare</t>
  </si>
  <si>
    <t>Potato</t>
  </si>
  <si>
    <t>Barley</t>
  </si>
  <si>
    <t>Total Area utilized</t>
  </si>
  <si>
    <t>Cotton</t>
  </si>
  <si>
    <t>Bamboo</t>
  </si>
  <si>
    <t>Apples</t>
  </si>
  <si>
    <t>Other Fruit</t>
  </si>
  <si>
    <t>Peanuts</t>
  </si>
  <si>
    <t>http://www.prep-blog.com/2013/04/18/survival-gardening-the-most-productive-calorie-crops/</t>
  </si>
  <si>
    <t>Amaranth</t>
  </si>
  <si>
    <t>Soybeans</t>
  </si>
  <si>
    <t>Quinoa</t>
  </si>
  <si>
    <t>Garlic</t>
  </si>
  <si>
    <t>Cargo Capacity</t>
  </si>
  <si>
    <t>http://www.projectrho.com/public_html/rocket/enginelist.php</t>
  </si>
  <si>
    <t>Radius</t>
  </si>
  <si>
    <t>km^2/acre</t>
  </si>
  <si>
    <t>km^2/hectare</t>
  </si>
  <si>
    <t>head/hectar</t>
  </si>
  <si>
    <t>Cocoa</t>
  </si>
  <si>
    <t>Coffee</t>
  </si>
  <si>
    <t>Tea</t>
  </si>
  <si>
    <t>grapes</t>
  </si>
  <si>
    <t>au</t>
  </si>
  <si>
    <t>hectare</t>
  </si>
  <si>
    <t>kg/person</t>
  </si>
  <si>
    <t>Cattle Range:</t>
  </si>
  <si>
    <t>Crops Range:</t>
  </si>
  <si>
    <t>Settlement Area:</t>
  </si>
  <si>
    <t>Plow</t>
  </si>
  <si>
    <t>Total allocated Area:</t>
  </si>
  <si>
    <t>Population</t>
  </si>
  <si>
    <t>Per Capita Usage</t>
  </si>
  <si>
    <t>Average Power Usage</t>
  </si>
  <si>
    <t>Efficiency</t>
  </si>
  <si>
    <t>Watt per kg</t>
  </si>
  <si>
    <t>Power System</t>
  </si>
  <si>
    <t>Safety Factor</t>
  </si>
  <si>
    <t>Mission Length</t>
  </si>
  <si>
    <t>Fuel Mass (Propulsion):</t>
  </si>
  <si>
    <t>Fuel Mass (Power):</t>
  </si>
  <si>
    <t>Survival Duration</t>
  </si>
  <si>
    <t>kg/w</t>
  </si>
  <si>
    <t>Fuel / mW</t>
  </si>
  <si>
    <t>7 billion kwh / 3100kg fuel</t>
  </si>
  <si>
    <t>kg/kwH</t>
  </si>
  <si>
    <t>(Assuming equivilent to early 21st century Iceland)</t>
  </si>
  <si>
    <t>kwH/yr</t>
  </si>
  <si>
    <t>Lighting Power Usage</t>
  </si>
  <si>
    <t>w</t>
  </si>
  <si>
    <t>kwh/yr -&gt; watt</t>
  </si>
  <si>
    <t>kg/kwh</t>
  </si>
  <si>
    <t>Hours/year</t>
  </si>
  <si>
    <t>Fusion Fuel Usage</t>
  </si>
  <si>
    <t>Lighting Mass / w</t>
  </si>
  <si>
    <t>kg/watt</t>
  </si>
  <si>
    <t>Fusion Power Mass</t>
  </si>
  <si>
    <t>Power System Fuel / yr</t>
  </si>
  <si>
    <t>Total Power System Fuel Mass:</t>
  </si>
  <si>
    <t>Lighting System Mass</t>
  </si>
  <si>
    <t>Nimitz Carrier</t>
  </si>
  <si>
    <t>Nimitz carrier is 1.046 million long tons</t>
  </si>
  <si>
    <t>Nimitz Carriers</t>
  </si>
  <si>
    <t>Power Fuel/dt</t>
  </si>
  <si>
    <t>kG / kwh</t>
  </si>
  <si>
    <t>W/kwh</t>
  </si>
  <si>
    <t>kw</t>
  </si>
  <si>
    <t>Pure Duterium</t>
  </si>
  <si>
    <t>Pure Lithium</t>
  </si>
  <si>
    <t>Mole</t>
  </si>
  <si>
    <t>https://www.nextbigfuture.com/2012/06/what-is-energy-content-of-earths-water.html</t>
  </si>
  <si>
    <t>Heavy Water</t>
  </si>
  <si>
    <t>Moles</t>
  </si>
  <si>
    <t>Fuel Mass (raw)</t>
  </si>
  <si>
    <t>As Lithium and Heavy Water</t>
  </si>
  <si>
    <t>Comet Water</t>
  </si>
  <si>
    <t>Ratio Deuterium Comet Water</t>
  </si>
  <si>
    <t>Number of Equivilent Haley's Comets</t>
  </si>
  <si>
    <t>Ceres Water</t>
  </si>
  <si>
    <t>Mass of planet</t>
  </si>
  <si>
    <t>Mass of water on planet</t>
  </si>
  <si>
    <t>Computer Center</t>
  </si>
  <si>
    <t>Fuel Remaining</t>
  </si>
  <si>
    <t>Assuming Dexter cows and some minor technology tweaks</t>
  </si>
  <si>
    <t>Hypothetical 250kg cow that yields 75% meat</t>
  </si>
  <si>
    <t>Lower output than standard</t>
  </si>
  <si>
    <t>Seeweed</t>
  </si>
  <si>
    <t>kg/capita</t>
  </si>
  <si>
    <t>Water Depth</t>
  </si>
  <si>
    <t>Tuna</t>
  </si>
  <si>
    <t>Consumption</t>
  </si>
  <si>
    <t>Harvest Age</t>
  </si>
  <si>
    <t>salmon</t>
  </si>
  <si>
    <t>tilapia</t>
  </si>
  <si>
    <t>cod</t>
  </si>
  <si>
    <t>carp</t>
  </si>
  <si>
    <t>trout</t>
  </si>
  <si>
    <t>marine</t>
  </si>
  <si>
    <t>yes</t>
  </si>
  <si>
    <t>no</t>
  </si>
  <si>
    <t>Fish Per capita</t>
  </si>
  <si>
    <t>Density</t>
  </si>
  <si>
    <t>Tank Size</t>
  </si>
  <si>
    <t>m^3</t>
  </si>
  <si>
    <t>kg/m^3</t>
  </si>
  <si>
    <t>Mass of Meat</t>
  </si>
  <si>
    <t>Meat Yeild</t>
  </si>
  <si>
    <t>Mass of Fish</t>
  </si>
  <si>
    <t>m^2/person</t>
  </si>
  <si>
    <t>kilogram of oil (kgoe)</t>
  </si>
  <si>
    <t>kJ/kg</t>
  </si>
  <si>
    <t>kwh</t>
  </si>
  <si>
    <t>Agriculture Work</t>
  </si>
  <si>
    <t>http://www.fao.org/docrep/003/X8054E/x8054e05.htm</t>
  </si>
  <si>
    <t>kwh/hectare</t>
  </si>
  <si>
    <t>Area</t>
  </si>
  <si>
    <t>Average</t>
  </si>
  <si>
    <t>Feed/year</t>
  </si>
  <si>
    <t>Forage/Day/AU</t>
  </si>
  <si>
    <t>Kale</t>
  </si>
  <si>
    <t>Livestock Forage</t>
  </si>
  <si>
    <t>Cow population density assuming agriculturally grown forage</t>
  </si>
  <si>
    <t>Cricket Powder (to offset protein)</t>
  </si>
  <si>
    <t>Mass powder/capita</t>
  </si>
  <si>
    <t>Yeild per kg of organism</t>
  </si>
  <si>
    <t>Living kg of organism</t>
  </si>
  <si>
    <t>Feed kg / organism kg</t>
  </si>
  <si>
    <t>Mass powder/year</t>
  </si>
  <si>
    <t>Cattle</t>
  </si>
  <si>
    <t>Cricket</t>
  </si>
  <si>
    <t>Avg Mass</t>
  </si>
  <si>
    <t>Protein per day</t>
  </si>
  <si>
    <t>https://www.healthline.com/nutrition/how-much-protein-per-day</t>
  </si>
  <si>
    <t>g/kg/day</t>
  </si>
  <si>
    <t>kg/s</t>
  </si>
  <si>
    <t>Mission Cargo</t>
  </si>
  <si>
    <t>Steel Structure</t>
  </si>
  <si>
    <t>Material</t>
  </si>
  <si>
    <t>Tensile Strength</t>
  </si>
  <si>
    <t>N/mm^2</t>
  </si>
  <si>
    <t>Yield Point</t>
  </si>
  <si>
    <t>g/cm^3</t>
  </si>
  <si>
    <t>Nickle/Iron Alloy 52/48</t>
  </si>
  <si>
    <t>MPP</t>
  </si>
  <si>
    <t>Caloires</t>
  </si>
  <si>
    <t>kCal/Day</t>
  </si>
  <si>
    <t>Chicken</t>
  </si>
  <si>
    <t>Mass Chicken/Capita</t>
  </si>
  <si>
    <t>Mass Meat /year</t>
  </si>
  <si>
    <t>Yield per Kg of Organism</t>
  </si>
  <si>
    <t>Living Kg per organism</t>
  </si>
  <si>
    <t>https://www.gov.mb.ca/agriculture/livestock/production/poultry/basic-feeding-programs-for-small-chicken-flocks.html</t>
  </si>
  <si>
    <t>Broiler</t>
  </si>
  <si>
    <t>Roaster</t>
  </si>
  <si>
    <t>Egg Layer</t>
  </si>
  <si>
    <t>Feed (total)</t>
  </si>
  <si>
    <t>Kg protein / organism</t>
  </si>
  <si>
    <t>Feed (protein)</t>
  </si>
  <si>
    <t>%protein diet</t>
  </si>
  <si>
    <t>Medievel Estimate</t>
  </si>
  <si>
    <t>Raw Cultivattion Estimate</t>
  </si>
  <si>
    <t>Medieval Estimate</t>
  </si>
  <si>
    <t>Medieval Population Rate</t>
  </si>
  <si>
    <t>capita/km^2</t>
  </si>
  <si>
    <t>Livestock feed</t>
  </si>
  <si>
    <t>Straw (from other crops)</t>
  </si>
  <si>
    <t>Alfalfa</t>
  </si>
  <si>
    <t>Grass</t>
  </si>
  <si>
    <t>Straw can be derived from parts of plants in food production not eaten</t>
  </si>
  <si>
    <t>Grass only requires 0.2 meters of topsoil. Assume some sort of stacking cultivation system</t>
  </si>
  <si>
    <t>Human Crops</t>
  </si>
  <si>
    <t>Livestock crops</t>
  </si>
  <si>
    <t>Grass (cultivated)</t>
  </si>
  <si>
    <t>Grass (living + recreation area)</t>
  </si>
  <si>
    <t>Grass (graze range)</t>
  </si>
  <si>
    <t>lbs/capita</t>
  </si>
  <si>
    <t>(Slightly higher than switzerland)</t>
  </si>
  <si>
    <t>Pig</t>
  </si>
  <si>
    <t>Sugar Beets</t>
  </si>
  <si>
    <t>m^3 soil</t>
  </si>
  <si>
    <t>Soil Volume</t>
  </si>
  <si>
    <t>US 1990</t>
  </si>
  <si>
    <t>http://www.foodreference.com/html/f-chick-consp.html</t>
  </si>
  <si>
    <t>http://www.foodreference.com/html/fbeef.html</t>
  </si>
  <si>
    <t>Assuming pigs eat leftovers from everything</t>
  </si>
  <si>
    <t>Total Meat</t>
  </si>
  <si>
    <t>Mass / organism</t>
  </si>
  <si>
    <t>Number organism</t>
  </si>
  <si>
    <t>Feed Organism/Market</t>
  </si>
  <si>
    <t>https://countrysidenetwork.com/daily/livestock/pigs/feeding-a-pig-for-market/</t>
  </si>
  <si>
    <t>kg / pig</t>
  </si>
  <si>
    <t>Total Mass of Food/yr</t>
  </si>
  <si>
    <t>meat</t>
  </si>
  <si>
    <t>Capita</t>
  </si>
  <si>
    <t>cereals + produce</t>
  </si>
  <si>
    <t>Food Waste</t>
  </si>
  <si>
    <t>Feed (from scaps)</t>
  </si>
  <si>
    <t>http://www.foodreference.com/html/fpork.html</t>
  </si>
  <si>
    <t>Enclosure / Organism</t>
  </si>
  <si>
    <t>Enclosure total</t>
  </si>
  <si>
    <t>Living organizm</t>
  </si>
  <si>
    <t>Enclosure per organism</t>
  </si>
  <si>
    <t>Pigs</t>
  </si>
  <si>
    <t>Ruminant Total</t>
  </si>
  <si>
    <t>% grass</t>
  </si>
  <si>
    <t>Levels</t>
  </si>
  <si>
    <t>Soil Density</t>
  </si>
  <si>
    <t>Kg/m^2 manned space</t>
  </si>
  <si>
    <t>https://en.wikipedia.org/wiki/World_Trade_Center_(1973–2001)</t>
  </si>
  <si>
    <t>https://hypertextbook.com/facts/2004/EricChen.shtml</t>
  </si>
  <si>
    <t>Steel Constuction</t>
  </si>
  <si>
    <t>World Trade Center</t>
  </si>
  <si>
    <t>Floor Area</t>
  </si>
  <si>
    <t>Mass</t>
  </si>
  <si>
    <t>kg/m^2</t>
  </si>
  <si>
    <t>U.S. Steel Building</t>
  </si>
  <si>
    <t>https://en.wikipedia.org/wiki/U.S._Steel_Tower</t>
  </si>
  <si>
    <t>Soil</t>
  </si>
  <si>
    <t>PSFS Building</t>
  </si>
  <si>
    <t>https://cdn.ymaws.com/www.aspenational.org/resource/resmgr/Techical_Papers/2013_October_TP.pdf</t>
  </si>
  <si>
    <t>Includes concrete flooring</t>
  </si>
  <si>
    <t>Based on construction formulas</t>
  </si>
  <si>
    <t>Crew + Effects / per</t>
  </si>
  <si>
    <t>Water Tank/Rad shield</t>
  </si>
  <si>
    <t>Radition Shielding</t>
  </si>
  <si>
    <t>Thickness of water surrounding all habitat areas of ship</t>
  </si>
  <si>
    <t>Atmosphere</t>
  </si>
  <si>
    <t>Assuming STP 1.225 kg/m^3 and 90% of total interior volume</t>
  </si>
  <si>
    <t>https://settlement.arc.nasa.gov/75SummerStudy/Chapt4.html#Shielding</t>
  </si>
  <si>
    <t>4500 kg/m^2 needed</t>
  </si>
  <si>
    <t>Total Area</t>
  </si>
  <si>
    <t>3 * square Root of three</t>
  </si>
  <si>
    <t>Number of domes</t>
  </si>
  <si>
    <t>dy</t>
  </si>
  <si>
    <t>Design Area per dome</t>
  </si>
  <si>
    <t>Implementation area</t>
  </si>
  <si>
    <t>Surface area</t>
  </si>
  <si>
    <t>Number Domes</t>
  </si>
  <si>
    <t>Volume</t>
  </si>
  <si>
    <t>Radation Shielding</t>
  </si>
  <si>
    <t>Slice Area</t>
  </si>
  <si>
    <t>Dome Exterior Surface</t>
  </si>
  <si>
    <t>Dome Land Surface</t>
  </si>
  <si>
    <t>Dome Volume</t>
  </si>
  <si>
    <t>Dome Shield Mass</t>
  </si>
  <si>
    <t>Radiation Mass</t>
  </si>
  <si>
    <t>Dome Levels</t>
  </si>
  <si>
    <t>Total Land Area</t>
  </si>
  <si>
    <t>Dome Radius</t>
  </si>
  <si>
    <t>1 G Radius</t>
  </si>
  <si>
    <t>RPM</t>
  </si>
  <si>
    <t>Angular Speed</t>
  </si>
  <si>
    <t>Floor Radius</t>
  </si>
  <si>
    <t>Rot Radius</t>
  </si>
  <si>
    <t>%g</t>
  </si>
  <si>
    <t>Height</t>
  </si>
  <si>
    <t>Design of a spheriod dome</t>
  </si>
  <si>
    <t>h</t>
  </si>
  <si>
    <t>Verticle Usage</t>
  </si>
  <si>
    <t>long ton/ft^3</t>
  </si>
  <si>
    <t>Width</t>
  </si>
  <si>
    <t>Structure Mass</t>
  </si>
  <si>
    <t>Mass m^3</t>
  </si>
  <si>
    <t>G at apex</t>
  </si>
  <si>
    <t>area / volume</t>
  </si>
  <si>
    <t>Segment Length</t>
  </si>
  <si>
    <t>Dome Structure Mass</t>
  </si>
  <si>
    <t>Dome Structure</t>
  </si>
  <si>
    <t>Oats</t>
  </si>
  <si>
    <t>Cereals</t>
  </si>
  <si>
    <t>broccoli</t>
  </si>
  <si>
    <t>% protein</t>
  </si>
  <si>
    <t>% oil</t>
  </si>
  <si>
    <t>% EFA</t>
  </si>
  <si>
    <t>% carb</t>
  </si>
  <si>
    <t>kcal/m^2</t>
  </si>
  <si>
    <t>Cabbage</t>
  </si>
  <si>
    <t>camelina</t>
  </si>
  <si>
    <t>chia seeds</t>
  </si>
  <si>
    <t>Coconut Oil</t>
  </si>
  <si>
    <t>duckweed</t>
  </si>
  <si>
    <t>flaxseed</t>
  </si>
  <si>
    <t>fonio</t>
  </si>
  <si>
    <t>http://gardeningplaces.com/articles/nutrition-per-hectare1.htm</t>
  </si>
  <si>
    <t>hempseed</t>
  </si>
  <si>
    <t>lentils</t>
  </si>
  <si>
    <t>maize (corn)</t>
  </si>
  <si>
    <t>millet</t>
  </si>
  <si>
    <t>Nerica</t>
  </si>
  <si>
    <t>Olive Oil</t>
  </si>
  <si>
    <t>Palm Oil</t>
  </si>
  <si>
    <t>Palm Kernel Oil</t>
  </si>
  <si>
    <t>Peas - Dry</t>
  </si>
  <si>
    <t>Peas - Green</t>
  </si>
  <si>
    <t>Plaintains</t>
  </si>
  <si>
    <t>rapeseed (canola)</t>
  </si>
  <si>
    <t>Rice - paddy</t>
  </si>
  <si>
    <t>Rye</t>
  </si>
  <si>
    <t>sacha inchi</t>
  </si>
  <si>
    <t>safflower kernels</t>
  </si>
  <si>
    <t>sesame seeds</t>
  </si>
  <si>
    <t>sorghum - grain</t>
  </si>
  <si>
    <t>spelt</t>
  </si>
  <si>
    <t>sugarcane</t>
  </si>
  <si>
    <t>sunflower seeds</t>
  </si>
  <si>
    <t>sweet potatoes</t>
  </si>
  <si>
    <t>teff</t>
  </si>
  <si>
    <t>triticale</t>
  </si>
  <si>
    <t>Wild Rice</t>
  </si>
  <si>
    <t>yams</t>
  </si>
  <si>
    <t>Pumpkin</t>
  </si>
  <si>
    <t>Pumplkin seed</t>
  </si>
  <si>
    <t>Winged bean seeds</t>
  </si>
  <si>
    <t>winged bean pods</t>
  </si>
  <si>
    <t>winged bean tuber</t>
  </si>
  <si>
    <t>forage / hectare</t>
  </si>
  <si>
    <t>turnips</t>
  </si>
  <si>
    <t>Feed - Crops</t>
  </si>
  <si>
    <t>Organisms</t>
  </si>
  <si>
    <t>Food From Crops</t>
  </si>
  <si>
    <t>Number of organisms</t>
  </si>
  <si>
    <t>1 us ton/acre -&gt; kg/hectare</t>
  </si>
  <si>
    <t>Source A</t>
  </si>
  <si>
    <t>Source B</t>
  </si>
  <si>
    <t>http://www.gardensofeden.org/04%20Crop%20Yield%20Verification.htm</t>
  </si>
  <si>
    <t>Avacados</t>
  </si>
  <si>
    <t>Source</t>
  </si>
  <si>
    <t>A</t>
  </si>
  <si>
    <t>lb / Acre</t>
  </si>
  <si>
    <t>Almonds (shelled)</t>
  </si>
  <si>
    <t>Pecans - In Shell</t>
  </si>
  <si>
    <t>Pistachios</t>
  </si>
  <si>
    <t>Walnuts</t>
  </si>
  <si>
    <t>Apricots</t>
  </si>
  <si>
    <t>Cherry (sweet)</t>
  </si>
  <si>
    <t>Dates</t>
  </si>
  <si>
    <t>Figs</t>
  </si>
  <si>
    <t>Kiwi Fruit</t>
  </si>
  <si>
    <t>Nectarines</t>
  </si>
  <si>
    <t>Olives</t>
  </si>
  <si>
    <t>Peaches</t>
  </si>
  <si>
    <t>Pears</t>
  </si>
  <si>
    <t>Plums</t>
  </si>
  <si>
    <t>Spinach</t>
  </si>
  <si>
    <t>Carrot</t>
  </si>
  <si>
    <t>Onion</t>
  </si>
  <si>
    <t>Celery</t>
  </si>
  <si>
    <t>Tomato</t>
  </si>
  <si>
    <t>lettuce</t>
  </si>
  <si>
    <t>Caulflower</t>
  </si>
  <si>
    <t>Pepper, Bell</t>
  </si>
  <si>
    <t>Pepper, Black</t>
  </si>
  <si>
    <t>Squash, Summer</t>
  </si>
  <si>
    <t>Beet</t>
  </si>
  <si>
    <t>Cantaloupe</t>
  </si>
  <si>
    <t>Asparagus</t>
  </si>
  <si>
    <t>Cucumber</t>
  </si>
  <si>
    <t>Radish</t>
  </si>
  <si>
    <t>Watermellon</t>
  </si>
  <si>
    <t>Bean, Lima</t>
  </si>
  <si>
    <t>Bean, snap</t>
  </si>
  <si>
    <t>Beans, greeen</t>
  </si>
  <si>
    <t>Bean, dry</t>
  </si>
  <si>
    <t>Source C</t>
  </si>
  <si>
    <t>Chufa (tigernut)</t>
  </si>
  <si>
    <t>Grow Time</t>
  </si>
  <si>
    <t>days</t>
  </si>
  <si>
    <t>Source D</t>
  </si>
  <si>
    <t>https://www.gardenguides.com/134169-growing-times-vegetables.html</t>
  </si>
  <si>
    <t>Perennial</t>
  </si>
  <si>
    <t>Oranges</t>
  </si>
  <si>
    <t>Lemon</t>
  </si>
  <si>
    <t>Lime</t>
  </si>
  <si>
    <t>kg/year</t>
  </si>
  <si>
    <t>United States</t>
  </si>
  <si>
    <t>https://ourworldindata.org/diet-compositions</t>
  </si>
  <si>
    <t>kCal/kg</t>
  </si>
  <si>
    <t>Harvests</t>
  </si>
  <si>
    <t>Kg Food</t>
  </si>
  <si>
    <t>Kg Forage</t>
  </si>
  <si>
    <t>% forage</t>
  </si>
  <si>
    <t>Total Forage Source</t>
  </si>
  <si>
    <t>food</t>
  </si>
  <si>
    <t>forage</t>
  </si>
  <si>
    <t>Cal/day/person</t>
  </si>
  <si>
    <t>Grown</t>
  </si>
  <si>
    <t>Other Vegetables</t>
  </si>
  <si>
    <t>Class</t>
  </si>
  <si>
    <t>kcal/day</t>
  </si>
  <si>
    <t>Non-Food Crops</t>
  </si>
  <si>
    <t>Diet Design</t>
  </si>
  <si>
    <t>Other</t>
  </si>
  <si>
    <t>Sugar</t>
  </si>
  <si>
    <t>Japan</t>
  </si>
  <si>
    <t>Iceland</t>
  </si>
  <si>
    <t>Life Expectency</t>
  </si>
  <si>
    <t>Canada</t>
  </si>
  <si>
    <t>Russia</t>
  </si>
  <si>
    <t>China</t>
  </si>
  <si>
    <t>India</t>
  </si>
  <si>
    <t>Chad</t>
  </si>
  <si>
    <t>Diet Data:</t>
  </si>
  <si>
    <t>Life Expectency Data:</t>
  </si>
  <si>
    <t>https://www.infoplease.com/world/health-and-social-statistics/life-expectancy-countries-0</t>
  </si>
  <si>
    <t>Based of Year 2013Data from</t>
  </si>
  <si>
    <t>TCD</t>
  </si>
  <si>
    <t>Code</t>
  </si>
  <si>
    <t>CAN</t>
  </si>
  <si>
    <t>ISL</t>
  </si>
  <si>
    <t>IND</t>
  </si>
  <si>
    <t>Ireland</t>
  </si>
  <si>
    <t>IRL</t>
  </si>
  <si>
    <t>Saudi Arabia</t>
  </si>
  <si>
    <t>JPN</t>
  </si>
  <si>
    <t>CHN</t>
  </si>
  <si>
    <t>RUS</t>
  </si>
  <si>
    <t>SAU</t>
  </si>
  <si>
    <t>USA</t>
  </si>
  <si>
    <t>kcal (total)</t>
  </si>
  <si>
    <t>Australia</t>
  </si>
  <si>
    <t>AUS</t>
  </si>
  <si>
    <t>United Kingdom</t>
  </si>
  <si>
    <t>GBR</t>
  </si>
  <si>
    <t>South Korea</t>
  </si>
  <si>
    <t>KOR</t>
  </si>
  <si>
    <t>kilocalories per person per day</t>
  </si>
  <si>
    <t>Oils &amp; Fats</t>
  </si>
  <si>
    <t>Meat</t>
  </si>
  <si>
    <t>Dairy &amp; Eggs</t>
  </si>
  <si>
    <t>Fruits &amp; Vegetables</t>
  </si>
  <si>
    <t>Starchy Roots</t>
  </si>
  <si>
    <t>Pulses</t>
  </si>
  <si>
    <t>Cereals &amp; Grains</t>
  </si>
  <si>
    <t>Alcoholic Beverages</t>
  </si>
  <si>
    <t>Type</t>
  </si>
  <si>
    <t>Oil &amp; Fats</t>
  </si>
  <si>
    <t>Starchy Root</t>
  </si>
  <si>
    <t>Alcholic Beverages</t>
  </si>
  <si>
    <t>https://nutritionstudies.org/what-are-pulses-and-why-are-they-important/</t>
  </si>
  <si>
    <t>kcal/100g</t>
  </si>
  <si>
    <t>https://www.fatsecret.com/calories-nutrition/generic/sugar?portionid=55855&amp;portionamount=100.000</t>
  </si>
  <si>
    <t>https://www.fatsecret.com/calories-nutrition/generic/rice-white-cooked-regular?portionid=53181&amp;portionamount=100.000</t>
  </si>
  <si>
    <t>https://www.fatsecret.com/calories-nutrition/usda/potatoes-(flesh-without-skin-without-salt-boiled)?portionid=59236&amp;portionamount=100.000</t>
  </si>
  <si>
    <t>https://www.fatsecret.com/calories-nutrition/usda/green-peas?portionid=59195&amp;portionamount=100.000</t>
  </si>
  <si>
    <t>https://www.fatsecret.com/calories-nutrition/usda/red-table-wine?portionid=60471&amp;portionamount=100.000</t>
  </si>
  <si>
    <t>Fish</t>
  </si>
  <si>
    <t>Modeled as a generic organism that east primarly crickets</t>
  </si>
  <si>
    <t>kg / ea</t>
  </si>
  <si>
    <t>kg / capita</t>
  </si>
  <si>
    <t>Protein - Vegetable</t>
  </si>
  <si>
    <t>lux</t>
  </si>
  <si>
    <t>https://en.wikipedia.org/wiki/Daylight</t>
  </si>
  <si>
    <t>https://en.wikipedia.org/wiki/Moonlight</t>
  </si>
  <si>
    <t>https://www1.eere.energy.gov/buildings/publications/pdfs/ssl/led_energy_efficiency.pdf</t>
  </si>
  <si>
    <t>lumen/W</t>
  </si>
  <si>
    <t>MW</t>
  </si>
  <si>
    <t>Total Mass</t>
  </si>
  <si>
    <t>Fusion Reactor</t>
  </si>
  <si>
    <t>(Similar to propulsion System)</t>
  </si>
  <si>
    <t>Tritium Production</t>
  </si>
  <si>
    <t>Tritium Production/yr</t>
  </si>
  <si>
    <t>Cosmic Ray interactions with water in insulation</t>
  </si>
  <si>
    <t>Insulation Surface area</t>
  </si>
  <si>
    <t>He3 Production</t>
  </si>
  <si>
    <t>H2 production</t>
  </si>
  <si>
    <t>kg/yr</t>
  </si>
  <si>
    <t>Fuel Collected / yr</t>
  </si>
  <si>
    <t>https://ntrs.nasa.gov/archive/nasa/casi.ntrs.nasa.gov/19680012956.pdf</t>
  </si>
  <si>
    <t>Insulation loss/yr</t>
  </si>
  <si>
    <t>Gallery Rate</t>
  </si>
  <si>
    <t>Diameter</t>
  </si>
  <si>
    <t>1g Radius</t>
  </si>
  <si>
    <t>dy Standard</t>
  </si>
  <si>
    <t>(1 meter utility, 1-2 meter soil, 3-4 meter headspace)</t>
  </si>
  <si>
    <t>Dueterium Refining</t>
  </si>
  <si>
    <t>USD/kg</t>
  </si>
  <si>
    <t>Steel</t>
  </si>
  <si>
    <t>Lithium (pure)</t>
  </si>
  <si>
    <t>Lithium (li2co3)</t>
  </si>
  <si>
    <t>Flywheel Mass</t>
  </si>
  <si>
    <t>Flywheel Max Radius</t>
  </si>
  <si>
    <t>Moment of Inertia</t>
  </si>
  <si>
    <t>Angular Momentum</t>
  </si>
  <si>
    <t>Flywheel Inner Radius</t>
  </si>
  <si>
    <t>Flywheel Moment of Inertia</t>
  </si>
  <si>
    <t>Flywheel Thickness</t>
  </si>
  <si>
    <t>Flywheel Angular Speed</t>
  </si>
  <si>
    <t>Air Density</t>
  </si>
  <si>
    <t>Sphere + Flywheel</t>
  </si>
  <si>
    <t>Flywheel Density</t>
  </si>
  <si>
    <t>Length of a Nimtz Carrier</t>
  </si>
  <si>
    <t>in</t>
  </si>
  <si>
    <t>Length of Football Field</t>
  </si>
  <si>
    <t>2d Slice Area</t>
  </si>
  <si>
    <t>Floor Count</t>
  </si>
  <si>
    <t>Vertical Usage</t>
  </si>
  <si>
    <t>Spare Parts Factor</t>
  </si>
  <si>
    <t>Cargo Storage</t>
  </si>
  <si>
    <t>Usage</t>
  </si>
  <si>
    <t>Park Area</t>
  </si>
  <si>
    <t>Settlement Area</t>
  </si>
  <si>
    <t>Agriculture</t>
  </si>
  <si>
    <t>Single</t>
  </si>
  <si>
    <t>Family</t>
  </si>
  <si>
    <t>Medical</t>
  </si>
  <si>
    <t>Human Services</t>
  </si>
  <si>
    <t>Manufacture</t>
  </si>
  <si>
    <t>Service Industry</t>
  </si>
  <si>
    <t>Craftsmen - Food</t>
  </si>
  <si>
    <t>Vendor</t>
  </si>
  <si>
    <t>Craftsmen - Art</t>
  </si>
  <si>
    <t>Craftsman - Misc</t>
  </si>
  <si>
    <t>Law Enforcement</t>
  </si>
  <si>
    <t>Per 100000</t>
  </si>
  <si>
    <t>Labor Category</t>
  </si>
  <si>
    <t>Crew</t>
  </si>
  <si>
    <t>Retired</t>
  </si>
  <si>
    <t>Working</t>
  </si>
  <si>
    <t>Command</t>
  </si>
  <si>
    <t>Education</t>
  </si>
  <si>
    <t>Maternity</t>
  </si>
  <si>
    <t>Non-Working</t>
  </si>
  <si>
    <t>Assume 1 teacher per 12 children, starting at age 4</t>
  </si>
  <si>
    <t>Inn/Taverns/Restaurants</t>
  </si>
  <si>
    <t>Ship Systems</t>
  </si>
  <si>
    <t>Robotics + Agriculture</t>
  </si>
  <si>
    <t>Human Services Categories</t>
  </si>
  <si>
    <t>Assuming 3 doctors and 3 nurses on rotation 24/7, with 2 trainees</t>
  </si>
  <si>
    <t>Student</t>
  </si>
  <si>
    <t>Assuming 40% of children will go on to 4 years of advanced training</t>
  </si>
  <si>
    <t>Trainee / Generalist</t>
  </si>
  <si>
    <t>Plant Operator</t>
  </si>
  <si>
    <t>Technicians / Electricians</t>
  </si>
  <si>
    <t>Repair + Fabrication</t>
  </si>
  <si>
    <t>Assuming this count also includes individuals engaged in domestic manufactur</t>
  </si>
  <si>
    <t>Weighted Allocation</t>
  </si>
  <si>
    <t>Figures for trades estimated from medieval towns/cities</t>
  </si>
  <si>
    <t>Government</t>
  </si>
  <si>
    <t>Picked a plausible number from: https://www.governing.com/gov-data/public-workforce-salaries/states-most-government-workers-public-employees-by-job-type.html</t>
  </si>
  <si>
    <t>Officers</t>
  </si>
  <si>
    <t>Scientists</t>
  </si>
  <si>
    <t>Plant Safety</t>
  </si>
  <si>
    <t>FOG</t>
  </si>
  <si>
    <t>Science + Development</t>
  </si>
  <si>
    <t>Mortality</t>
  </si>
  <si>
    <t>Replacement</t>
  </si>
  <si>
    <t>Spare Parts Estimate</t>
  </si>
  <si>
    <t>Births per F</t>
  </si>
  <si>
    <t>Maintenance Schedule Robotics</t>
  </si>
  <si>
    <t>Mobile Units</t>
  </si>
  <si>
    <t>Manufacturing Units</t>
  </si>
  <si>
    <t>Design Life</t>
  </si>
  <si>
    <t>Recycle</t>
  </si>
  <si>
    <t>Maintenance</t>
  </si>
  <si>
    <t>Tractors</t>
  </si>
  <si>
    <t>http://www.waterandenergyprogress.org/library/05006.pdf</t>
  </si>
  <si>
    <t>Shred Stalks</t>
  </si>
  <si>
    <t>Plow 8 inches deep</t>
  </si>
  <si>
    <t>Field Cultivate</t>
  </si>
  <si>
    <t>Harrow</t>
  </si>
  <si>
    <t>Cultivate Row Crops</t>
  </si>
  <si>
    <t>Plant Row Crops</t>
  </si>
  <si>
    <t>No-till planter</t>
  </si>
  <si>
    <t>Grain Drill</t>
  </si>
  <si>
    <t>Combine - Grain</t>
  </si>
  <si>
    <t>Combine - corn/sorghum</t>
  </si>
  <si>
    <t>Corn Picker</t>
  </si>
  <si>
    <t>Baler</t>
  </si>
  <si>
    <t>Rotary Mower</t>
  </si>
  <si>
    <t>Forage Harvester - green</t>
  </si>
  <si>
    <t>Forage Harvester - hay</t>
  </si>
  <si>
    <t>Forage Harvester - corm</t>
  </si>
  <si>
    <t>Forage blower - green</t>
  </si>
  <si>
    <t>Forage blower - hay</t>
  </si>
  <si>
    <t>Forage blower - corn</t>
  </si>
  <si>
    <t>Grain Drying</t>
  </si>
  <si>
    <t>Estimate Number of Tractors needed</t>
  </si>
  <si>
    <t>Task</t>
  </si>
  <si>
    <t>PTO hp/hr/acre</t>
  </si>
  <si>
    <t>Hectares</t>
  </si>
  <si>
    <t>Tractor Hours</t>
  </si>
  <si>
    <t>acre</t>
  </si>
  <si>
    <t>mile^2</t>
  </si>
  <si>
    <t>ft^2</t>
  </si>
  <si>
    <t>Constants</t>
  </si>
  <si>
    <t>Human Population (peak)</t>
  </si>
  <si>
    <t>PTO HP-hour/acre</t>
  </si>
  <si>
    <t>PTO HP-hour</t>
  </si>
  <si>
    <t>Food Processing Units</t>
  </si>
  <si>
    <t>Work Hours</t>
  </si>
  <si>
    <t>Utilization</t>
  </si>
  <si>
    <t>Labor Hours - Repair</t>
  </si>
  <si>
    <t>Labor Hours - Operation</t>
  </si>
  <si>
    <t>Operation Unit (Hr)</t>
  </si>
  <si>
    <t>Operation All (hr)</t>
  </si>
  <si>
    <t>Repair Unit (hr)</t>
  </si>
  <si>
    <t>Repair all (hr)</t>
  </si>
  <si>
    <t>Man Hrs</t>
  </si>
  <si>
    <t>Robotic Operators</t>
  </si>
  <si>
    <t>Recreation Area:</t>
  </si>
  <si>
    <t>Land Usage</t>
  </si>
  <si>
    <t>Budget</t>
  </si>
  <si>
    <t>Implemented</t>
  </si>
  <si>
    <t>Cargo Area</t>
  </si>
  <si>
    <t>Name</t>
  </si>
  <si>
    <t>Settlement</t>
  </si>
  <si>
    <t>Park</t>
  </si>
  <si>
    <t>Cargo</t>
  </si>
  <si>
    <t>HOUSING</t>
  </si>
  <si>
    <t>Housing - Single</t>
  </si>
  <si>
    <t>Housing - Family</t>
  </si>
  <si>
    <t>Budget %</t>
  </si>
  <si>
    <t>Acres/Capita</t>
  </si>
  <si>
    <t>Industry</t>
  </si>
  <si>
    <t>Zones</t>
  </si>
  <si>
    <t>Industrial</t>
  </si>
  <si>
    <t>Grade Level Size</t>
  </si>
  <si>
    <t>Artist/Musician</t>
  </si>
  <si>
    <t>https://www.arts.gov/sites/default/files/ArtistsInWorkforce.pdf</t>
  </si>
  <si>
    <t>Domes</t>
  </si>
  <si>
    <t>Usage:</t>
  </si>
  <si>
    <t>Food Storage</t>
  </si>
  <si>
    <t>Store the equivilent of 7 years of food</t>
  </si>
  <si>
    <t>Volume / Dome</t>
  </si>
  <si>
    <t>Horsepower to KW</t>
  </si>
  <si>
    <t>KW to Horsepower</t>
  </si>
  <si>
    <t>Cultivation energy / hectare</t>
  </si>
  <si>
    <t>Yearly Power Consuption</t>
  </si>
  <si>
    <t>Days in year</t>
  </si>
  <si>
    <t>Niave</t>
  </si>
  <si>
    <t>Exact</t>
  </si>
  <si>
    <t>5 mw data center</t>
  </si>
  <si>
    <t>Image Scale (carrier)</t>
  </si>
  <si>
    <t>Image Scale (field)</t>
  </si>
  <si>
    <t>Life Exp</t>
  </si>
  <si>
    <t>Uniform</t>
  </si>
  <si>
    <t>Widest Deck</t>
  </si>
  <si>
    <t>Widest</t>
  </si>
  <si>
    <t>Hab Levels</t>
  </si>
  <si>
    <t>Note: Some decks do not have area that adds up to 100% to represent thru-deck features</t>
  </si>
  <si>
    <t>Machinery</t>
  </si>
  <si>
    <t>Total Levels</t>
  </si>
  <si>
    <t>Dome Radius est</t>
  </si>
  <si>
    <t>Potential Mate Rate</t>
  </si>
  <si>
    <t>Age</t>
  </si>
  <si>
    <t>male</t>
  </si>
  <si>
    <t>femal</t>
  </si>
  <si>
    <t>female</t>
  </si>
  <si>
    <t>Fertility Rate</t>
  </si>
  <si>
    <t>Low</t>
  </si>
  <si>
    <t>High</t>
  </si>
  <si>
    <t>Max</t>
  </si>
  <si>
    <t>avg</t>
  </si>
  <si>
    <t>Marriage</t>
  </si>
  <si>
    <t>Housing</t>
  </si>
  <si>
    <t>http://www.no1ledlight.com/lux-standard-for-indoor-lighting/</t>
  </si>
  <si>
    <t>https://homeguides.sfgate.com/problem-using-grow-lights-greenhouses-51087.html</t>
  </si>
  <si>
    <t>Illumination Hours</t>
  </si>
  <si>
    <t>kwh /day</t>
  </si>
  <si>
    <t>Peak Wattage</t>
  </si>
  <si>
    <t>watt</t>
  </si>
  <si>
    <t>Lighting</t>
  </si>
  <si>
    <t>Peak Power Load</t>
  </si>
  <si>
    <t>Daily Power Consumption</t>
  </si>
  <si>
    <t>kwh/day -&gt; watt</t>
  </si>
  <si>
    <t>khw/day</t>
  </si>
  <si>
    <t>kwH/day</t>
  </si>
  <si>
    <t>kwh/day</t>
  </si>
  <si>
    <t>Ship Calendar</t>
  </si>
  <si>
    <t>Some fuel stores are offset by tritium and he3 production in the cosmic ray shield</t>
  </si>
  <si>
    <t>System Mass</t>
  </si>
  <si>
    <t>Hemp</t>
  </si>
  <si>
    <t>(Assume a magical 25% production increase from technology)</t>
  </si>
  <si>
    <t>Hectare</t>
  </si>
  <si>
    <t>(Sum of proportions)</t>
  </si>
  <si>
    <t>Male</t>
  </si>
  <si>
    <t>Female</t>
  </si>
  <si>
    <t>Marriages</t>
  </si>
  <si>
    <t>Seed Marriages</t>
  </si>
  <si>
    <t>Singles</t>
  </si>
  <si>
    <t>Marriage Rate</t>
  </si>
  <si>
    <t>Divorce Rate</t>
  </si>
  <si>
    <t>weddings</t>
  </si>
  <si>
    <t>age out</t>
  </si>
  <si>
    <t>divorce</t>
  </si>
  <si>
    <t>Seed</t>
  </si>
  <si>
    <t>single</t>
  </si>
  <si>
    <t>housing</t>
  </si>
  <si>
    <t>family</t>
  </si>
  <si>
    <t>Illumination (Peak)</t>
  </si>
  <si>
    <t>Illumination (Night)</t>
  </si>
  <si>
    <t>Manned</t>
  </si>
  <si>
    <t>Unmanned</t>
  </si>
  <si>
    <t>Outdoor</t>
  </si>
  <si>
    <t>Bringing along a self-replicating robot factory to mine remote system</t>
  </si>
  <si>
    <t>Ideal</t>
  </si>
  <si>
    <t>Magic Factor</t>
  </si>
  <si>
    <t>Labor Hours - Finished Goods/Capita</t>
  </si>
  <si>
    <t>Industrial Finished Goods</t>
  </si>
  <si>
    <t>Start Population</t>
  </si>
  <si>
    <t>PEAK</t>
  </si>
  <si>
    <t>START</t>
  </si>
  <si>
    <t>Select Profile:</t>
  </si>
  <si>
    <t>Death/100000</t>
  </si>
  <si>
    <t>Marriage %</t>
  </si>
  <si>
    <t>M:F Ratio</t>
  </si>
  <si>
    <t>F:M Ratio</t>
  </si>
  <si>
    <t>Trip Growth</t>
  </si>
  <si>
    <t>21-27</t>
  </si>
  <si>
    <t>28-34</t>
  </si>
  <si>
    <t>35-41</t>
  </si>
  <si>
    <t>42-48</t>
  </si>
  <si>
    <t>49-55</t>
  </si>
  <si>
    <t>56-62</t>
  </si>
  <si>
    <t>Elderly</t>
  </si>
  <si>
    <t>Workforce</t>
  </si>
  <si>
    <t>General</t>
  </si>
  <si>
    <t>Mission Arrival</t>
  </si>
  <si>
    <t>Return</t>
  </si>
  <si>
    <t>Reproduction Model</t>
  </si>
  <si>
    <t>Target</t>
  </si>
  <si>
    <t>balanced</t>
  </si>
  <si>
    <t>Balanced Population Level based on developed technological cultures</t>
  </si>
  <si>
    <t>island</t>
  </si>
  <si>
    <t>Based on Polynsesian colonization. Primarily unmarried people in their 20s</t>
  </si>
  <si>
    <t>growth</t>
  </si>
  <si>
    <t>Minimizes starting population - Young crew, predominately female</t>
  </si>
  <si>
    <t>Travel Time</t>
  </si>
  <si>
    <t>Population Profile</t>
  </si>
  <si>
    <t>Time in System</t>
  </si>
  <si>
    <t>Return Trip</t>
  </si>
  <si>
    <t>Total Mission Length</t>
  </si>
  <si>
    <t>(Earth)</t>
  </si>
  <si>
    <t>Growth Knee</t>
  </si>
  <si>
    <t>Knee</t>
  </si>
  <si>
    <t>professional</t>
  </si>
  <si>
    <t>Crew composed of existing professionals. Middle aged crew, most married, some children, skews male</t>
  </si>
  <si>
    <t>Mission End</t>
  </si>
  <si>
    <t>Hallway</t>
  </si>
  <si>
    <t>Assume at least a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</si>
</sst>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4" formatCode="_(&quot;$&quot;* #,##0.00_);_(&quot;$&quot;* \(#,##0.00\);_(&quot;$&quot;* &quot;-&quot;??_);_(@_)"/>
    <numFmt numFmtId="164" formatCode="0.0"/>
    <numFmt numFmtId="165" formatCode="0.0000000"/>
    <numFmt numFmtId="166" formatCode="#,##0.0"/>
    <numFmt numFmtId="167" formatCode="0.00000E+00"/>
    <numFmt numFmtId="168" formatCode="0.0%"/>
    <numFmt numFmtId="169" formatCode="0.00000"/>
    <numFmt numFmtId="170" formatCode="0.0000"/>
    <numFmt numFmtId="171" formatCode="0.000"/>
    <numFmt numFmtId="172" formatCode="0.000E+00"/>
    <numFmt numFmtId="173" formatCode="0.0000000000"/>
    <numFmt numFmtId="174" formatCode="0.0000%"/>
  </numFmts>
  <fonts count="16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rgb="FF333333"/>
      <name val="Times New Roman"/>
      <family val="1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0000"/>
      <name val="Arial"/>
      <family val="2"/>
    </font>
    <font>
      <sz val="14"/>
      <color rgb="FF222222"/>
      <name val="Arial"/>
      <family val="2"/>
    </font>
    <font>
      <sz val="10"/>
      <color rgb="FF000000"/>
      <name val="Arial Unicode MS"/>
      <family val="2"/>
    </font>
    <font>
      <sz val="14"/>
      <color rgb="FF000099"/>
      <name val="-webkit-standard"/>
    </font>
    <font>
      <sz val="13"/>
      <color rgb="FF333333"/>
      <name val="Arial"/>
      <family val="2"/>
    </font>
    <font>
      <sz val="11"/>
      <color rgb="FF4D4D4D"/>
      <name val="Arial"/>
      <family val="2"/>
    </font>
    <font>
      <b/>
      <sz val="12"/>
      <color theme="1"/>
      <name val="Calibri"/>
      <family val="2"/>
      <scheme val="minor"/>
    </font>
    <font>
      <sz val="13"/>
      <color rgb="FF000000"/>
      <name val="Georgia"/>
      <family val="1"/>
    </font>
    <font>
      <sz val="13"/>
      <color rgb="FF666666"/>
      <name val="Arial"/>
      <family val="2"/>
    </font>
    <font>
      <i/>
      <sz val="12"/>
      <color theme="1"/>
      <name val="Calibri"/>
      <family val="2"/>
      <scheme val="minor"/>
    </font>
    <font>
      <i/>
      <u/>
      <sz val="12"/>
      <color theme="1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3F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16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1" fontId="0" fillId="0" borderId="0" xfId="0" applyNumberFormat="1"/>
    <xf numFmtId="2" fontId="0" fillId="0" borderId="0" xfId="0" applyNumberFormat="1"/>
    <xf numFmtId="164" fontId="0" fillId="0" borderId="0" xfId="0" applyNumberFormat="1"/>
    <xf numFmtId="1" fontId="0" fillId="2" borderId="0" xfId="0" applyNumberFormat="1" applyFill="1"/>
    <xf numFmtId="0" fontId="0" fillId="0" borderId="0" xfId="0" applyFill="1"/>
    <xf numFmtId="0" fontId="0" fillId="4" borderId="0" xfId="0" applyFill="1"/>
    <xf numFmtId="0" fontId="0" fillId="4" borderId="0" xfId="0" applyFill="1" applyAlignment="1">
      <alignment horizontal="center"/>
    </xf>
    <xf numFmtId="1" fontId="0" fillId="4" borderId="0" xfId="0" applyNumberFormat="1" applyFill="1" applyAlignment="1">
      <alignment horizontal="center"/>
    </xf>
    <xf numFmtId="165" fontId="0" fillId="0" borderId="0" xfId="0" applyNumberFormat="1"/>
    <xf numFmtId="2" fontId="0" fillId="0" borderId="0" xfId="0" applyNumberFormat="1" applyFill="1"/>
    <xf numFmtId="164" fontId="0" fillId="5" borderId="0" xfId="0" applyNumberFormat="1" applyFill="1"/>
    <xf numFmtId="164" fontId="0" fillId="6" borderId="0" xfId="0" applyNumberFormat="1" applyFill="1"/>
    <xf numFmtId="164" fontId="0" fillId="0" borderId="0" xfId="0" applyNumberFormat="1" applyFill="1"/>
    <xf numFmtId="0" fontId="0" fillId="3" borderId="0" xfId="0" applyFill="1"/>
    <xf numFmtId="164" fontId="0" fillId="3" borderId="0" xfId="0" applyNumberFormat="1" applyFill="1"/>
    <xf numFmtId="164" fontId="0" fillId="7" borderId="0" xfId="0" applyNumberFormat="1" applyFill="1"/>
    <xf numFmtId="0" fontId="0" fillId="0" borderId="0" xfId="0" applyAlignment="1"/>
    <xf numFmtId="166" fontId="2" fillId="0" borderId="0" xfId="0" applyNumberFormat="1" applyFont="1"/>
    <xf numFmtId="167" fontId="0" fillId="0" borderId="0" xfId="0" applyNumberFormat="1"/>
    <xf numFmtId="0" fontId="0" fillId="0" borderId="0" xfId="0" applyNumberFormat="1"/>
    <xf numFmtId="0" fontId="3" fillId="0" borderId="0" xfId="2"/>
    <xf numFmtId="168" fontId="0" fillId="0" borderId="0" xfId="1" applyNumberFormat="1" applyFont="1"/>
    <xf numFmtId="0" fontId="0" fillId="0" borderId="0" xfId="0" applyAlignment="1">
      <alignment horizontal="center"/>
    </xf>
    <xf numFmtId="0" fontId="0" fillId="6" borderId="1" xfId="0" applyFill="1" applyBorder="1"/>
    <xf numFmtId="0" fontId="0" fillId="6" borderId="2" xfId="0" applyFill="1" applyBorder="1"/>
    <xf numFmtId="0" fontId="0" fillId="6" borderId="3" xfId="0" applyFill="1" applyBorder="1"/>
    <xf numFmtId="0" fontId="4" fillId="6" borderId="4" xfId="0" applyFont="1" applyFill="1" applyBorder="1"/>
    <xf numFmtId="0" fontId="4" fillId="6" borderId="5" xfId="0" applyFont="1" applyFill="1" applyBorder="1"/>
    <xf numFmtId="0" fontId="4" fillId="6" borderId="6" xfId="0" applyFont="1" applyFill="1" applyBorder="1"/>
    <xf numFmtId="0" fontId="0" fillId="8" borderId="1" xfId="0" applyFill="1" applyBorder="1"/>
    <xf numFmtId="0" fontId="0" fillId="8" borderId="2" xfId="0" applyFill="1" applyBorder="1"/>
    <xf numFmtId="0" fontId="0" fillId="8" borderId="3" xfId="0" applyFill="1" applyBorder="1"/>
    <xf numFmtId="0" fontId="4" fillId="8" borderId="4" xfId="0" applyFont="1" applyFill="1" applyBorder="1"/>
    <xf numFmtId="0" fontId="4" fillId="8" borderId="5" xfId="0" applyFont="1" applyFill="1" applyBorder="1"/>
    <xf numFmtId="0" fontId="4" fillId="8" borderId="6" xfId="0" applyFont="1" applyFill="1" applyBorder="1"/>
    <xf numFmtId="0" fontId="0" fillId="5" borderId="1" xfId="0" applyFill="1" applyBorder="1"/>
    <xf numFmtId="0" fontId="0" fillId="5" borderId="2" xfId="0" applyFill="1" applyBorder="1"/>
    <xf numFmtId="0" fontId="0" fillId="5" borderId="3" xfId="0" applyFill="1" applyBorder="1"/>
    <xf numFmtId="0" fontId="0" fillId="5" borderId="4" xfId="0" applyFill="1" applyBorder="1"/>
    <xf numFmtId="0" fontId="0" fillId="5" borderId="5" xfId="0" applyFill="1" applyBorder="1"/>
    <xf numFmtId="0" fontId="0" fillId="5" borderId="6" xfId="0" applyFill="1" applyBorder="1"/>
    <xf numFmtId="9" fontId="0" fillId="0" borderId="0" xfId="1" applyFont="1"/>
    <xf numFmtId="0" fontId="5" fillId="0" borderId="0" xfId="0" applyFon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1" fontId="0" fillId="3" borderId="0" xfId="0" applyNumberFormat="1" applyFill="1"/>
    <xf numFmtId="0" fontId="0" fillId="0" borderId="0" xfId="0" applyFont="1"/>
    <xf numFmtId="11" fontId="0" fillId="9" borderId="0" xfId="0" applyNumberFormat="1" applyFill="1"/>
    <xf numFmtId="0" fontId="0" fillId="10" borderId="0" xfId="0" applyFill="1"/>
    <xf numFmtId="11" fontId="0" fillId="10" borderId="0" xfId="0" applyNumberFormat="1" applyFill="1"/>
    <xf numFmtId="11" fontId="0" fillId="6" borderId="0" xfId="0" applyNumberFormat="1" applyFill="1"/>
    <xf numFmtId="11" fontId="4" fillId="0" borderId="0" xfId="0" applyNumberFormat="1" applyFont="1"/>
    <xf numFmtId="164" fontId="0" fillId="9" borderId="0" xfId="0" applyNumberFormat="1" applyFill="1"/>
    <xf numFmtId="11" fontId="0" fillId="0" borderId="0" xfId="0" applyNumberFormat="1" applyFill="1"/>
    <xf numFmtId="1" fontId="0" fillId="0" borderId="0" xfId="0" applyNumberFormat="1"/>
    <xf numFmtId="0" fontId="0" fillId="9" borderId="0" xfId="0" applyFill="1"/>
    <xf numFmtId="2" fontId="0" fillId="0" borderId="0" xfId="0" applyNumberFormat="1" applyAlignment="1">
      <alignment horizontal="center"/>
    </xf>
    <xf numFmtId="0" fontId="6" fillId="0" borderId="0" xfId="0" applyFont="1"/>
    <xf numFmtId="2" fontId="0" fillId="7" borderId="0" xfId="0" applyNumberFormat="1" applyFill="1"/>
    <xf numFmtId="172" fontId="0" fillId="11" borderId="0" xfId="0" applyNumberFormat="1" applyFill="1"/>
    <xf numFmtId="172" fontId="0" fillId="9" borderId="0" xfId="0" applyNumberFormat="1" applyFill="1"/>
    <xf numFmtId="0" fontId="7" fillId="0" borderId="0" xfId="0" applyFont="1"/>
    <xf numFmtId="0" fontId="0" fillId="12" borderId="0" xfId="0" applyFill="1"/>
    <xf numFmtId="3" fontId="0" fillId="0" borderId="0" xfId="0" applyNumberFormat="1"/>
    <xf numFmtId="1" fontId="0" fillId="0" borderId="0" xfId="0" applyNumberFormat="1" applyFill="1"/>
    <xf numFmtId="2" fontId="0" fillId="9" borderId="0" xfId="0" applyNumberFormat="1" applyFill="1"/>
    <xf numFmtId="11" fontId="0" fillId="0" borderId="0" xfId="1" applyNumberFormat="1" applyFont="1"/>
    <xf numFmtId="0" fontId="8" fillId="0" borderId="0" xfId="0" applyFont="1"/>
    <xf numFmtId="3" fontId="8" fillId="0" borderId="0" xfId="0" applyNumberFormat="1" applyFont="1"/>
    <xf numFmtId="2" fontId="0" fillId="0" borderId="0" xfId="1" applyNumberFormat="1" applyFont="1"/>
    <xf numFmtId="0" fontId="9" fillId="0" borderId="0" xfId="0" applyFont="1"/>
    <xf numFmtId="0" fontId="4" fillId="0" borderId="0" xfId="0" applyFont="1"/>
    <xf numFmtId="0" fontId="0" fillId="14" borderId="0" xfId="0" applyFill="1"/>
    <xf numFmtId="0" fontId="4" fillId="14" borderId="0" xfId="0" applyFont="1" applyFill="1"/>
    <xf numFmtId="0" fontId="0" fillId="13" borderId="0" xfId="0" applyFill="1"/>
    <xf numFmtId="0" fontId="0" fillId="15" borderId="0" xfId="0" applyFill="1"/>
    <xf numFmtId="0" fontId="4" fillId="15" borderId="0" xfId="0" applyFont="1" applyFill="1"/>
    <xf numFmtId="11" fontId="0" fillId="0" borderId="0" xfId="0" applyNumberFormat="1" applyAlignment="1"/>
    <xf numFmtId="173" fontId="0" fillId="0" borderId="0" xfId="0" applyNumberFormat="1"/>
    <xf numFmtId="0" fontId="10" fillId="0" borderId="0" xfId="0" applyFont="1"/>
    <xf numFmtId="44" fontId="0" fillId="0" borderId="0" xfId="3" applyFont="1"/>
    <xf numFmtId="0" fontId="0" fillId="0" borderId="0" xfId="0" applyAlignment="1">
      <alignment horizontal="center"/>
    </xf>
    <xf numFmtId="174" fontId="0" fillId="0" borderId="0" xfId="1" applyNumberFormat="1" applyFont="1"/>
    <xf numFmtId="0" fontId="0" fillId="0" borderId="0" xfId="0" applyAlignment="1">
      <alignment horizontal="center"/>
    </xf>
    <xf numFmtId="0" fontId="12" fillId="0" borderId="0" xfId="0" applyFont="1"/>
    <xf numFmtId="171" fontId="7" fillId="0" borderId="0" xfId="0" applyNumberFormat="1" applyFont="1"/>
    <xf numFmtId="2" fontId="7" fillId="0" borderId="0" xfId="0" applyNumberFormat="1" applyFont="1"/>
    <xf numFmtId="164" fontId="7" fillId="0" borderId="0" xfId="0" applyNumberFormat="1" applyFont="1"/>
    <xf numFmtId="11" fontId="7" fillId="0" borderId="0" xfId="0" applyNumberFormat="1" applyFont="1"/>
    <xf numFmtId="0" fontId="11" fillId="0" borderId="0" xfId="0" applyFont="1"/>
    <xf numFmtId="0" fontId="0" fillId="9" borderId="0" xfId="0" applyFont="1" applyFill="1"/>
    <xf numFmtId="0" fontId="0" fillId="8" borderId="0" xfId="0" applyFill="1" applyBorder="1"/>
    <xf numFmtId="0" fontId="0" fillId="8" borderId="4" xfId="0" applyFill="1" applyBorder="1"/>
    <xf numFmtId="0" fontId="0" fillId="8" borderId="5" xfId="0" applyFill="1" applyBorder="1"/>
    <xf numFmtId="11" fontId="0" fillId="8" borderId="0" xfId="0" applyNumberFormat="1" applyFill="1"/>
    <xf numFmtId="2" fontId="0" fillId="8" borderId="0" xfId="0" applyNumberFormat="1" applyFill="1"/>
    <xf numFmtId="164" fontId="0" fillId="8" borderId="0" xfId="0" applyNumberFormat="1" applyFill="1"/>
    <xf numFmtId="9" fontId="0" fillId="8" borderId="8" xfId="1" applyFont="1" applyFill="1" applyBorder="1"/>
    <xf numFmtId="3" fontId="0" fillId="0" borderId="0" xfId="0" applyNumberFormat="1" applyFont="1"/>
    <xf numFmtId="10" fontId="0" fillId="8" borderId="8" xfId="1" applyNumberFormat="1" applyFont="1" applyFill="1" applyBorder="1"/>
    <xf numFmtId="10" fontId="0" fillId="0" borderId="0" xfId="0" applyNumberFormat="1"/>
    <xf numFmtId="0" fontId="13" fillId="0" borderId="0" xfId="0" applyFont="1"/>
    <xf numFmtId="2" fontId="0" fillId="8" borderId="7" xfId="1" applyNumberFormat="1" applyFont="1" applyFill="1" applyBorder="1" applyAlignment="1">
      <alignment horizontal="center"/>
    </xf>
    <xf numFmtId="0" fontId="0" fillId="8" borderId="0" xfId="0" applyFont="1" applyFill="1"/>
    <xf numFmtId="9" fontId="0" fillId="8" borderId="0" xfId="1" applyFont="1" applyFill="1"/>
    <xf numFmtId="0" fontId="0" fillId="0" borderId="0" xfId="0" applyBorder="1"/>
    <xf numFmtId="2" fontId="0" fillId="10" borderId="0" xfId="0" applyNumberFormat="1" applyFill="1"/>
    <xf numFmtId="0" fontId="14" fillId="0" borderId="0" xfId="0" applyFont="1"/>
    <xf numFmtId="0" fontId="15" fillId="0" borderId="0" xfId="0" applyFont="1"/>
    <xf numFmtId="2" fontId="0" fillId="0" borderId="0" xfId="1" applyNumberFormat="1" applyFont="1" applyFill="1"/>
    <xf numFmtId="1" fontId="0" fillId="2" borderId="0" xfId="0" applyNumberFormat="1" applyFill="1" applyAlignment="1"/>
    <xf numFmtId="0" fontId="0" fillId="16" borderId="0" xfId="0" applyFill="1"/>
    <xf numFmtId="2" fontId="0" fillId="16" borderId="0" xfId="0" applyNumberFormat="1" applyFill="1"/>
    <xf numFmtId="164" fontId="0" fillId="16" borderId="0" xfId="0" applyNumberFormat="1" applyFill="1"/>
    <xf numFmtId="11" fontId="6" fillId="0" borderId="0" xfId="0" applyNumberFormat="1" applyFont="1"/>
    <xf numFmtId="0" fontId="0" fillId="0" borderId="1" xfId="0" applyBorder="1"/>
    <xf numFmtId="0" fontId="0" fillId="0" borderId="3" xfId="0" applyBorder="1"/>
    <xf numFmtId="0" fontId="0" fillId="0" borderId="9" xfId="0" applyBorder="1"/>
    <xf numFmtId="0" fontId="0" fillId="0" borderId="10" xfId="0" applyBorder="1"/>
    <xf numFmtId="1" fontId="0" fillId="0" borderId="9" xfId="0" applyNumberFormat="1" applyBorder="1"/>
    <xf numFmtId="0" fontId="0" fillId="17" borderId="0" xfId="0" applyFill="1"/>
    <xf numFmtId="0" fontId="0" fillId="7" borderId="1" xfId="0" applyFill="1" applyBorder="1"/>
    <xf numFmtId="2" fontId="0" fillId="7" borderId="2" xfId="0" applyNumberFormat="1" applyFill="1" applyBorder="1"/>
    <xf numFmtId="0" fontId="0" fillId="7" borderId="2" xfId="0" applyFill="1" applyBorder="1"/>
    <xf numFmtId="164" fontId="0" fillId="7" borderId="2" xfId="0" applyNumberFormat="1" applyFill="1" applyBorder="1"/>
    <xf numFmtId="0" fontId="0" fillId="7" borderId="3" xfId="0" applyFill="1" applyBorder="1"/>
    <xf numFmtId="0" fontId="0" fillId="7" borderId="9" xfId="0" applyFill="1" applyBorder="1"/>
    <xf numFmtId="2" fontId="0" fillId="7" borderId="0" xfId="0" applyNumberFormat="1" applyFill="1" applyBorder="1"/>
    <xf numFmtId="164" fontId="0" fillId="7" borderId="0" xfId="0" applyNumberFormat="1" applyFill="1" applyBorder="1"/>
    <xf numFmtId="1" fontId="0" fillId="7" borderId="0" xfId="0" applyNumberFormat="1" applyFill="1" applyBorder="1"/>
    <xf numFmtId="0" fontId="0" fillId="7" borderId="10" xfId="0" applyFill="1" applyBorder="1"/>
    <xf numFmtId="0" fontId="0" fillId="7" borderId="0" xfId="0" applyFill="1" applyBorder="1"/>
    <xf numFmtId="164" fontId="0" fillId="7" borderId="10" xfId="0" applyNumberFormat="1" applyFill="1" applyBorder="1"/>
    <xf numFmtId="0" fontId="0" fillId="7" borderId="4" xfId="0" applyFill="1" applyBorder="1"/>
    <xf numFmtId="0" fontId="0" fillId="7" borderId="5" xfId="0" applyFill="1" applyBorder="1"/>
    <xf numFmtId="0" fontId="0" fillId="7" borderId="6" xfId="0" applyFill="1" applyBorder="1"/>
    <xf numFmtId="0" fontId="0" fillId="0" borderId="0" xfId="0" applyAlignment="1">
      <alignment horizontal="center"/>
    </xf>
    <xf numFmtId="1" fontId="0" fillId="2" borderId="0" xfId="0" applyNumberFormat="1" applyFill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8" borderId="12" xfId="1" applyNumberFormat="1" applyFont="1" applyFill="1" applyBorder="1"/>
    <xf numFmtId="2" fontId="0" fillId="8" borderId="13" xfId="1" applyNumberFormat="1" applyFont="1" applyFill="1" applyBorder="1"/>
    <xf numFmtId="2" fontId="0" fillId="8" borderId="14" xfId="1" applyNumberFormat="1" applyFont="1" applyFill="1" applyBorder="1"/>
    <xf numFmtId="10" fontId="0" fillId="8" borderId="15" xfId="1" applyNumberFormat="1" applyFont="1" applyFill="1" applyBorder="1"/>
    <xf numFmtId="9" fontId="0" fillId="8" borderId="16" xfId="1" applyFont="1" applyFill="1" applyBorder="1"/>
    <xf numFmtId="9" fontId="0" fillId="8" borderId="17" xfId="1" applyFont="1" applyFill="1" applyBorder="1"/>
    <xf numFmtId="10" fontId="0" fillId="8" borderId="17" xfId="1" applyNumberFormat="1" applyFont="1" applyFill="1" applyBorder="1"/>
    <xf numFmtId="9" fontId="0" fillId="8" borderId="18" xfId="1" applyFont="1" applyFill="1" applyBorder="1"/>
    <xf numFmtId="9" fontId="0" fillId="8" borderId="19" xfId="1" applyFont="1" applyFill="1" applyBorder="1"/>
    <xf numFmtId="9" fontId="0" fillId="8" borderId="20" xfId="1" applyFont="1" applyFill="1" applyBorder="1"/>
    <xf numFmtId="9" fontId="0" fillId="8" borderId="21" xfId="1" applyFont="1" applyFill="1" applyBorder="1"/>
    <xf numFmtId="9" fontId="0" fillId="8" borderId="22" xfId="1" applyFont="1" applyFill="1" applyBorder="1"/>
    <xf numFmtId="10" fontId="0" fillId="8" borderId="22" xfId="1" applyNumberFormat="1" applyFont="1" applyFill="1" applyBorder="1"/>
    <xf numFmtId="9" fontId="0" fillId="8" borderId="23" xfId="1" applyFont="1" applyFill="1" applyBorder="1"/>
    <xf numFmtId="1" fontId="0" fillId="8" borderId="11" xfId="0" applyNumberFormat="1" applyFill="1" applyBorder="1" applyAlignment="1"/>
    <xf numFmtId="1" fontId="0" fillId="8" borderId="12" xfId="0" applyNumberFormat="1" applyFill="1" applyBorder="1"/>
    <xf numFmtId="0" fontId="0" fillId="8" borderId="13" xfId="0" applyFill="1" applyBorder="1"/>
    <xf numFmtId="0" fontId="0" fillId="8" borderId="14" xfId="0" applyFill="1" applyBorder="1"/>
    <xf numFmtId="0" fontId="0" fillId="8" borderId="0" xfId="0" applyFill="1"/>
  </cellXfs>
  <cellStyles count="4">
    <cellStyle name="Currency" xfId="3" builtinId="4"/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FFC3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Population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'Population Model'!$B$1</c:f>
              <c:strCache>
                <c:ptCount val="1"/>
                <c:pt idx="0">
                  <c:v>Population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'Population Model'!$A$2:$A$115</c:f>
              <c:numCache>
                <c:formatCode>General</c:formatCode>
                <c:ptCount val="114"/>
                <c:pt idx="1">
                  <c:v>0</c:v>
                </c:pt>
                <c:pt idx="2">
                  <c:v>1</c:v>
                </c:pt>
                <c:pt idx="3">
                  <c:v>2</c:v>
                </c:pt>
                <c:pt idx="4">
                  <c:v>3</c:v>
                </c:pt>
                <c:pt idx="5">
                  <c:v>4</c:v>
                </c:pt>
                <c:pt idx="6">
                  <c:v>5</c:v>
                </c:pt>
                <c:pt idx="7">
                  <c:v>6</c:v>
                </c:pt>
                <c:pt idx="8">
                  <c:v>7</c:v>
                </c:pt>
                <c:pt idx="9">
                  <c:v>8</c:v>
                </c:pt>
                <c:pt idx="10">
                  <c:v>9</c:v>
                </c:pt>
                <c:pt idx="11">
                  <c:v>10</c:v>
                </c:pt>
                <c:pt idx="12">
                  <c:v>11</c:v>
                </c:pt>
                <c:pt idx="13">
                  <c:v>12</c:v>
                </c:pt>
                <c:pt idx="14">
                  <c:v>13</c:v>
                </c:pt>
                <c:pt idx="15">
                  <c:v>14</c:v>
                </c:pt>
                <c:pt idx="16">
                  <c:v>15</c:v>
                </c:pt>
                <c:pt idx="17">
                  <c:v>16</c:v>
                </c:pt>
                <c:pt idx="18">
                  <c:v>17</c:v>
                </c:pt>
                <c:pt idx="19">
                  <c:v>18</c:v>
                </c:pt>
                <c:pt idx="20">
                  <c:v>19</c:v>
                </c:pt>
                <c:pt idx="21">
                  <c:v>20</c:v>
                </c:pt>
                <c:pt idx="22">
                  <c:v>21</c:v>
                </c:pt>
                <c:pt idx="23">
                  <c:v>22</c:v>
                </c:pt>
                <c:pt idx="24">
                  <c:v>23</c:v>
                </c:pt>
                <c:pt idx="25">
                  <c:v>24</c:v>
                </c:pt>
                <c:pt idx="26">
                  <c:v>25</c:v>
                </c:pt>
                <c:pt idx="27">
                  <c:v>26</c:v>
                </c:pt>
                <c:pt idx="28">
                  <c:v>27</c:v>
                </c:pt>
                <c:pt idx="29">
                  <c:v>28</c:v>
                </c:pt>
                <c:pt idx="30">
                  <c:v>29</c:v>
                </c:pt>
                <c:pt idx="31">
                  <c:v>30</c:v>
                </c:pt>
                <c:pt idx="32">
                  <c:v>31</c:v>
                </c:pt>
                <c:pt idx="33">
                  <c:v>32</c:v>
                </c:pt>
                <c:pt idx="34">
                  <c:v>33</c:v>
                </c:pt>
                <c:pt idx="35">
                  <c:v>34</c:v>
                </c:pt>
                <c:pt idx="36">
                  <c:v>35</c:v>
                </c:pt>
                <c:pt idx="37">
                  <c:v>36</c:v>
                </c:pt>
                <c:pt idx="38">
                  <c:v>37</c:v>
                </c:pt>
                <c:pt idx="39">
                  <c:v>38</c:v>
                </c:pt>
                <c:pt idx="40">
                  <c:v>39</c:v>
                </c:pt>
                <c:pt idx="41">
                  <c:v>40</c:v>
                </c:pt>
                <c:pt idx="42">
                  <c:v>41</c:v>
                </c:pt>
                <c:pt idx="43">
                  <c:v>42</c:v>
                </c:pt>
                <c:pt idx="44">
                  <c:v>43</c:v>
                </c:pt>
                <c:pt idx="45">
                  <c:v>44</c:v>
                </c:pt>
                <c:pt idx="46">
                  <c:v>45</c:v>
                </c:pt>
                <c:pt idx="47">
                  <c:v>46</c:v>
                </c:pt>
                <c:pt idx="48">
                  <c:v>47</c:v>
                </c:pt>
                <c:pt idx="49">
                  <c:v>48</c:v>
                </c:pt>
                <c:pt idx="50">
                  <c:v>49</c:v>
                </c:pt>
                <c:pt idx="51">
                  <c:v>50</c:v>
                </c:pt>
                <c:pt idx="52">
                  <c:v>51</c:v>
                </c:pt>
                <c:pt idx="53">
                  <c:v>52</c:v>
                </c:pt>
                <c:pt idx="54">
                  <c:v>53</c:v>
                </c:pt>
                <c:pt idx="55">
                  <c:v>54</c:v>
                </c:pt>
                <c:pt idx="56">
                  <c:v>55</c:v>
                </c:pt>
                <c:pt idx="57">
                  <c:v>56</c:v>
                </c:pt>
                <c:pt idx="58">
                  <c:v>57</c:v>
                </c:pt>
                <c:pt idx="59">
                  <c:v>58</c:v>
                </c:pt>
                <c:pt idx="60">
                  <c:v>59</c:v>
                </c:pt>
                <c:pt idx="61">
                  <c:v>60</c:v>
                </c:pt>
                <c:pt idx="62">
                  <c:v>61</c:v>
                </c:pt>
                <c:pt idx="63">
                  <c:v>62</c:v>
                </c:pt>
                <c:pt idx="64">
                  <c:v>63</c:v>
                </c:pt>
                <c:pt idx="65">
                  <c:v>64</c:v>
                </c:pt>
                <c:pt idx="66">
                  <c:v>65</c:v>
                </c:pt>
                <c:pt idx="67">
                  <c:v>66</c:v>
                </c:pt>
                <c:pt idx="68">
                  <c:v>67</c:v>
                </c:pt>
                <c:pt idx="69">
                  <c:v>68</c:v>
                </c:pt>
                <c:pt idx="70">
                  <c:v>69</c:v>
                </c:pt>
                <c:pt idx="71">
                  <c:v>70</c:v>
                </c:pt>
                <c:pt idx="72">
                  <c:v>71</c:v>
                </c:pt>
                <c:pt idx="73">
                  <c:v>72</c:v>
                </c:pt>
                <c:pt idx="74">
                  <c:v>73</c:v>
                </c:pt>
                <c:pt idx="75">
                  <c:v>74</c:v>
                </c:pt>
                <c:pt idx="76">
                  <c:v>75</c:v>
                </c:pt>
                <c:pt idx="77">
                  <c:v>76</c:v>
                </c:pt>
                <c:pt idx="78">
                  <c:v>77</c:v>
                </c:pt>
                <c:pt idx="79">
                  <c:v>78</c:v>
                </c:pt>
                <c:pt idx="80">
                  <c:v>79</c:v>
                </c:pt>
                <c:pt idx="81">
                  <c:v>80</c:v>
                </c:pt>
                <c:pt idx="82">
                  <c:v>81</c:v>
                </c:pt>
                <c:pt idx="83">
                  <c:v>82</c:v>
                </c:pt>
                <c:pt idx="84">
                  <c:v>83</c:v>
                </c:pt>
                <c:pt idx="85">
                  <c:v>84</c:v>
                </c:pt>
                <c:pt idx="86">
                  <c:v>85</c:v>
                </c:pt>
                <c:pt idx="87">
                  <c:v>86</c:v>
                </c:pt>
                <c:pt idx="88">
                  <c:v>87</c:v>
                </c:pt>
                <c:pt idx="89">
                  <c:v>88</c:v>
                </c:pt>
                <c:pt idx="90">
                  <c:v>89</c:v>
                </c:pt>
                <c:pt idx="91">
                  <c:v>90</c:v>
                </c:pt>
                <c:pt idx="92">
                  <c:v>91</c:v>
                </c:pt>
                <c:pt idx="93">
                  <c:v>92</c:v>
                </c:pt>
                <c:pt idx="94">
                  <c:v>93</c:v>
                </c:pt>
                <c:pt idx="95">
                  <c:v>94</c:v>
                </c:pt>
                <c:pt idx="96">
                  <c:v>95</c:v>
                </c:pt>
                <c:pt idx="97">
                  <c:v>96</c:v>
                </c:pt>
                <c:pt idx="98">
                  <c:v>97</c:v>
                </c:pt>
                <c:pt idx="99">
                  <c:v>98</c:v>
                </c:pt>
                <c:pt idx="100">
                  <c:v>99</c:v>
                </c:pt>
                <c:pt idx="101">
                  <c:v>100</c:v>
                </c:pt>
                <c:pt idx="102">
                  <c:v>101</c:v>
                </c:pt>
                <c:pt idx="103">
                  <c:v>102</c:v>
                </c:pt>
                <c:pt idx="104">
                  <c:v>103</c:v>
                </c:pt>
                <c:pt idx="105">
                  <c:v>104</c:v>
                </c:pt>
                <c:pt idx="106">
                  <c:v>105</c:v>
                </c:pt>
                <c:pt idx="107">
                  <c:v>106</c:v>
                </c:pt>
                <c:pt idx="108">
                  <c:v>107</c:v>
                </c:pt>
                <c:pt idx="109">
                  <c:v>108</c:v>
                </c:pt>
                <c:pt idx="110">
                  <c:v>109</c:v>
                </c:pt>
                <c:pt idx="111">
                  <c:v>110</c:v>
                </c:pt>
                <c:pt idx="112">
                  <c:v>111</c:v>
                </c:pt>
                <c:pt idx="113">
                  <c:v>112</c:v>
                </c:pt>
              </c:numCache>
            </c:numRef>
          </c:xVal>
          <c:yVal>
            <c:numRef>
              <c:f>'Population Model'!$B$2:$B$115</c:f>
              <c:numCache>
                <c:formatCode>0.00</c:formatCode>
                <c:ptCount val="114"/>
                <c:pt idx="0">
                  <c:v>821</c:v>
                </c:pt>
                <c:pt idx="1">
                  <c:v>829</c:v>
                </c:pt>
                <c:pt idx="2">
                  <c:v>837</c:v>
                </c:pt>
                <c:pt idx="3">
                  <c:v>846</c:v>
                </c:pt>
                <c:pt idx="4">
                  <c:v>854</c:v>
                </c:pt>
                <c:pt idx="5">
                  <c:v>862</c:v>
                </c:pt>
                <c:pt idx="6">
                  <c:v>869</c:v>
                </c:pt>
                <c:pt idx="7">
                  <c:v>877</c:v>
                </c:pt>
                <c:pt idx="8">
                  <c:v>884</c:v>
                </c:pt>
                <c:pt idx="9">
                  <c:v>891</c:v>
                </c:pt>
                <c:pt idx="10">
                  <c:v>898</c:v>
                </c:pt>
                <c:pt idx="11">
                  <c:v>904</c:v>
                </c:pt>
                <c:pt idx="12">
                  <c:v>911</c:v>
                </c:pt>
                <c:pt idx="13">
                  <c:v>917</c:v>
                </c:pt>
                <c:pt idx="14">
                  <c:v>922</c:v>
                </c:pt>
                <c:pt idx="15">
                  <c:v>928</c:v>
                </c:pt>
                <c:pt idx="16">
                  <c:v>933</c:v>
                </c:pt>
                <c:pt idx="17">
                  <c:v>938</c:v>
                </c:pt>
                <c:pt idx="18">
                  <c:v>942</c:v>
                </c:pt>
                <c:pt idx="19">
                  <c:v>947</c:v>
                </c:pt>
                <c:pt idx="20">
                  <c:v>951</c:v>
                </c:pt>
                <c:pt idx="21">
                  <c:v>954</c:v>
                </c:pt>
                <c:pt idx="22">
                  <c:v>958</c:v>
                </c:pt>
                <c:pt idx="23">
                  <c:v>961</c:v>
                </c:pt>
                <c:pt idx="24">
                  <c:v>964</c:v>
                </c:pt>
                <c:pt idx="25">
                  <c:v>967</c:v>
                </c:pt>
                <c:pt idx="26">
                  <c:v>970</c:v>
                </c:pt>
                <c:pt idx="27">
                  <c:v>972</c:v>
                </c:pt>
                <c:pt idx="28">
                  <c:v>974</c:v>
                </c:pt>
                <c:pt idx="29">
                  <c:v>976</c:v>
                </c:pt>
                <c:pt idx="30">
                  <c:v>978</c:v>
                </c:pt>
                <c:pt idx="31">
                  <c:v>979</c:v>
                </c:pt>
                <c:pt idx="32">
                  <c:v>981</c:v>
                </c:pt>
                <c:pt idx="33">
                  <c:v>982</c:v>
                </c:pt>
                <c:pt idx="34">
                  <c:v>983</c:v>
                </c:pt>
                <c:pt idx="35">
                  <c:v>984</c:v>
                </c:pt>
                <c:pt idx="36">
                  <c:v>985</c:v>
                </c:pt>
                <c:pt idx="37">
                  <c:v>986</c:v>
                </c:pt>
                <c:pt idx="38">
                  <c:v>987</c:v>
                </c:pt>
                <c:pt idx="39">
                  <c:v>987</c:v>
                </c:pt>
                <c:pt idx="40">
                  <c:v>988</c:v>
                </c:pt>
                <c:pt idx="41">
                  <c:v>988</c:v>
                </c:pt>
                <c:pt idx="42">
                  <c:v>988</c:v>
                </c:pt>
                <c:pt idx="43">
                  <c:v>989</c:v>
                </c:pt>
                <c:pt idx="44">
                  <c:v>989</c:v>
                </c:pt>
                <c:pt idx="45">
                  <c:v>989</c:v>
                </c:pt>
                <c:pt idx="46">
                  <c:v>989</c:v>
                </c:pt>
                <c:pt idx="47">
                  <c:v>989</c:v>
                </c:pt>
                <c:pt idx="48">
                  <c:v>989</c:v>
                </c:pt>
                <c:pt idx="49">
                  <c:v>989</c:v>
                </c:pt>
                <c:pt idx="50">
                  <c:v>989</c:v>
                </c:pt>
                <c:pt idx="51">
                  <c:v>989</c:v>
                </c:pt>
                <c:pt idx="52">
                  <c:v>989</c:v>
                </c:pt>
                <c:pt idx="53">
                  <c:v>989</c:v>
                </c:pt>
                <c:pt idx="54">
                  <c:v>989</c:v>
                </c:pt>
                <c:pt idx="55">
                  <c:v>989</c:v>
                </c:pt>
                <c:pt idx="56">
                  <c:v>988</c:v>
                </c:pt>
                <c:pt idx="57">
                  <c:v>988</c:v>
                </c:pt>
                <c:pt idx="58">
                  <c:v>988</c:v>
                </c:pt>
                <c:pt idx="59">
                  <c:v>988</c:v>
                </c:pt>
                <c:pt idx="60">
                  <c:v>988</c:v>
                </c:pt>
                <c:pt idx="61">
                  <c:v>988</c:v>
                </c:pt>
                <c:pt idx="62">
                  <c:v>988</c:v>
                </c:pt>
                <c:pt idx="63">
                  <c:v>988</c:v>
                </c:pt>
                <c:pt idx="64">
                  <c:v>987</c:v>
                </c:pt>
                <c:pt idx="65">
                  <c:v>987</c:v>
                </c:pt>
                <c:pt idx="66">
                  <c:v>987</c:v>
                </c:pt>
                <c:pt idx="67">
                  <c:v>987</c:v>
                </c:pt>
                <c:pt idx="68">
                  <c:v>987</c:v>
                </c:pt>
                <c:pt idx="69">
                  <c:v>987</c:v>
                </c:pt>
                <c:pt idx="70">
                  <c:v>987</c:v>
                </c:pt>
                <c:pt idx="71">
                  <c:v>987</c:v>
                </c:pt>
                <c:pt idx="72">
                  <c:v>987</c:v>
                </c:pt>
                <c:pt idx="73">
                  <c:v>987</c:v>
                </c:pt>
                <c:pt idx="74">
                  <c:v>987</c:v>
                </c:pt>
                <c:pt idx="75">
                  <c:v>987</c:v>
                </c:pt>
                <c:pt idx="76">
                  <c:v>987</c:v>
                </c:pt>
                <c:pt idx="77">
                  <c:v>987</c:v>
                </c:pt>
                <c:pt idx="78">
                  <c:v>987</c:v>
                </c:pt>
                <c:pt idx="79">
                  <c:v>986</c:v>
                </c:pt>
                <c:pt idx="80">
                  <c:v>986</c:v>
                </c:pt>
                <c:pt idx="81">
                  <c:v>986</c:v>
                </c:pt>
                <c:pt idx="82">
                  <c:v>986</c:v>
                </c:pt>
                <c:pt idx="83">
                  <c:v>987</c:v>
                </c:pt>
                <c:pt idx="84">
                  <c:v>987</c:v>
                </c:pt>
                <c:pt idx="85">
                  <c:v>987</c:v>
                </c:pt>
                <c:pt idx="86">
                  <c:v>987</c:v>
                </c:pt>
                <c:pt idx="87">
                  <c:v>987</c:v>
                </c:pt>
                <c:pt idx="88">
                  <c:v>987</c:v>
                </c:pt>
                <c:pt idx="89">
                  <c:v>987</c:v>
                </c:pt>
                <c:pt idx="90">
                  <c:v>987</c:v>
                </c:pt>
                <c:pt idx="91">
                  <c:v>987</c:v>
                </c:pt>
                <c:pt idx="92">
                  <c:v>987</c:v>
                </c:pt>
                <c:pt idx="93">
                  <c:v>987</c:v>
                </c:pt>
                <c:pt idx="94">
                  <c:v>987</c:v>
                </c:pt>
                <c:pt idx="95">
                  <c:v>987</c:v>
                </c:pt>
                <c:pt idx="96">
                  <c:v>987</c:v>
                </c:pt>
                <c:pt idx="97">
                  <c:v>987</c:v>
                </c:pt>
                <c:pt idx="98">
                  <c:v>987</c:v>
                </c:pt>
                <c:pt idx="99">
                  <c:v>987</c:v>
                </c:pt>
                <c:pt idx="100">
                  <c:v>987</c:v>
                </c:pt>
                <c:pt idx="101">
                  <c:v>987</c:v>
                </c:pt>
                <c:pt idx="102">
                  <c:v>987</c:v>
                </c:pt>
                <c:pt idx="103">
                  <c:v>987</c:v>
                </c:pt>
                <c:pt idx="104">
                  <c:v>987</c:v>
                </c:pt>
                <c:pt idx="105">
                  <c:v>987</c:v>
                </c:pt>
                <c:pt idx="106">
                  <c:v>987</c:v>
                </c:pt>
                <c:pt idx="107">
                  <c:v>987</c:v>
                </c:pt>
                <c:pt idx="108">
                  <c:v>988</c:v>
                </c:pt>
                <c:pt idx="109">
                  <c:v>988</c:v>
                </c:pt>
                <c:pt idx="110">
                  <c:v>988</c:v>
                </c:pt>
                <c:pt idx="111">
                  <c:v>988</c:v>
                </c:pt>
                <c:pt idx="112">
                  <c:v>988</c:v>
                </c:pt>
                <c:pt idx="113">
                  <c:v>988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273-CF45-AA45-B4158FAEAE02}"/>
            </c:ext>
          </c:extLst>
        </c:ser>
        <c:ser>
          <c:idx val="1"/>
          <c:order val="1"/>
          <c:tx>
            <c:strRef>
              <c:f>'Population Model'!$C$1</c:f>
              <c:strCache>
                <c:ptCount val="1"/>
                <c:pt idx="0">
                  <c:v>Workforce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'Population Model'!$A$2:$A$115</c:f>
              <c:numCache>
                <c:formatCode>General</c:formatCode>
                <c:ptCount val="114"/>
                <c:pt idx="1">
                  <c:v>0</c:v>
                </c:pt>
                <c:pt idx="2">
                  <c:v>1</c:v>
                </c:pt>
                <c:pt idx="3">
                  <c:v>2</c:v>
                </c:pt>
                <c:pt idx="4">
                  <c:v>3</c:v>
                </c:pt>
                <c:pt idx="5">
                  <c:v>4</c:v>
                </c:pt>
                <c:pt idx="6">
                  <c:v>5</c:v>
                </c:pt>
                <c:pt idx="7">
                  <c:v>6</c:v>
                </c:pt>
                <c:pt idx="8">
                  <c:v>7</c:v>
                </c:pt>
                <c:pt idx="9">
                  <c:v>8</c:v>
                </c:pt>
                <c:pt idx="10">
                  <c:v>9</c:v>
                </c:pt>
                <c:pt idx="11">
                  <c:v>10</c:v>
                </c:pt>
                <c:pt idx="12">
                  <c:v>11</c:v>
                </c:pt>
                <c:pt idx="13">
                  <c:v>12</c:v>
                </c:pt>
                <c:pt idx="14">
                  <c:v>13</c:v>
                </c:pt>
                <c:pt idx="15">
                  <c:v>14</c:v>
                </c:pt>
                <c:pt idx="16">
                  <c:v>15</c:v>
                </c:pt>
                <c:pt idx="17">
                  <c:v>16</c:v>
                </c:pt>
                <c:pt idx="18">
                  <c:v>17</c:v>
                </c:pt>
                <c:pt idx="19">
                  <c:v>18</c:v>
                </c:pt>
                <c:pt idx="20">
                  <c:v>19</c:v>
                </c:pt>
                <c:pt idx="21">
                  <c:v>20</c:v>
                </c:pt>
                <c:pt idx="22">
                  <c:v>21</c:v>
                </c:pt>
                <c:pt idx="23">
                  <c:v>22</c:v>
                </c:pt>
                <c:pt idx="24">
                  <c:v>23</c:v>
                </c:pt>
                <c:pt idx="25">
                  <c:v>24</c:v>
                </c:pt>
                <c:pt idx="26">
                  <c:v>25</c:v>
                </c:pt>
                <c:pt idx="27">
                  <c:v>26</c:v>
                </c:pt>
                <c:pt idx="28">
                  <c:v>27</c:v>
                </c:pt>
                <c:pt idx="29">
                  <c:v>28</c:v>
                </c:pt>
                <c:pt idx="30">
                  <c:v>29</c:v>
                </c:pt>
                <c:pt idx="31">
                  <c:v>30</c:v>
                </c:pt>
                <c:pt idx="32">
                  <c:v>31</c:v>
                </c:pt>
                <c:pt idx="33">
                  <c:v>32</c:v>
                </c:pt>
                <c:pt idx="34">
                  <c:v>33</c:v>
                </c:pt>
                <c:pt idx="35">
                  <c:v>34</c:v>
                </c:pt>
                <c:pt idx="36">
                  <c:v>35</c:v>
                </c:pt>
                <c:pt idx="37">
                  <c:v>36</c:v>
                </c:pt>
                <c:pt idx="38">
                  <c:v>37</c:v>
                </c:pt>
                <c:pt idx="39">
                  <c:v>38</c:v>
                </c:pt>
                <c:pt idx="40">
                  <c:v>39</c:v>
                </c:pt>
                <c:pt idx="41">
                  <c:v>40</c:v>
                </c:pt>
                <c:pt idx="42">
                  <c:v>41</c:v>
                </c:pt>
                <c:pt idx="43">
                  <c:v>42</c:v>
                </c:pt>
                <c:pt idx="44">
                  <c:v>43</c:v>
                </c:pt>
                <c:pt idx="45">
                  <c:v>44</c:v>
                </c:pt>
                <c:pt idx="46">
                  <c:v>45</c:v>
                </c:pt>
                <c:pt idx="47">
                  <c:v>46</c:v>
                </c:pt>
                <c:pt idx="48">
                  <c:v>47</c:v>
                </c:pt>
                <c:pt idx="49">
                  <c:v>48</c:v>
                </c:pt>
                <c:pt idx="50">
                  <c:v>49</c:v>
                </c:pt>
                <c:pt idx="51">
                  <c:v>50</c:v>
                </c:pt>
                <c:pt idx="52">
                  <c:v>51</c:v>
                </c:pt>
                <c:pt idx="53">
                  <c:v>52</c:v>
                </c:pt>
                <c:pt idx="54">
                  <c:v>53</c:v>
                </c:pt>
                <c:pt idx="55">
                  <c:v>54</c:v>
                </c:pt>
                <c:pt idx="56">
                  <c:v>55</c:v>
                </c:pt>
                <c:pt idx="57">
                  <c:v>56</c:v>
                </c:pt>
                <c:pt idx="58">
                  <c:v>57</c:v>
                </c:pt>
                <c:pt idx="59">
                  <c:v>58</c:v>
                </c:pt>
                <c:pt idx="60">
                  <c:v>59</c:v>
                </c:pt>
                <c:pt idx="61">
                  <c:v>60</c:v>
                </c:pt>
                <c:pt idx="62">
                  <c:v>61</c:v>
                </c:pt>
                <c:pt idx="63">
                  <c:v>62</c:v>
                </c:pt>
                <c:pt idx="64">
                  <c:v>63</c:v>
                </c:pt>
                <c:pt idx="65">
                  <c:v>64</c:v>
                </c:pt>
                <c:pt idx="66">
                  <c:v>65</c:v>
                </c:pt>
                <c:pt idx="67">
                  <c:v>66</c:v>
                </c:pt>
                <c:pt idx="68">
                  <c:v>67</c:v>
                </c:pt>
                <c:pt idx="69">
                  <c:v>68</c:v>
                </c:pt>
                <c:pt idx="70">
                  <c:v>69</c:v>
                </c:pt>
                <c:pt idx="71">
                  <c:v>70</c:v>
                </c:pt>
                <c:pt idx="72">
                  <c:v>71</c:v>
                </c:pt>
                <c:pt idx="73">
                  <c:v>72</c:v>
                </c:pt>
                <c:pt idx="74">
                  <c:v>73</c:v>
                </c:pt>
                <c:pt idx="75">
                  <c:v>74</c:v>
                </c:pt>
                <c:pt idx="76">
                  <c:v>75</c:v>
                </c:pt>
                <c:pt idx="77">
                  <c:v>76</c:v>
                </c:pt>
                <c:pt idx="78">
                  <c:v>77</c:v>
                </c:pt>
                <c:pt idx="79">
                  <c:v>78</c:v>
                </c:pt>
                <c:pt idx="80">
                  <c:v>79</c:v>
                </c:pt>
                <c:pt idx="81">
                  <c:v>80</c:v>
                </c:pt>
                <c:pt idx="82">
                  <c:v>81</c:v>
                </c:pt>
                <c:pt idx="83">
                  <c:v>82</c:v>
                </c:pt>
                <c:pt idx="84">
                  <c:v>83</c:v>
                </c:pt>
                <c:pt idx="85">
                  <c:v>84</c:v>
                </c:pt>
                <c:pt idx="86">
                  <c:v>85</c:v>
                </c:pt>
                <c:pt idx="87">
                  <c:v>86</c:v>
                </c:pt>
                <c:pt idx="88">
                  <c:v>87</c:v>
                </c:pt>
                <c:pt idx="89">
                  <c:v>88</c:v>
                </c:pt>
                <c:pt idx="90">
                  <c:v>89</c:v>
                </c:pt>
                <c:pt idx="91">
                  <c:v>90</c:v>
                </c:pt>
                <c:pt idx="92">
                  <c:v>91</c:v>
                </c:pt>
                <c:pt idx="93">
                  <c:v>92</c:v>
                </c:pt>
                <c:pt idx="94">
                  <c:v>93</c:v>
                </c:pt>
                <c:pt idx="95">
                  <c:v>94</c:v>
                </c:pt>
                <c:pt idx="96">
                  <c:v>95</c:v>
                </c:pt>
                <c:pt idx="97">
                  <c:v>96</c:v>
                </c:pt>
                <c:pt idx="98">
                  <c:v>97</c:v>
                </c:pt>
                <c:pt idx="99">
                  <c:v>98</c:v>
                </c:pt>
                <c:pt idx="100">
                  <c:v>99</c:v>
                </c:pt>
                <c:pt idx="101">
                  <c:v>100</c:v>
                </c:pt>
                <c:pt idx="102">
                  <c:v>101</c:v>
                </c:pt>
                <c:pt idx="103">
                  <c:v>102</c:v>
                </c:pt>
                <c:pt idx="104">
                  <c:v>103</c:v>
                </c:pt>
                <c:pt idx="105">
                  <c:v>104</c:v>
                </c:pt>
                <c:pt idx="106">
                  <c:v>105</c:v>
                </c:pt>
                <c:pt idx="107">
                  <c:v>106</c:v>
                </c:pt>
                <c:pt idx="108">
                  <c:v>107</c:v>
                </c:pt>
                <c:pt idx="109">
                  <c:v>108</c:v>
                </c:pt>
                <c:pt idx="110">
                  <c:v>109</c:v>
                </c:pt>
                <c:pt idx="111">
                  <c:v>110</c:v>
                </c:pt>
                <c:pt idx="112">
                  <c:v>111</c:v>
                </c:pt>
                <c:pt idx="113">
                  <c:v>112</c:v>
                </c:pt>
              </c:numCache>
            </c:numRef>
          </c:xVal>
          <c:yVal>
            <c:numRef>
              <c:f>'Population Model'!$C$2:$C$115</c:f>
              <c:numCache>
                <c:formatCode>0</c:formatCode>
                <c:ptCount val="114"/>
                <c:pt idx="1">
                  <c:v>477</c:v>
                </c:pt>
                <c:pt idx="2">
                  <c:v>472</c:v>
                </c:pt>
                <c:pt idx="3">
                  <c:v>469</c:v>
                </c:pt>
                <c:pt idx="4">
                  <c:v>465</c:v>
                </c:pt>
                <c:pt idx="5">
                  <c:v>461</c:v>
                </c:pt>
                <c:pt idx="6">
                  <c:v>457</c:v>
                </c:pt>
                <c:pt idx="7">
                  <c:v>454</c:v>
                </c:pt>
                <c:pt idx="8">
                  <c:v>450</c:v>
                </c:pt>
                <c:pt idx="9">
                  <c:v>446</c:v>
                </c:pt>
                <c:pt idx="10">
                  <c:v>442</c:v>
                </c:pt>
                <c:pt idx="11">
                  <c:v>438</c:v>
                </c:pt>
                <c:pt idx="12">
                  <c:v>435</c:v>
                </c:pt>
                <c:pt idx="13">
                  <c:v>431</c:v>
                </c:pt>
                <c:pt idx="14">
                  <c:v>428</c:v>
                </c:pt>
                <c:pt idx="15">
                  <c:v>425</c:v>
                </c:pt>
                <c:pt idx="16">
                  <c:v>421</c:v>
                </c:pt>
                <c:pt idx="17">
                  <c:v>419</c:v>
                </c:pt>
                <c:pt idx="18">
                  <c:v>415</c:v>
                </c:pt>
                <c:pt idx="19">
                  <c:v>413</c:v>
                </c:pt>
                <c:pt idx="20">
                  <c:v>410</c:v>
                </c:pt>
                <c:pt idx="21">
                  <c:v>406</c:v>
                </c:pt>
                <c:pt idx="22">
                  <c:v>405</c:v>
                </c:pt>
                <c:pt idx="23">
                  <c:v>402</c:v>
                </c:pt>
                <c:pt idx="24">
                  <c:v>400</c:v>
                </c:pt>
                <c:pt idx="25">
                  <c:v>398</c:v>
                </c:pt>
                <c:pt idx="26">
                  <c:v>396</c:v>
                </c:pt>
                <c:pt idx="27">
                  <c:v>394</c:v>
                </c:pt>
                <c:pt idx="28">
                  <c:v>393</c:v>
                </c:pt>
                <c:pt idx="29">
                  <c:v>392</c:v>
                </c:pt>
                <c:pt idx="30">
                  <c:v>390</c:v>
                </c:pt>
                <c:pt idx="31">
                  <c:v>388</c:v>
                </c:pt>
                <c:pt idx="32">
                  <c:v>388</c:v>
                </c:pt>
                <c:pt idx="33">
                  <c:v>386</c:v>
                </c:pt>
                <c:pt idx="34">
                  <c:v>385</c:v>
                </c:pt>
                <c:pt idx="35">
                  <c:v>385</c:v>
                </c:pt>
                <c:pt idx="36">
                  <c:v>383</c:v>
                </c:pt>
                <c:pt idx="37">
                  <c:v>383</c:v>
                </c:pt>
                <c:pt idx="38">
                  <c:v>383</c:v>
                </c:pt>
                <c:pt idx="39">
                  <c:v>382</c:v>
                </c:pt>
                <c:pt idx="40">
                  <c:v>382</c:v>
                </c:pt>
                <c:pt idx="41">
                  <c:v>381</c:v>
                </c:pt>
                <c:pt idx="42">
                  <c:v>381</c:v>
                </c:pt>
                <c:pt idx="43">
                  <c:v>382</c:v>
                </c:pt>
                <c:pt idx="44">
                  <c:v>381</c:v>
                </c:pt>
                <c:pt idx="45">
                  <c:v>381</c:v>
                </c:pt>
                <c:pt idx="46">
                  <c:v>381</c:v>
                </c:pt>
                <c:pt idx="47">
                  <c:v>381</c:v>
                </c:pt>
                <c:pt idx="48">
                  <c:v>381</c:v>
                </c:pt>
                <c:pt idx="49">
                  <c:v>381</c:v>
                </c:pt>
                <c:pt idx="50">
                  <c:v>381</c:v>
                </c:pt>
                <c:pt idx="51">
                  <c:v>381</c:v>
                </c:pt>
                <c:pt idx="52">
                  <c:v>382</c:v>
                </c:pt>
                <c:pt idx="53">
                  <c:v>382</c:v>
                </c:pt>
                <c:pt idx="54">
                  <c:v>382</c:v>
                </c:pt>
                <c:pt idx="55">
                  <c:v>382</c:v>
                </c:pt>
                <c:pt idx="56">
                  <c:v>382</c:v>
                </c:pt>
                <c:pt idx="57">
                  <c:v>382</c:v>
                </c:pt>
                <c:pt idx="58">
                  <c:v>382</c:v>
                </c:pt>
                <c:pt idx="59">
                  <c:v>383</c:v>
                </c:pt>
                <c:pt idx="60">
                  <c:v>383</c:v>
                </c:pt>
                <c:pt idx="61">
                  <c:v>383</c:v>
                </c:pt>
                <c:pt idx="62">
                  <c:v>383</c:v>
                </c:pt>
                <c:pt idx="63">
                  <c:v>384</c:v>
                </c:pt>
                <c:pt idx="64">
                  <c:v>383</c:v>
                </c:pt>
                <c:pt idx="65">
                  <c:v>383</c:v>
                </c:pt>
                <c:pt idx="66">
                  <c:v>384</c:v>
                </c:pt>
                <c:pt idx="67">
                  <c:v>384</c:v>
                </c:pt>
                <c:pt idx="68">
                  <c:v>384</c:v>
                </c:pt>
                <c:pt idx="69">
                  <c:v>384</c:v>
                </c:pt>
                <c:pt idx="70">
                  <c:v>385</c:v>
                </c:pt>
                <c:pt idx="71">
                  <c:v>385</c:v>
                </c:pt>
                <c:pt idx="72">
                  <c:v>384</c:v>
                </c:pt>
                <c:pt idx="73">
                  <c:v>384</c:v>
                </c:pt>
                <c:pt idx="74">
                  <c:v>384</c:v>
                </c:pt>
                <c:pt idx="75">
                  <c:v>384</c:v>
                </c:pt>
                <c:pt idx="76">
                  <c:v>385</c:v>
                </c:pt>
                <c:pt idx="77">
                  <c:v>385</c:v>
                </c:pt>
                <c:pt idx="78">
                  <c:v>385</c:v>
                </c:pt>
                <c:pt idx="79">
                  <c:v>384</c:v>
                </c:pt>
                <c:pt idx="80">
                  <c:v>384</c:v>
                </c:pt>
                <c:pt idx="81">
                  <c:v>384</c:v>
                </c:pt>
                <c:pt idx="82">
                  <c:v>384</c:v>
                </c:pt>
                <c:pt idx="83">
                  <c:v>385</c:v>
                </c:pt>
                <c:pt idx="84">
                  <c:v>385</c:v>
                </c:pt>
                <c:pt idx="85">
                  <c:v>385</c:v>
                </c:pt>
                <c:pt idx="86">
                  <c:v>385</c:v>
                </c:pt>
                <c:pt idx="87">
                  <c:v>385</c:v>
                </c:pt>
                <c:pt idx="88">
                  <c:v>385</c:v>
                </c:pt>
                <c:pt idx="89">
                  <c:v>385</c:v>
                </c:pt>
                <c:pt idx="90">
                  <c:v>385</c:v>
                </c:pt>
                <c:pt idx="91">
                  <c:v>385</c:v>
                </c:pt>
                <c:pt idx="92">
                  <c:v>385</c:v>
                </c:pt>
                <c:pt idx="93">
                  <c:v>385</c:v>
                </c:pt>
                <c:pt idx="94">
                  <c:v>385</c:v>
                </c:pt>
                <c:pt idx="95">
                  <c:v>385</c:v>
                </c:pt>
                <c:pt idx="96">
                  <c:v>385</c:v>
                </c:pt>
                <c:pt idx="97">
                  <c:v>385</c:v>
                </c:pt>
                <c:pt idx="98">
                  <c:v>385</c:v>
                </c:pt>
                <c:pt idx="99">
                  <c:v>385</c:v>
                </c:pt>
                <c:pt idx="100">
                  <c:v>385</c:v>
                </c:pt>
                <c:pt idx="101">
                  <c:v>385</c:v>
                </c:pt>
                <c:pt idx="102">
                  <c:v>385</c:v>
                </c:pt>
                <c:pt idx="103">
                  <c:v>385</c:v>
                </c:pt>
                <c:pt idx="104">
                  <c:v>385</c:v>
                </c:pt>
                <c:pt idx="105">
                  <c:v>385</c:v>
                </c:pt>
                <c:pt idx="106">
                  <c:v>385</c:v>
                </c:pt>
                <c:pt idx="107">
                  <c:v>385</c:v>
                </c:pt>
                <c:pt idx="108">
                  <c:v>386</c:v>
                </c:pt>
                <c:pt idx="109">
                  <c:v>386</c:v>
                </c:pt>
                <c:pt idx="110">
                  <c:v>386</c:v>
                </c:pt>
                <c:pt idx="111">
                  <c:v>386</c:v>
                </c:pt>
                <c:pt idx="112">
                  <c:v>386</c:v>
                </c:pt>
                <c:pt idx="113">
                  <c:v>386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273-CF45-AA45-B4158FAEAE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67299135"/>
        <c:axId val="267287823"/>
      </c:scatterChart>
      <c:valAx>
        <c:axId val="26729913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7287823"/>
        <c:crosses val="autoZero"/>
        <c:crossBetween val="midCat"/>
      </c:valAx>
      <c:valAx>
        <c:axId val="2672878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7299135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Dietary Content by Life Expectancy</a:t>
            </a:r>
            <a:r>
              <a:rPr lang="en-US" baseline="0"/>
              <a:t> (Highest Left)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Diet!$G$8</c:f>
              <c:strCache>
                <c:ptCount val="1"/>
                <c:pt idx="0">
                  <c:v>Other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Diet!$G$9:$G$21</c:f>
              <c:numCache>
                <c:formatCode>General</c:formatCode>
                <c:ptCount val="13"/>
                <c:pt idx="0">
                  <c:v>49</c:v>
                </c:pt>
                <c:pt idx="1">
                  <c:v>120</c:v>
                </c:pt>
                <c:pt idx="2">
                  <c:v>68</c:v>
                </c:pt>
                <c:pt idx="3">
                  <c:v>45</c:v>
                </c:pt>
                <c:pt idx="4">
                  <c:v>48</c:v>
                </c:pt>
                <c:pt idx="5">
                  <c:v>93</c:v>
                </c:pt>
                <c:pt idx="6">
                  <c:v>47</c:v>
                </c:pt>
                <c:pt idx="7">
                  <c:v>30</c:v>
                </c:pt>
                <c:pt idx="8">
                  <c:v>25</c:v>
                </c:pt>
                <c:pt idx="9">
                  <c:v>110</c:v>
                </c:pt>
                <c:pt idx="10">
                  <c:v>36</c:v>
                </c:pt>
                <c:pt idx="11">
                  <c:v>27</c:v>
                </c:pt>
                <c:pt idx="12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50B-9B42-BCEA-08E680647757}"/>
            </c:ext>
          </c:extLst>
        </c:ser>
        <c:ser>
          <c:idx val="1"/>
          <c:order val="1"/>
          <c:tx>
            <c:strRef>
              <c:f>Diet!$H$8</c:f>
              <c:strCache>
                <c:ptCount val="1"/>
                <c:pt idx="0">
                  <c:v>Sugar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Diet!$H$9:$H$21</c:f>
              <c:numCache>
                <c:formatCode>General</c:formatCode>
                <c:ptCount val="13"/>
                <c:pt idx="0">
                  <c:v>254</c:v>
                </c:pt>
                <c:pt idx="1">
                  <c:v>434</c:v>
                </c:pt>
                <c:pt idx="2">
                  <c:v>384</c:v>
                </c:pt>
                <c:pt idx="3">
                  <c:v>434</c:v>
                </c:pt>
                <c:pt idx="4">
                  <c:v>395</c:v>
                </c:pt>
                <c:pt idx="5">
                  <c:v>394</c:v>
                </c:pt>
                <c:pt idx="6">
                  <c:v>348</c:v>
                </c:pt>
                <c:pt idx="7">
                  <c:v>600</c:v>
                </c:pt>
                <c:pt idx="8">
                  <c:v>71</c:v>
                </c:pt>
                <c:pt idx="9">
                  <c:v>308</c:v>
                </c:pt>
                <c:pt idx="10">
                  <c:v>439</c:v>
                </c:pt>
                <c:pt idx="11">
                  <c:v>236</c:v>
                </c:pt>
                <c:pt idx="12">
                  <c:v>103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50B-9B42-BCEA-08E680647757}"/>
            </c:ext>
          </c:extLst>
        </c:ser>
        <c:ser>
          <c:idx val="2"/>
          <c:order val="2"/>
          <c:tx>
            <c:strRef>
              <c:f>Diet!$I$8</c:f>
              <c:strCache>
                <c:ptCount val="1"/>
                <c:pt idx="0">
                  <c:v>Oils &amp; Fats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Diet!$I$9:$I$21</c:f>
              <c:numCache>
                <c:formatCode>General</c:formatCode>
                <c:ptCount val="13"/>
                <c:pt idx="0">
                  <c:v>506</c:v>
                </c:pt>
                <c:pt idx="1">
                  <c:v>457</c:v>
                </c:pt>
                <c:pt idx="2">
                  <c:v>774</c:v>
                </c:pt>
                <c:pt idx="3">
                  <c:v>919</c:v>
                </c:pt>
                <c:pt idx="4">
                  <c:v>551</c:v>
                </c:pt>
                <c:pt idx="5">
                  <c:v>609</c:v>
                </c:pt>
                <c:pt idx="6">
                  <c:v>628</c:v>
                </c:pt>
                <c:pt idx="7">
                  <c:v>890</c:v>
                </c:pt>
                <c:pt idx="8">
                  <c:v>334</c:v>
                </c:pt>
                <c:pt idx="9">
                  <c:v>581</c:v>
                </c:pt>
                <c:pt idx="10">
                  <c:v>482</c:v>
                </c:pt>
                <c:pt idx="11">
                  <c:v>330</c:v>
                </c:pt>
                <c:pt idx="12">
                  <c:v>327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50B-9B42-BCEA-08E680647757}"/>
            </c:ext>
          </c:extLst>
        </c:ser>
        <c:ser>
          <c:idx val="3"/>
          <c:order val="3"/>
          <c:tx>
            <c:strRef>
              <c:f>Diet!$J$8</c:f>
              <c:strCache>
                <c:ptCount val="1"/>
                <c:pt idx="0">
                  <c:v>Meat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Diet!$J$9:$J$21</c:f>
              <c:numCache>
                <c:formatCode>General</c:formatCode>
                <c:ptCount val="13"/>
                <c:pt idx="0">
                  <c:v>318</c:v>
                </c:pt>
                <c:pt idx="1">
                  <c:v>710</c:v>
                </c:pt>
                <c:pt idx="2">
                  <c:v>517</c:v>
                </c:pt>
                <c:pt idx="3">
                  <c:v>390</c:v>
                </c:pt>
                <c:pt idx="4">
                  <c:v>439</c:v>
                </c:pt>
                <c:pt idx="5">
                  <c:v>476</c:v>
                </c:pt>
                <c:pt idx="6">
                  <c:v>388</c:v>
                </c:pt>
                <c:pt idx="7">
                  <c:v>459</c:v>
                </c:pt>
                <c:pt idx="8">
                  <c:v>533</c:v>
                </c:pt>
                <c:pt idx="9">
                  <c:v>281</c:v>
                </c:pt>
                <c:pt idx="10">
                  <c:v>372</c:v>
                </c:pt>
                <c:pt idx="11">
                  <c:v>24</c:v>
                </c:pt>
                <c:pt idx="12">
                  <c:v>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50B-9B42-BCEA-08E680647757}"/>
            </c:ext>
          </c:extLst>
        </c:ser>
        <c:ser>
          <c:idx val="4"/>
          <c:order val="4"/>
          <c:tx>
            <c:strRef>
              <c:f>Diet!$K$8</c:f>
              <c:strCache>
                <c:ptCount val="1"/>
                <c:pt idx="0">
                  <c:v>Dairy &amp; Eggs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Diet!$K$9:$K$21</c:f>
              <c:numCache>
                <c:formatCode>General</c:formatCode>
                <c:ptCount val="13"/>
                <c:pt idx="0">
                  <c:v>189</c:v>
                </c:pt>
                <c:pt idx="1">
                  <c:v>573</c:v>
                </c:pt>
                <c:pt idx="2">
                  <c:v>371</c:v>
                </c:pt>
                <c:pt idx="3">
                  <c:v>242</c:v>
                </c:pt>
                <c:pt idx="4">
                  <c:v>393</c:v>
                </c:pt>
                <c:pt idx="5">
                  <c:v>384</c:v>
                </c:pt>
                <c:pt idx="6">
                  <c:v>85</c:v>
                </c:pt>
                <c:pt idx="7">
                  <c:v>424</c:v>
                </c:pt>
                <c:pt idx="8">
                  <c:v>134</c:v>
                </c:pt>
                <c:pt idx="9">
                  <c:v>161</c:v>
                </c:pt>
                <c:pt idx="10">
                  <c:v>328</c:v>
                </c:pt>
                <c:pt idx="11">
                  <c:v>139</c:v>
                </c:pt>
                <c:pt idx="12">
                  <c:v>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50B-9B42-BCEA-08E680647757}"/>
            </c:ext>
          </c:extLst>
        </c:ser>
        <c:ser>
          <c:idx val="5"/>
          <c:order val="5"/>
          <c:tx>
            <c:strRef>
              <c:f>Diet!$L$8</c:f>
              <c:strCache>
                <c:ptCount val="1"/>
                <c:pt idx="0">
                  <c:v>Fruits &amp; Vegetables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Diet!$L$9:$L$21</c:f>
              <c:numCache>
                <c:formatCode>General</c:formatCode>
                <c:ptCount val="13"/>
                <c:pt idx="0">
                  <c:v>124</c:v>
                </c:pt>
                <c:pt idx="1">
                  <c:v>196</c:v>
                </c:pt>
                <c:pt idx="2">
                  <c:v>183</c:v>
                </c:pt>
                <c:pt idx="3">
                  <c:v>214</c:v>
                </c:pt>
                <c:pt idx="4">
                  <c:v>211</c:v>
                </c:pt>
                <c:pt idx="5">
                  <c:v>212</c:v>
                </c:pt>
                <c:pt idx="6">
                  <c:v>245</c:v>
                </c:pt>
                <c:pt idx="7">
                  <c:v>188</c:v>
                </c:pt>
                <c:pt idx="8">
                  <c:v>335</c:v>
                </c:pt>
                <c:pt idx="9">
                  <c:v>290</c:v>
                </c:pt>
                <c:pt idx="10">
                  <c:v>162</c:v>
                </c:pt>
                <c:pt idx="11">
                  <c:v>131</c:v>
                </c:pt>
                <c:pt idx="12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850B-9B42-BCEA-08E680647757}"/>
            </c:ext>
          </c:extLst>
        </c:ser>
        <c:ser>
          <c:idx val="6"/>
          <c:order val="6"/>
          <c:tx>
            <c:strRef>
              <c:f>Diet!$M$8</c:f>
              <c:strCache>
                <c:ptCount val="1"/>
                <c:pt idx="0">
                  <c:v>Starchy Roots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Diet!$M$9:$M$21</c:f>
              <c:numCache>
                <c:formatCode>General</c:formatCode>
                <c:ptCount val="13"/>
                <c:pt idx="0">
                  <c:v>60</c:v>
                </c:pt>
                <c:pt idx="1">
                  <c:v>54</c:v>
                </c:pt>
                <c:pt idx="2">
                  <c:v>90</c:v>
                </c:pt>
                <c:pt idx="3">
                  <c:v>120</c:v>
                </c:pt>
                <c:pt idx="4">
                  <c:v>154</c:v>
                </c:pt>
                <c:pt idx="5">
                  <c:v>181</c:v>
                </c:pt>
                <c:pt idx="6">
                  <c:v>40</c:v>
                </c:pt>
                <c:pt idx="7">
                  <c:v>92</c:v>
                </c:pt>
                <c:pt idx="8">
                  <c:v>152</c:v>
                </c:pt>
                <c:pt idx="9">
                  <c:v>39</c:v>
                </c:pt>
                <c:pt idx="10">
                  <c:v>207</c:v>
                </c:pt>
                <c:pt idx="11">
                  <c:v>60</c:v>
                </c:pt>
                <c:pt idx="12">
                  <c:v>153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850B-9B42-BCEA-08E680647757}"/>
            </c:ext>
          </c:extLst>
        </c:ser>
        <c:ser>
          <c:idx val="7"/>
          <c:order val="7"/>
          <c:tx>
            <c:strRef>
              <c:f>Diet!$N$8</c:f>
              <c:strCache>
                <c:ptCount val="1"/>
                <c:pt idx="0">
                  <c:v>Pulses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Diet!$N$9:$N$21</c:f>
              <c:numCache>
                <c:formatCode>General</c:formatCode>
                <c:ptCount val="13"/>
                <c:pt idx="0">
                  <c:v>13</c:v>
                </c:pt>
                <c:pt idx="1">
                  <c:v>7</c:v>
                </c:pt>
                <c:pt idx="2">
                  <c:v>12</c:v>
                </c:pt>
                <c:pt idx="3">
                  <c:v>115</c:v>
                </c:pt>
                <c:pt idx="4">
                  <c:v>31</c:v>
                </c:pt>
                <c:pt idx="5">
                  <c:v>32</c:v>
                </c:pt>
                <c:pt idx="6">
                  <c:v>12</c:v>
                </c:pt>
                <c:pt idx="7">
                  <c:v>39</c:v>
                </c:pt>
                <c:pt idx="8">
                  <c:v>12</c:v>
                </c:pt>
                <c:pt idx="9">
                  <c:v>58</c:v>
                </c:pt>
                <c:pt idx="10">
                  <c:v>17</c:v>
                </c:pt>
                <c:pt idx="11">
                  <c:v>137</c:v>
                </c:pt>
                <c:pt idx="12">
                  <c:v>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50B-9B42-BCEA-08E680647757}"/>
            </c:ext>
          </c:extLst>
        </c:ser>
        <c:ser>
          <c:idx val="8"/>
          <c:order val="8"/>
          <c:tx>
            <c:strRef>
              <c:f>Diet!$O$8</c:f>
              <c:strCache>
                <c:ptCount val="1"/>
                <c:pt idx="0">
                  <c:v>Cereals &amp; Grains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Diet!$O$9:$O$21</c:f>
              <c:numCache>
                <c:formatCode>General</c:formatCode>
                <c:ptCount val="13"/>
                <c:pt idx="0">
                  <c:v>1082</c:v>
                </c:pt>
                <c:pt idx="1">
                  <c:v>698</c:v>
                </c:pt>
                <c:pt idx="2">
                  <c:v>741</c:v>
                </c:pt>
                <c:pt idx="3">
                  <c:v>909</c:v>
                </c:pt>
                <c:pt idx="4">
                  <c:v>1073</c:v>
                </c:pt>
                <c:pt idx="5">
                  <c:v>890</c:v>
                </c:pt>
                <c:pt idx="6">
                  <c:v>1406</c:v>
                </c:pt>
                <c:pt idx="7">
                  <c:v>801</c:v>
                </c:pt>
                <c:pt idx="8">
                  <c:v>1417</c:v>
                </c:pt>
                <c:pt idx="9">
                  <c:v>1427</c:v>
                </c:pt>
                <c:pt idx="10">
                  <c:v>1153</c:v>
                </c:pt>
                <c:pt idx="11">
                  <c:v>1361</c:v>
                </c:pt>
                <c:pt idx="12">
                  <c:v>1315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850B-9B42-BCEA-08E680647757}"/>
            </c:ext>
          </c:extLst>
        </c:ser>
        <c:ser>
          <c:idx val="9"/>
          <c:order val="9"/>
          <c:tx>
            <c:strRef>
              <c:f>Diet!$P$8</c:f>
              <c:strCache>
                <c:ptCount val="1"/>
                <c:pt idx="0">
                  <c:v>Alcoholic Beverages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Diet!$P$9:$P$21</c:f>
              <c:numCache>
                <c:formatCode>General</c:formatCode>
                <c:ptCount val="13"/>
                <c:pt idx="0">
                  <c:v>131</c:v>
                </c:pt>
                <c:pt idx="1">
                  <c:v>131</c:v>
                </c:pt>
                <c:pt idx="2">
                  <c:v>136</c:v>
                </c:pt>
                <c:pt idx="3">
                  <c:v>106</c:v>
                </c:pt>
                <c:pt idx="4">
                  <c:v>305</c:v>
                </c:pt>
                <c:pt idx="5">
                  <c:v>153</c:v>
                </c:pt>
                <c:pt idx="6">
                  <c:v>135</c:v>
                </c:pt>
                <c:pt idx="7">
                  <c:v>159</c:v>
                </c:pt>
                <c:pt idx="8">
                  <c:v>95</c:v>
                </c:pt>
                <c:pt idx="9">
                  <c:v>0</c:v>
                </c:pt>
                <c:pt idx="10">
                  <c:v>165</c:v>
                </c:pt>
                <c:pt idx="11">
                  <c:v>14</c:v>
                </c:pt>
                <c:pt idx="12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850B-9B42-BCEA-08E6806477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5506703"/>
        <c:axId val="1275594799"/>
      </c:lineChart>
      <c:catAx>
        <c:axId val="12755067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5594799"/>
        <c:crosses val="autoZero"/>
        <c:auto val="1"/>
        <c:lblAlgn val="ctr"/>
        <c:lblOffset val="100"/>
        <c:noMultiLvlLbl val="0"/>
      </c:catAx>
      <c:valAx>
        <c:axId val="1275594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55067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88900</xdr:colOff>
      <xdr:row>13</xdr:row>
      <xdr:rowOff>0</xdr:rowOff>
    </xdr:from>
    <xdr:to>
      <xdr:col>19</xdr:col>
      <xdr:colOff>482600</xdr:colOff>
      <xdr:row>26</xdr:row>
      <xdr:rowOff>63500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6D7519E1-BFC7-534B-8935-BB9157E401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80818</xdr:colOff>
      <xdr:row>28</xdr:row>
      <xdr:rowOff>46183</xdr:rowOff>
    </xdr:from>
    <xdr:to>
      <xdr:col>15</xdr:col>
      <xdr:colOff>808182</xdr:colOff>
      <xdr:row>58</xdr:row>
      <xdr:rowOff>138545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70A0991-E2AA-074F-8531-0F9070446EE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4e.europa.eu/understandingfusion/merits.aspx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35416-020F-0944-9A66-25BCA98D2542}">
  <dimension ref="A1:I105"/>
  <sheetViews>
    <sheetView topLeftCell="A29" workbookViewId="0">
      <selection activeCell="B62" sqref="B62"/>
    </sheetView>
  </sheetViews>
  <sheetFormatPr baseColWidth="10" defaultRowHeight="16"/>
  <cols>
    <col min="1" max="1" width="19" bestFit="1" customWidth="1"/>
    <col min="2" max="2" width="20.6640625" customWidth="1"/>
    <col min="3" max="3" width="14.1640625" bestFit="1" customWidth="1"/>
    <col min="4" max="4" width="12.1640625" bestFit="1" customWidth="1"/>
    <col min="5" max="5" width="11.6640625" bestFit="1" customWidth="1"/>
    <col min="6" max="6" width="12.1640625" bestFit="1" customWidth="1"/>
  </cols>
  <sheetData>
    <row r="1" spans="1:6" ht="18">
      <c r="A1" t="s">
        <v>9</v>
      </c>
      <c r="B1" s="60">
        <v>45.7</v>
      </c>
      <c r="C1" t="s">
        <v>2</v>
      </c>
      <c r="D1">
        <v>45.7</v>
      </c>
      <c r="E1" s="62">
        <v>4.5</v>
      </c>
      <c r="F1" s="45">
        <v>200</v>
      </c>
    </row>
    <row r="2" spans="1:6">
      <c r="A2" t="s">
        <v>9</v>
      </c>
      <c r="B2">
        <f>B1*Conversion!$B$5</f>
        <v>4.3235399E+17</v>
      </c>
      <c r="C2" t="s">
        <v>3</v>
      </c>
      <c r="E2">
        <f>E1*Conversion!$B$5</f>
        <v>4.257315E+16</v>
      </c>
      <c r="F2">
        <f>F1*Conversion!$B$5</f>
        <v>1.89214E+18</v>
      </c>
    </row>
    <row r="4" spans="1:6">
      <c r="A4" t="s">
        <v>1</v>
      </c>
      <c r="B4">
        <f>Conversion!B11</f>
        <v>9.8000000000000007</v>
      </c>
      <c r="C4" t="s">
        <v>4</v>
      </c>
      <c r="E4">
        <v>9.8000000000000007</v>
      </c>
      <c r="F4">
        <v>9.8000000000000007</v>
      </c>
    </row>
    <row r="5" spans="1:6">
      <c r="A5" t="s">
        <v>6</v>
      </c>
      <c r="B5">
        <f>B2/2</f>
        <v>2.16176995E+17</v>
      </c>
      <c r="E5">
        <f>E2/2</f>
        <v>2.1286575E+16</v>
      </c>
      <c r="F5">
        <f>F2/2</f>
        <v>9.4607E+17</v>
      </c>
    </row>
    <row r="6" spans="1:6">
      <c r="A6" t="s">
        <v>14</v>
      </c>
      <c r="B6" s="3">
        <f>1+B4*(B2*0.5)/(Conversion!$B$6*Conversion!$B$6)</f>
        <v>24.571875869216779</v>
      </c>
      <c r="E6" s="3">
        <f>1+E4*(E2*0.5)/(Conversion!$B$6*Conversion!$B$6)</f>
        <v>3.3210818689600763</v>
      </c>
      <c r="F6" s="3">
        <f>1+F4*(F2*0.5)/(Conversion!$B$6*Conversion!$B$6)</f>
        <v>104.1591941760034</v>
      </c>
    </row>
    <row r="8" spans="1:6">
      <c r="A8" t="s">
        <v>15</v>
      </c>
      <c r="B8" s="3">
        <f>4*(Conversion!$B$6/B4)*ACOSH(B6)</f>
        <v>476527502.13524342</v>
      </c>
      <c r="C8" t="s">
        <v>5</v>
      </c>
      <c r="E8" s="3">
        <f>4*(Conversion!$B$6/E4)*ACOSH(E6)</f>
        <v>228816230.44315866</v>
      </c>
      <c r="F8" s="3">
        <f>4*(Conversion!$B$6/F4)*ACOSH(F6)</f>
        <v>653308284.71623802</v>
      </c>
    </row>
    <row r="9" spans="1:6">
      <c r="B9" s="5">
        <f>B8/Conversion!$C$3</f>
        <v>15.100555406467754</v>
      </c>
      <c r="C9" t="s">
        <v>7</v>
      </c>
      <c r="E9" s="5">
        <f>E8/Conversion!$B$3</f>
        <v>7.2507488035578955</v>
      </c>
      <c r="F9" s="5">
        <f>F8/Conversion!$B$3</f>
        <v>20.70209029572078</v>
      </c>
    </row>
    <row r="10" spans="1:6">
      <c r="A10" t="s">
        <v>16</v>
      </c>
      <c r="B10" s="3">
        <f>4*(Conversion!$B$6/B4)*SINH(ACOSH(B6))</f>
        <v>3004228661.0764394</v>
      </c>
      <c r="C10" t="s">
        <v>5</v>
      </c>
      <c r="E10" s="3">
        <f>4*(Conversion!$B$6/E4)*SINH(ACOSH(E6))</f>
        <v>387521761.41083115</v>
      </c>
      <c r="F10" s="3">
        <f>4*(Conversion!$B$6/F4)*SINH(ACOSH(F6))</f>
        <v>12744776206.173864</v>
      </c>
    </row>
    <row r="11" spans="1:6">
      <c r="B11" s="5">
        <f>B10/Conversion!$C$3</f>
        <v>95.200216455519509</v>
      </c>
      <c r="C11" t="s">
        <v>7</v>
      </c>
      <c r="E11" s="5">
        <f>E10/Conversion!$B$3</f>
        <v>12.279823605433593</v>
      </c>
      <c r="F11" s="5">
        <f>F10/Conversion!$B$3</f>
        <v>403.85758759138417</v>
      </c>
    </row>
    <row r="13" spans="1:6">
      <c r="A13" t="s">
        <v>854</v>
      </c>
      <c r="B13">
        <v>20</v>
      </c>
    </row>
    <row r="14" spans="1:6">
      <c r="A14" t="s">
        <v>855</v>
      </c>
      <c r="B14">
        <v>0</v>
      </c>
    </row>
    <row r="15" spans="1:6">
      <c r="A15" t="s">
        <v>856</v>
      </c>
      <c r="B15" s="5">
        <f>B9+B13+IF(B14,B9,0)</f>
        <v>35.100555406467755</v>
      </c>
      <c r="C15" t="s">
        <v>857</v>
      </c>
      <c r="D15" s="5">
        <f>B11+B13+IF(B14,B11,0)</f>
        <v>115.20021645551951</v>
      </c>
    </row>
    <row r="16" spans="1:6">
      <c r="A16" t="s">
        <v>105</v>
      </c>
      <c r="B16" s="95">
        <v>1000</v>
      </c>
      <c r="E16" s="5"/>
    </row>
    <row r="17" spans="1:6">
      <c r="A17" t="s">
        <v>362</v>
      </c>
      <c r="B17" s="60">
        <v>6</v>
      </c>
      <c r="E17" s="69"/>
    </row>
    <row r="18" spans="1:6">
      <c r="A18" t="s">
        <v>853</v>
      </c>
      <c r="B18" s="60" t="s">
        <v>846</v>
      </c>
      <c r="C18" t="str">
        <f>LOOKUP(B18,Population!L9:L12,Population!M9:M12)</f>
        <v>Balanced Population Level based on developed technological cultures</v>
      </c>
      <c r="E18" s="69"/>
    </row>
    <row r="19" spans="1:6">
      <c r="A19" t="s">
        <v>748</v>
      </c>
      <c r="B19" s="54">
        <f>B40/B17*Geometry!C15*0.91</f>
        <v>3926154.6099568838</v>
      </c>
      <c r="C19" s="71"/>
      <c r="D19" s="44"/>
    </row>
    <row r="20" spans="1:6">
      <c r="A20" s="112" t="s">
        <v>767</v>
      </c>
      <c r="B20" s="111">
        <f>CEILING(POWER(B19*3/(4*PI()),1/3),2.5)*4</f>
        <v>400</v>
      </c>
      <c r="D20" s="44"/>
    </row>
    <row r="21" spans="1:6">
      <c r="A21" s="113"/>
      <c r="B21" s="114"/>
      <c r="C21" s="74"/>
    </row>
    <row r="22" spans="1:6" ht="17" thickBot="1">
      <c r="A22" t="s">
        <v>374</v>
      </c>
      <c r="B22" s="70">
        <v>425</v>
      </c>
      <c r="C22">
        <f>B22*2</f>
        <v>850</v>
      </c>
      <c r="E22" s="15"/>
    </row>
    <row r="23" spans="1:6">
      <c r="A23" s="126" t="s">
        <v>156</v>
      </c>
      <c r="B23" s="127" t="s">
        <v>810</v>
      </c>
      <c r="C23" s="128" t="s">
        <v>842</v>
      </c>
      <c r="D23" s="128" t="s">
        <v>862</v>
      </c>
      <c r="E23" s="129" t="s">
        <v>36</v>
      </c>
      <c r="F23" s="130" t="s">
        <v>38</v>
      </c>
    </row>
    <row r="24" spans="1:6">
      <c r="A24" s="131" t="s">
        <v>13</v>
      </c>
      <c r="B24" s="132">
        <v>0</v>
      </c>
      <c r="C24" s="133">
        <f>B9+1</f>
        <v>16.100555406467755</v>
      </c>
      <c r="D24" s="133">
        <f>B15</f>
        <v>35.100555406467755</v>
      </c>
      <c r="E24" s="134">
        <v>34</v>
      </c>
      <c r="F24" s="135">
        <v>100</v>
      </c>
    </row>
    <row r="25" spans="1:6">
      <c r="A25" s="131" t="s">
        <v>841</v>
      </c>
      <c r="B25" s="136">
        <f>LOOKUP(B24,'Population Model'!$A$3:$A$100,'Population Model'!$B$3:$B$100)</f>
        <v>829</v>
      </c>
      <c r="C25" s="136">
        <f>LOOKUP(C24,'Population Model'!$A$3:$A$100,'Population Model'!$B$3:$B$100)</f>
        <v>938</v>
      </c>
      <c r="D25" s="136">
        <f>LOOKUP(D24,'Population Model'!$A$3:$A$100,'Population Model'!$B$3:$B$100)</f>
        <v>985</v>
      </c>
      <c r="E25" s="133">
        <f>Population!B3</f>
        <v>989</v>
      </c>
      <c r="F25" s="137">
        <f>LOOKUP(F24,'Population Model'!$A$3:$A$100,'Population Model'!$B$3:$B$100)</f>
        <v>987</v>
      </c>
    </row>
    <row r="26" spans="1:6" ht="17" thickBot="1">
      <c r="A26" s="138" t="s">
        <v>840</v>
      </c>
      <c r="B26" s="139">
        <f>LOOKUP(B24,'Population Model'!$A$3:$A$100,'Population Model'!$C$3:$C$100)</f>
        <v>477</v>
      </c>
      <c r="C26" s="139">
        <f>LOOKUP(C24,'Population Model'!$A$3:$A$100,'Population Model'!$C$3:$C$100)</f>
        <v>419</v>
      </c>
      <c r="D26" s="139">
        <f>LOOKUP(D24,'Population Model'!$A$3:$A$100,'Population Model'!$C$3:$C$100)</f>
        <v>383</v>
      </c>
      <c r="E26" s="139">
        <f>LOOKUP(E24,'Population Model'!$A$3:$A$100,'Population Model'!$C$3:$C$100)</f>
        <v>385</v>
      </c>
      <c r="F26" s="140">
        <f>LOOKUP(F24,'Population Model'!$A$3:$A$100,'Population Model'!$C$3:$C$100)</f>
        <v>385</v>
      </c>
    </row>
    <row r="28" spans="1:6">
      <c r="A28" t="s">
        <v>734</v>
      </c>
      <c r="B28" s="17">
        <f>Population!C22</f>
        <v>396.1106548411986</v>
      </c>
      <c r="C28">
        <v>500</v>
      </c>
    </row>
    <row r="29" spans="1:6">
      <c r="A29" t="s">
        <v>735</v>
      </c>
      <c r="B29" s="17">
        <f>Population!C23</f>
        <v>202</v>
      </c>
      <c r="C29">
        <v>1000</v>
      </c>
    </row>
    <row r="30" spans="1:6">
      <c r="B30" s="17"/>
      <c r="D30" s="44"/>
    </row>
    <row r="31" spans="1:6">
      <c r="A31" t="s">
        <v>725</v>
      </c>
      <c r="B31" s="17" t="s">
        <v>726</v>
      </c>
      <c r="C31" t="s">
        <v>727</v>
      </c>
      <c r="D31" t="s">
        <v>736</v>
      </c>
      <c r="E31" t="s">
        <v>30</v>
      </c>
      <c r="F31" t="s">
        <v>737</v>
      </c>
    </row>
    <row r="32" spans="1:6">
      <c r="A32" t="s">
        <v>151</v>
      </c>
      <c r="B32" s="17">
        <f>Cattle!D11</f>
        <v>25000</v>
      </c>
    </row>
    <row r="33" spans="1:8">
      <c r="A33" t="s">
        <v>152</v>
      </c>
      <c r="B33" s="17">
        <f>Agriculture!C45*0.75</f>
        <v>4481635.2525148671</v>
      </c>
      <c r="G33" t="s">
        <v>797</v>
      </c>
    </row>
    <row r="34" spans="1:8">
      <c r="A34" t="s">
        <v>626</v>
      </c>
      <c r="B34" s="17">
        <f>B32+B33</f>
        <v>4506635.2525148671</v>
      </c>
      <c r="C34">
        <f>Geometry!C21*$B$17</f>
        <v>4668789.9575381698</v>
      </c>
      <c r="D34" s="44">
        <f>C34/B34</f>
        <v>1.0359813244111147</v>
      </c>
      <c r="E34" s="4">
        <f>C34*Conversion!$F$18</f>
        <v>1153.704686407257</v>
      </c>
      <c r="F34" s="48">
        <f>E34/$B$16</f>
        <v>1.1537046864072571</v>
      </c>
    </row>
    <row r="35" spans="1:8">
      <c r="A35" t="s">
        <v>153</v>
      </c>
      <c r="B35" s="17">
        <f>B28*C28+B29*C29</f>
        <v>400055.32742059929</v>
      </c>
      <c r="C35">
        <f>Geometry!C20*$B$17</f>
        <v>579199.72957908222</v>
      </c>
      <c r="D35" s="44">
        <f t="shared" ref="D35:D37" si="0">C35/B35</f>
        <v>1.4477990664779699</v>
      </c>
      <c r="E35" s="4">
        <f>C35*Conversion!$F$18</f>
        <v>143.12604517628699</v>
      </c>
      <c r="F35" s="48">
        <f>E35/$B$16</f>
        <v>0.14312604517628699</v>
      </c>
    </row>
    <row r="36" spans="1:8">
      <c r="A36" t="s">
        <v>724</v>
      </c>
      <c r="B36" s="17">
        <f>B16*40*Conversion!E15/1000</f>
        <v>161874.2568</v>
      </c>
      <c r="C36">
        <f>Geometry!C19*$B$17</f>
        <v>158996.00419817946</v>
      </c>
      <c r="D36" s="44">
        <f t="shared" si="0"/>
        <v>0.98221920731116197</v>
      </c>
      <c r="E36" s="4">
        <f>C36*Conversion!$F$18</f>
        <v>39.289502597412124</v>
      </c>
      <c r="F36" s="48">
        <f>E36/$B$16</f>
        <v>3.9289502597412124E-2</v>
      </c>
    </row>
    <row r="37" spans="1:8">
      <c r="A37" t="s">
        <v>622</v>
      </c>
      <c r="B37" s="17">
        <f>(B63+B65+Agriculture!E40)/1000/2</f>
        <v>108781.90166921503</v>
      </c>
      <c r="C37">
        <f>Geometry!C22*$B$17</f>
        <v>117131.14049644186</v>
      </c>
      <c r="D37" s="44">
        <f t="shared" si="0"/>
        <v>1.0767520947796561</v>
      </c>
      <c r="E37" s="4">
        <f>C37*Conversion!$F$18</f>
        <v>28.944276128075746</v>
      </c>
      <c r="F37" s="48">
        <f>E37/$B$16</f>
        <v>2.8944276128075746E-2</v>
      </c>
    </row>
    <row r="38" spans="1:8">
      <c r="A38" t="s">
        <v>740</v>
      </c>
      <c r="B38" s="17">
        <f>E25*250</f>
        <v>247250</v>
      </c>
      <c r="C38">
        <f>Geometry!C23*$B$17</f>
        <v>253257.92097281435</v>
      </c>
      <c r="D38" s="44">
        <f t="shared" ref="D38" si="1">C38/B38</f>
        <v>1.0242989725897447</v>
      </c>
      <c r="E38" s="4">
        <f>C38*Conversion!$F$18</f>
        <v>62.582564851592146</v>
      </c>
      <c r="F38" s="48">
        <f>E38/$B$16</f>
        <v>6.2582564851592151E-2</v>
      </c>
    </row>
    <row r="39" spans="1:8">
      <c r="B39" s="17"/>
    </row>
    <row r="40" spans="1:8">
      <c r="A40" t="s">
        <v>155</v>
      </c>
      <c r="B40" s="50">
        <f>SUM(B34:B37)</f>
        <v>5177346.7384046819</v>
      </c>
      <c r="C40" s="71">
        <f>B55</f>
        <v>6686879.9631658737</v>
      </c>
      <c r="D40" s="44">
        <f>C40/B40</f>
        <v>1.2915650237531378</v>
      </c>
      <c r="E40" t="s">
        <v>233</v>
      </c>
      <c r="F40">
        <f>B44/B16</f>
        <v>1.652364025103187</v>
      </c>
    </row>
    <row r="41" spans="1:8">
      <c r="A41" t="s">
        <v>18</v>
      </c>
      <c r="B41" s="99">
        <f>B55</f>
        <v>6686879.9631658737</v>
      </c>
      <c r="C41" t="s">
        <v>20</v>
      </c>
      <c r="E41">
        <f>19000*6000</f>
        <v>114000000</v>
      </c>
      <c r="F41" s="22">
        <f>E41/B41</f>
        <v>17.048309619427833</v>
      </c>
    </row>
    <row r="42" spans="1:8">
      <c r="B42" s="100">
        <f>B41/1000000</f>
        <v>6.6868799631658735</v>
      </c>
      <c r="C42" t="s">
        <v>28</v>
      </c>
    </row>
    <row r="43" spans="1:8">
      <c r="B43" s="101">
        <f>B41/5400</f>
        <v>1238.3111042899766</v>
      </c>
      <c r="C43" t="s">
        <v>29</v>
      </c>
      <c r="H43">
        <f>750/0.26</f>
        <v>2884.6153846153843</v>
      </c>
    </row>
    <row r="44" spans="1:8">
      <c r="B44" s="101">
        <f>B41/4046.85642</f>
        <v>1652.364025103187</v>
      </c>
      <c r="C44" t="s">
        <v>30</v>
      </c>
      <c r="G44">
        <v>109.72799999999999</v>
      </c>
      <c r="H44">
        <f>G44/H43</f>
        <v>3.8039040000000003E-2</v>
      </c>
    </row>
    <row r="45" spans="1:8">
      <c r="B45" s="17">
        <f>B41/2590000</f>
        <v>2.5818069355852793</v>
      </c>
      <c r="C45" t="s">
        <v>31</v>
      </c>
    </row>
    <row r="46" spans="1:8">
      <c r="A46" t="s">
        <v>284</v>
      </c>
      <c r="B46" s="101">
        <f>B16/(180)</f>
        <v>5.5555555555555554</v>
      </c>
      <c r="C46" t="s">
        <v>31</v>
      </c>
    </row>
    <row r="47" spans="1:8">
      <c r="E47" s="7"/>
    </row>
    <row r="48" spans="1:8">
      <c r="A48" t="s">
        <v>373</v>
      </c>
      <c r="B48" s="70">
        <f>Geometry!E40</f>
        <v>110</v>
      </c>
      <c r="C48">
        <f>B22/B48</f>
        <v>3.8636363636363638</v>
      </c>
      <c r="D48">
        <f>B48*2</f>
        <v>220</v>
      </c>
      <c r="E48" s="69"/>
    </row>
    <row r="49" spans="1:9">
      <c r="A49" t="s">
        <v>367</v>
      </c>
      <c r="B49" s="52">
        <f>Geometry!C18</f>
        <v>1114479.9938609789</v>
      </c>
      <c r="C49" s="4">
        <f>B49*Conversion!F18</f>
        <v>275.39915128298645</v>
      </c>
      <c r="E49" s="15"/>
      <c r="G49" s="4"/>
      <c r="I49" s="4"/>
    </row>
    <row r="50" spans="1:9">
      <c r="A50" t="s">
        <v>371</v>
      </c>
      <c r="B50" s="57">
        <f>Geometry!E38</f>
        <v>43</v>
      </c>
      <c r="E50" s="15"/>
      <c r="G50" s="4"/>
      <c r="I50" s="4"/>
    </row>
    <row r="51" spans="1:9">
      <c r="A51" t="s">
        <v>366</v>
      </c>
      <c r="B51" s="52">
        <f>Geometry!E45</f>
        <v>152053.084433746</v>
      </c>
      <c r="E51" s="15"/>
      <c r="G51" s="4"/>
    </row>
    <row r="52" spans="1:9">
      <c r="A52" t="s">
        <v>368</v>
      </c>
      <c r="B52" s="52">
        <f>Geometry!E46</f>
        <v>5575279.7625706857</v>
      </c>
      <c r="E52" s="7"/>
      <c r="I52" s="59"/>
    </row>
    <row r="53" spans="1:9">
      <c r="A53" t="s">
        <v>369</v>
      </c>
      <c r="B53" s="52">
        <f>Geometry!E48</f>
        <v>1520530844.33746</v>
      </c>
      <c r="E53" s="7"/>
      <c r="G53" s="59"/>
    </row>
    <row r="54" spans="1:9">
      <c r="A54" t="s">
        <v>391</v>
      </c>
      <c r="B54" s="52">
        <f>B52*B69</f>
        <v>1001020234.8968967</v>
      </c>
      <c r="E54" s="7"/>
      <c r="G54" s="59"/>
    </row>
    <row r="55" spans="1:9">
      <c r="A55" t="s">
        <v>372</v>
      </c>
      <c r="B55" s="52">
        <f>B49*B17</f>
        <v>6686879.9631658737</v>
      </c>
      <c r="E55" s="7"/>
      <c r="G55" s="59"/>
    </row>
    <row r="57" spans="1:9">
      <c r="A57" t="s">
        <v>305</v>
      </c>
      <c r="B57" s="50">
        <f>Agriculture!C47</f>
        <v>6546924.2981412606</v>
      </c>
    </row>
    <row r="58" spans="1:9">
      <c r="A58" t="s">
        <v>24</v>
      </c>
      <c r="B58" s="50">
        <f>Agriculture!C47*Conversion!B10</f>
        <v>11129771306.840143</v>
      </c>
      <c r="C58" t="s">
        <v>52</v>
      </c>
    </row>
    <row r="59" spans="1:9">
      <c r="B59" s="3"/>
    </row>
    <row r="60" spans="1:9">
      <c r="A60" t="s">
        <v>26</v>
      </c>
      <c r="B60" s="50">
        <f>D61+B67+B65+B64*B16+D63+D62</f>
        <v>51738048936.542435</v>
      </c>
      <c r="C60" t="s">
        <v>52</v>
      </c>
      <c r="D60" s="4">
        <f>B60/(1046000*1016.4)</f>
        <v>48.664661441971582</v>
      </c>
      <c r="E60" t="s">
        <v>71</v>
      </c>
      <c r="F60" s="3"/>
    </row>
    <row r="61" spans="1:9">
      <c r="A61" t="s">
        <v>72</v>
      </c>
      <c r="B61" s="65">
        <v>28000000000</v>
      </c>
      <c r="C61" t="s">
        <v>52</v>
      </c>
      <c r="D61" s="64">
        <f>SUM(B76:B83)</f>
        <v>26970085492.815968</v>
      </c>
      <c r="E61" t="s">
        <v>52</v>
      </c>
    </row>
    <row r="62" spans="1:9">
      <c r="A62" t="s">
        <v>70</v>
      </c>
      <c r="B62" s="65">
        <v>30000000000</v>
      </c>
      <c r="D62" s="64">
        <f>B92+B94</f>
        <v>23571359471.424961</v>
      </c>
      <c r="E62" s="3" t="s">
        <v>52</v>
      </c>
      <c r="F62" s="3" t="s">
        <v>199</v>
      </c>
    </row>
    <row r="63" spans="1:9">
      <c r="A63" t="s">
        <v>671</v>
      </c>
      <c r="B63" s="65">
        <v>200000000</v>
      </c>
      <c r="D63" s="50">
        <f>B82*0.25+(B76+B77+B65)*B66</f>
        <v>181603972.30150455</v>
      </c>
      <c r="E63" s="3" t="s">
        <v>52</v>
      </c>
    </row>
    <row r="64" spans="1:9">
      <c r="A64" t="s">
        <v>347</v>
      </c>
      <c r="B64" s="65">
        <v>5000</v>
      </c>
      <c r="E64" s="3"/>
    </row>
    <row r="65" spans="1:6">
      <c r="A65" t="s">
        <v>260</v>
      </c>
      <c r="B65" s="52">
        <f>B16*10000</f>
        <v>10000000</v>
      </c>
      <c r="E65" s="3"/>
    </row>
    <row r="66" spans="1:6">
      <c r="A66" t="s">
        <v>621</v>
      </c>
      <c r="B66" s="52">
        <v>10</v>
      </c>
      <c r="E66" s="3"/>
    </row>
    <row r="67" spans="1:6">
      <c r="A67" t="s">
        <v>138</v>
      </c>
      <c r="B67" s="52">
        <v>1000000000</v>
      </c>
      <c r="E67" t="s">
        <v>819</v>
      </c>
    </row>
    <row r="68" spans="1:6">
      <c r="B68" s="60">
        <f>3220/(390*55*30)</f>
        <v>5.0038850038850039E-3</v>
      </c>
      <c r="C68" t="s">
        <v>384</v>
      </c>
    </row>
    <row r="69" spans="1:6">
      <c r="A69" t="s">
        <v>229</v>
      </c>
      <c r="B69" s="60">
        <f>B68*1016.04691/0.0283168466</f>
        <v>179.54618916474604</v>
      </c>
    </row>
    <row r="70" spans="1:6">
      <c r="A70" t="s">
        <v>332</v>
      </c>
      <c r="B70" s="60">
        <v>310</v>
      </c>
      <c r="E70" t="s">
        <v>346</v>
      </c>
      <c r="F70" s="68" t="s">
        <v>344</v>
      </c>
    </row>
    <row r="71" spans="1:6">
      <c r="A71" t="s">
        <v>349</v>
      </c>
      <c r="B71" s="60">
        <v>10000</v>
      </c>
      <c r="C71" t="s">
        <v>339</v>
      </c>
      <c r="F71" t="s">
        <v>350</v>
      </c>
    </row>
    <row r="72" spans="1:6">
      <c r="B72" s="60"/>
      <c r="E72" t="s">
        <v>354</v>
      </c>
      <c r="F72" t="s">
        <v>353</v>
      </c>
    </row>
    <row r="73" spans="1:6">
      <c r="B73" s="50">
        <f>SUM(B61:B67)</f>
        <v>59210005010</v>
      </c>
      <c r="C73" t="s">
        <v>52</v>
      </c>
      <c r="E73" s="3"/>
    </row>
    <row r="74" spans="1:6">
      <c r="A74" t="s">
        <v>57</v>
      </c>
      <c r="B74" s="50">
        <f>(B73)*B4/1000</f>
        <v>580258049.09800005</v>
      </c>
      <c r="C74" t="s">
        <v>191</v>
      </c>
      <c r="E74" t="s">
        <v>64</v>
      </c>
    </row>
    <row r="75" spans="1:6">
      <c r="A75" t="s">
        <v>160</v>
      </c>
      <c r="B75" s="54">
        <v>1000</v>
      </c>
    </row>
    <row r="76" spans="1:6">
      <c r="A76" t="s">
        <v>25</v>
      </c>
      <c r="B76" s="50">
        <f>B74/B75*3</f>
        <v>1740774.1472940003</v>
      </c>
      <c r="C76" t="s">
        <v>52</v>
      </c>
      <c r="E76" t="s">
        <v>63</v>
      </c>
      <c r="F76" t="s">
        <v>60</v>
      </c>
    </row>
    <row r="77" spans="1:6">
      <c r="A77" t="s">
        <v>161</v>
      </c>
      <c r="B77" s="50">
        <f>'Power Consumption'!C41</f>
        <v>2232135.5665548691</v>
      </c>
      <c r="C77" t="s">
        <v>52</v>
      </c>
      <c r="D77" s="3">
        <f>B77/B76</f>
        <v>1.282266036650809</v>
      </c>
      <c r="E77" s="82">
        <f>B77/12</f>
        <v>186011.29721290575</v>
      </c>
    </row>
    <row r="78" spans="1:6">
      <c r="A78" t="s">
        <v>342</v>
      </c>
      <c r="B78" s="50">
        <f>B58</f>
        <v>11129771306.840143</v>
      </c>
    </row>
    <row r="79" spans="1:6">
      <c r="A79" t="s">
        <v>351</v>
      </c>
      <c r="B79" s="50">
        <f>B52*B17*Conversion!B9*0.9</f>
        <v>36880475.629405089</v>
      </c>
      <c r="C79" t="s">
        <v>52</v>
      </c>
      <c r="E79" t="s">
        <v>352</v>
      </c>
    </row>
    <row r="80" spans="1:6">
      <c r="A80" t="s">
        <v>348</v>
      </c>
      <c r="B80" s="50">
        <f>B53*B17</f>
        <v>9123185066.0247612</v>
      </c>
    </row>
    <row r="81" spans="1:7">
      <c r="A81" t="s">
        <v>392</v>
      </c>
      <c r="B81" s="50">
        <f>B54*B17</f>
        <v>6006121409.3813801</v>
      </c>
      <c r="C81" s="3"/>
      <c r="D81" s="3"/>
      <c r="E81" s="3"/>
    </row>
    <row r="82" spans="1:7">
      <c r="A82" t="s">
        <v>261</v>
      </c>
      <c r="B82" s="50">
        <f>(B61+B62+SUM(B76:B81))*Conversion!B24*3/Conversion!B23</f>
        <v>167499500.65206331</v>
      </c>
      <c r="C82" s="48">
        <f>B82/D61</f>
        <v>6.2105661732766932E-3</v>
      </c>
      <c r="D82" s="48"/>
    </row>
    <row r="83" spans="1:7">
      <c r="A83" t="s">
        <v>604</v>
      </c>
      <c r="B83" s="50">
        <f>Geometry!E62</f>
        <v>502654824.57436621</v>
      </c>
      <c r="C83" s="48"/>
      <c r="D83" s="48"/>
    </row>
    <row r="84" spans="1:7">
      <c r="A84" t="s">
        <v>65</v>
      </c>
      <c r="B84" s="49">
        <f>D61</f>
        <v>26970085492.815968</v>
      </c>
      <c r="C84" s="11">
        <f>B76/D61</f>
        <v>6.4544628446123792E-5</v>
      </c>
      <c r="D84" s="11"/>
    </row>
    <row r="85" spans="1:7">
      <c r="B85" s="63">
        <f>D61/Conversion!B31</f>
        <v>25.367985584046838</v>
      </c>
      <c r="C85" t="s">
        <v>71</v>
      </c>
    </row>
    <row r="86" spans="1:7">
      <c r="A86" t="s">
        <v>168</v>
      </c>
      <c r="B86" s="50">
        <f>'Power Consumption'!C38</f>
        <v>5.0520903105145081E-11</v>
      </c>
      <c r="C86" t="s">
        <v>170</v>
      </c>
      <c r="E86" t="s">
        <v>169</v>
      </c>
      <c r="F86" t="s">
        <v>56</v>
      </c>
    </row>
    <row r="88" spans="1:7">
      <c r="A88" t="s">
        <v>165</v>
      </c>
      <c r="B88" s="50">
        <f>'Power Consumption'!C42*'Power Consumption'!C7</f>
        <v>6642833788.8085699</v>
      </c>
    </row>
    <row r="89" spans="1:7">
      <c r="A89" t="s">
        <v>164</v>
      </c>
      <c r="B89" s="50">
        <f>B74*B86*(B8/3600)</f>
        <v>3880.4111919150046</v>
      </c>
    </row>
    <row r="90" spans="1:7">
      <c r="A90" t="s">
        <v>198</v>
      </c>
      <c r="B90" s="50">
        <f>B88+B89</f>
        <v>6642837669.2197618</v>
      </c>
    </row>
    <row r="91" spans="1:7">
      <c r="A91" t="s">
        <v>58</v>
      </c>
      <c r="B91" s="3">
        <f>B90*(100/(100+3000))</f>
        <v>214285086.10386327</v>
      </c>
      <c r="C91" t="s">
        <v>52</v>
      </c>
      <c r="E91" t="s">
        <v>192</v>
      </c>
      <c r="F91" s="23" t="s">
        <v>56</v>
      </c>
    </row>
    <row r="92" spans="1:7">
      <c r="A92" t="s">
        <v>59</v>
      </c>
      <c r="B92" s="3">
        <f>B90*(3000/(100+3000))</f>
        <v>6428552583.1158991</v>
      </c>
      <c r="C92" t="s">
        <v>52</v>
      </c>
      <c r="E92" t="s">
        <v>193</v>
      </c>
      <c r="F92" t="s">
        <v>56</v>
      </c>
    </row>
    <row r="93" spans="1:7">
      <c r="A93" t="s">
        <v>196</v>
      </c>
      <c r="B93" s="3">
        <f>B91/Conversion!B7*4</f>
        <v>1.4233482969369861E-15</v>
      </c>
      <c r="C93" t="s">
        <v>197</v>
      </c>
    </row>
    <row r="94" spans="1:7">
      <c r="B94" s="3">
        <f>B93*(4+16)*Conversion!B7</f>
        <v>17142806888.309061</v>
      </c>
      <c r="C94" t="s">
        <v>52</v>
      </c>
      <c r="E94" s="87">
        <f>B94/B80</f>
        <v>1.8790375032673412</v>
      </c>
    </row>
    <row r="96" spans="1:7">
      <c r="E96" s="4"/>
      <c r="G96" s="47"/>
    </row>
    <row r="98" spans="1:6">
      <c r="A98" t="s">
        <v>200</v>
      </c>
      <c r="B98" s="3">
        <f>B94/B99</f>
        <v>1.710858970889128E+17</v>
      </c>
      <c r="C98" t="s">
        <v>52</v>
      </c>
      <c r="E98" t="s">
        <v>62</v>
      </c>
      <c r="F98" t="s">
        <v>61</v>
      </c>
    </row>
    <row r="99" spans="1:6">
      <c r="B99" s="3">
        <f>(33.4*3)/1000/1000000</f>
        <v>1.0019999999999998E-7</v>
      </c>
      <c r="E99" t="s">
        <v>201</v>
      </c>
      <c r="F99" t="s">
        <v>195</v>
      </c>
    </row>
    <row r="100" spans="1:6">
      <c r="B100" s="4">
        <f>B98/220000000000000</f>
        <v>777.66316858596724</v>
      </c>
      <c r="E100" t="s">
        <v>202</v>
      </c>
    </row>
    <row r="101" spans="1:6">
      <c r="B101" s="4"/>
    </row>
    <row r="102" spans="1:6">
      <c r="A102" t="s">
        <v>203</v>
      </c>
      <c r="B102" s="3">
        <f>B94/B103</f>
        <v>5.132576912667383E+17</v>
      </c>
    </row>
    <row r="103" spans="1:6">
      <c r="B103" s="3">
        <f>(33.4)/1000/1000000</f>
        <v>3.3400000000000001E-8</v>
      </c>
    </row>
    <row r="104" spans="1:6">
      <c r="B104" s="56">
        <f>200000000*1000000000000</f>
        <v>2E+20</v>
      </c>
      <c r="E104" t="s">
        <v>205</v>
      </c>
    </row>
    <row r="105" spans="1:6">
      <c r="B105" s="3">
        <f>B102/B104</f>
        <v>2.5662884563336917E-3</v>
      </c>
      <c r="E105" t="s">
        <v>204</v>
      </c>
    </row>
  </sheetData>
  <hyperlinks>
    <hyperlink ref="F91" r:id="rId1" xr:uid="{440F8B25-ECA3-FF40-B914-AC6B05C395EC}"/>
  </hyperlinks>
  <pageMargins left="0.7" right="0.7" top="0.75" bottom="0.75" header="0.3" footer="0.3"/>
  <pageSetup orientation="portrait" horizontalDpi="0" verticalDpi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ED8CC38-60B7-F145-B437-6B6CCD293042}">
          <x14:formula1>
            <xm:f>Population!$L$3:$L$7</xm:f>
          </x14:formula1>
          <xm:sqref>B18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E2E0A3-DE4C-BD4F-9029-36C92E1BA4D3}">
  <dimension ref="A1:T13"/>
  <sheetViews>
    <sheetView topLeftCell="G1" workbookViewId="0">
      <selection activeCell="B4" sqref="B4"/>
    </sheetView>
  </sheetViews>
  <sheetFormatPr baseColWidth="10" defaultRowHeight="16"/>
  <cols>
    <col min="1" max="1" width="27.6640625" bestFit="1" customWidth="1"/>
    <col min="2" max="2" width="10.6640625" bestFit="1" customWidth="1"/>
    <col min="3" max="3" width="9.6640625" bestFit="1" customWidth="1"/>
    <col min="4" max="8" width="27.6640625" customWidth="1"/>
    <col min="10" max="10" width="11.6640625" bestFit="1" customWidth="1"/>
    <col min="11" max="11" width="11.6640625" customWidth="1"/>
    <col min="12" max="12" width="12.6640625" bestFit="1" customWidth="1"/>
    <col min="13" max="13" width="13" customWidth="1"/>
  </cols>
  <sheetData>
    <row r="1" spans="1:20">
      <c r="B1" t="s">
        <v>722</v>
      </c>
      <c r="C1" t="s">
        <v>640</v>
      </c>
    </row>
    <row r="2" spans="1:20">
      <c r="B2" t="s">
        <v>825</v>
      </c>
      <c r="D2" t="s">
        <v>826</v>
      </c>
    </row>
    <row r="3" spans="1:20">
      <c r="A3" t="s">
        <v>716</v>
      </c>
      <c r="B3">
        <f>SUM(H:H)</f>
        <v>562707.68452380947</v>
      </c>
      <c r="C3">
        <f>CEILING(B3/2000,1)</f>
        <v>282</v>
      </c>
    </row>
    <row r="4" spans="1:20">
      <c r="A4" t="s">
        <v>717</v>
      </c>
      <c r="B4">
        <f>SUM(F:F)</f>
        <v>16002.691279592707</v>
      </c>
      <c r="C4">
        <f>CEILING(B4/2000,1)</f>
        <v>9</v>
      </c>
    </row>
    <row r="5" spans="1:20">
      <c r="A5" t="s">
        <v>822</v>
      </c>
      <c r="B5">
        <v>10</v>
      </c>
    </row>
    <row r="7" spans="1:20">
      <c r="A7" t="s">
        <v>673</v>
      </c>
      <c r="B7" t="s">
        <v>714</v>
      </c>
      <c r="C7" t="s">
        <v>715</v>
      </c>
      <c r="D7" t="s">
        <v>156</v>
      </c>
      <c r="E7" t="s">
        <v>718</v>
      </c>
      <c r="F7" t="s">
        <v>719</v>
      </c>
      <c r="G7" t="s">
        <v>720</v>
      </c>
      <c r="H7" t="s">
        <v>721</v>
      </c>
      <c r="I7" t="s">
        <v>676</v>
      </c>
      <c r="J7" t="s">
        <v>631</v>
      </c>
      <c r="K7" t="s">
        <v>677</v>
      </c>
      <c r="L7" t="s">
        <v>678</v>
      </c>
      <c r="M7">
        <v>24</v>
      </c>
      <c r="N7">
        <f>24*7</f>
        <v>168</v>
      </c>
      <c r="O7">
        <v>320</v>
      </c>
      <c r="P7">
        <v>960</v>
      </c>
      <c r="Q7">
        <v>3840</v>
      </c>
      <c r="R7">
        <v>5760</v>
      </c>
      <c r="S7">
        <v>11520</v>
      </c>
      <c r="T7">
        <v>15360</v>
      </c>
    </row>
    <row r="8" spans="1:20">
      <c r="A8" t="s">
        <v>675</v>
      </c>
      <c r="B8" s="59">
        <f>SUM(G:G)*SUM(D10:D13)/1000</f>
        <v>2082.326309523809</v>
      </c>
      <c r="C8">
        <v>1</v>
      </c>
      <c r="D8">
        <f>CEILING(B8*C8,1)</f>
        <v>2083</v>
      </c>
      <c r="E8">
        <v>1</v>
      </c>
      <c r="F8" s="5">
        <f>E8*B8</f>
        <v>2082.326309523809</v>
      </c>
      <c r="G8" s="5">
        <f>SUM(J8:L8)*3840/I8</f>
        <v>133.88690476190476</v>
      </c>
      <c r="H8" s="5">
        <f>G8*D8</f>
        <v>278886.42261904763</v>
      </c>
      <c r="I8">
        <f>I10*3</f>
        <v>46080</v>
      </c>
      <c r="J8">
        <v>1000</v>
      </c>
      <c r="K8">
        <f>J8*0.25</f>
        <v>250</v>
      </c>
      <c r="L8" s="5">
        <f>M8*(I8/$M$7)+N8*(I8/$N$7)+O8*(I8/$O$7)+P8*(I8/$P$7)+Q8*(I8/$Q$7)+R8*(I8/$R$7)+S8*(I8/$S$7)+T8*(I8/$T$7)</f>
        <v>356.64285714285711</v>
      </c>
      <c r="M8" s="4">
        <f>1/60</f>
        <v>1.6666666666666666E-2</v>
      </c>
      <c r="N8" s="4">
        <f>2/60</f>
        <v>3.3333333333333333E-2</v>
      </c>
      <c r="O8" s="4">
        <f>5/60</f>
        <v>8.3333333333333329E-2</v>
      </c>
      <c r="P8">
        <v>1</v>
      </c>
      <c r="Q8">
        <v>1</v>
      </c>
      <c r="R8">
        <v>2</v>
      </c>
      <c r="S8">
        <v>10</v>
      </c>
      <c r="T8">
        <f>K8*0.25</f>
        <v>62.5</v>
      </c>
    </row>
    <row r="10" spans="1:20">
      <c r="A10" t="s">
        <v>674</v>
      </c>
      <c r="B10" s="59">
        <f>Vehicle!E25+Vehicle!B40/240</f>
        <v>22561.278076686176</v>
      </c>
      <c r="C10">
        <v>0.1</v>
      </c>
      <c r="D10" s="4">
        <f>CEILING(B10*C10,1)</f>
        <v>2257</v>
      </c>
      <c r="E10" s="4">
        <v>0.5</v>
      </c>
      <c r="F10" s="5">
        <f t="shared" ref="F10:F13" si="0">E10*B10</f>
        <v>11280.639038343088</v>
      </c>
      <c r="G10" s="5">
        <f>SUM(J10:L10)*3840/I10</f>
        <v>41.595238095238095</v>
      </c>
      <c r="H10" s="5">
        <f>G10*D10</f>
        <v>93880.452380952382</v>
      </c>
      <c r="I10">
        <f>15360</f>
        <v>15360</v>
      </c>
      <c r="J10">
        <v>100</v>
      </c>
      <c r="K10">
        <f>J10*0.1</f>
        <v>10</v>
      </c>
      <c r="L10" s="5">
        <f>M10*(I10/$M$7)+N10*(I10/$N$7)+O10*(I10/$O$7)+P10*(I10/$P$7)+Q10*(I10/$Q$7)+R10*(I10/$R$7)+S10*(I10/$S$7)+T10*(I10/$T$7)</f>
        <v>56.38095238095238</v>
      </c>
      <c r="M10" s="4">
        <f>1/60</f>
        <v>1.6666666666666666E-2</v>
      </c>
      <c r="N10" s="4">
        <f>2/60</f>
        <v>3.3333333333333333E-2</v>
      </c>
      <c r="O10" s="4">
        <f>5/60</f>
        <v>8.3333333333333329E-2</v>
      </c>
      <c r="P10">
        <v>1</v>
      </c>
      <c r="Q10">
        <v>1</v>
      </c>
      <c r="R10">
        <v>2</v>
      </c>
      <c r="S10">
        <v>10</v>
      </c>
    </row>
    <row r="11" spans="1:20">
      <c r="A11" t="s">
        <v>713</v>
      </c>
      <c r="B11" s="59">
        <f>(Agriculture!E37+Agriculture!E38)/1000</f>
        <v>1080.5433340614379</v>
      </c>
      <c r="C11">
        <v>0.1</v>
      </c>
      <c r="D11" s="4">
        <f t="shared" ref="D11:D13" si="1">CEILING(B11*C11,1)</f>
        <v>109</v>
      </c>
      <c r="E11" s="4">
        <v>1</v>
      </c>
      <c r="F11" s="5">
        <f t="shared" si="0"/>
        <v>1080.5433340614379</v>
      </c>
      <c r="G11" s="5">
        <f>SUM(J11:L11)*3840/I11</f>
        <v>133.88690476190476</v>
      </c>
      <c r="H11" s="5">
        <f t="shared" ref="H11:H12" si="2">G11*D11</f>
        <v>14593.672619047618</v>
      </c>
      <c r="I11">
        <f>I8</f>
        <v>46080</v>
      </c>
      <c r="J11">
        <v>1000</v>
      </c>
      <c r="K11">
        <f>J11*0.25</f>
        <v>250</v>
      </c>
      <c r="L11" s="5">
        <f>M11*(I11/$M$7)+N11*(I11/$N$7)+O11*(I11/$O$7)+P11*(I11/$P$7)+Q11*(I11/$Q$7)+R11*(I11/$R$7)+S11*(I11/$S$7)+T11*(I11/$T$7)</f>
        <v>356.64285714285711</v>
      </c>
      <c r="M11" s="4">
        <f>1/60</f>
        <v>1.6666666666666666E-2</v>
      </c>
      <c r="N11" s="4">
        <f>2/60</f>
        <v>3.3333333333333333E-2</v>
      </c>
      <c r="O11" s="4">
        <f>5/60</f>
        <v>8.3333333333333329E-2</v>
      </c>
      <c r="P11">
        <v>1</v>
      </c>
      <c r="Q11">
        <v>1</v>
      </c>
      <c r="R11">
        <v>2</v>
      </c>
      <c r="S11">
        <v>10</v>
      </c>
      <c r="T11">
        <f>K11*0.25</f>
        <v>62.5</v>
      </c>
    </row>
    <row r="12" spans="1:20">
      <c r="A12" t="s">
        <v>679</v>
      </c>
      <c r="B12" s="59">
        <f>SUM(Crops!AD:AD)/100</f>
        <v>570.18259766437268</v>
      </c>
      <c r="C12">
        <v>0.25</v>
      </c>
      <c r="D12" s="4">
        <f t="shared" si="1"/>
        <v>143</v>
      </c>
      <c r="E12" s="4">
        <v>1</v>
      </c>
      <c r="F12" s="5">
        <f t="shared" si="0"/>
        <v>570.18259766437268</v>
      </c>
      <c r="G12" s="5">
        <f>SUM(J12:L12)*3840/I12</f>
        <v>41.595238095238095</v>
      </c>
      <c r="H12" s="5">
        <f t="shared" si="2"/>
        <v>5948.1190476190477</v>
      </c>
      <c r="I12">
        <f>15360</f>
        <v>15360</v>
      </c>
      <c r="J12">
        <v>100</v>
      </c>
      <c r="K12">
        <f>J12*0.1</f>
        <v>10</v>
      </c>
      <c r="L12" s="5">
        <f>M12*(I12/$M$7)+N12*(I12/$N$7)+O12*(I12/$O$7)+P12*(I12/$P$7)+Q12*(I12/$Q$7)+R12*(I12/$R$7)+S12*(I12/$S$7)+T12*(I12/$T$7)</f>
        <v>56.38095238095238</v>
      </c>
      <c r="M12" s="4">
        <f>1/60</f>
        <v>1.6666666666666666E-2</v>
      </c>
      <c r="N12" s="4">
        <f>2/60</f>
        <v>3.3333333333333333E-2</v>
      </c>
      <c r="O12" s="4">
        <f>5/60</f>
        <v>8.3333333333333329E-2</v>
      </c>
      <c r="P12">
        <v>1</v>
      </c>
      <c r="Q12">
        <v>1</v>
      </c>
      <c r="R12">
        <v>2</v>
      </c>
      <c r="S12">
        <v>10</v>
      </c>
    </row>
    <row r="13" spans="1:20">
      <c r="A13" t="s">
        <v>823</v>
      </c>
      <c r="B13">
        <f>(Vehicle!E25*B5)</f>
        <v>9890</v>
      </c>
      <c r="C13">
        <v>0.05</v>
      </c>
      <c r="D13" s="4">
        <f t="shared" si="1"/>
        <v>495</v>
      </c>
      <c r="E13" s="4">
        <v>0.1</v>
      </c>
      <c r="F13" s="5">
        <f t="shared" si="0"/>
        <v>989</v>
      </c>
      <c r="G13" s="5">
        <f>SUM(J13:L13)*3840/I13</f>
        <v>342.22023809523802</v>
      </c>
      <c r="H13" s="5">
        <f t="shared" ref="H13" si="3">G13*D13</f>
        <v>169399.01785714281</v>
      </c>
      <c r="I13">
        <f>I10</f>
        <v>15360</v>
      </c>
      <c r="J13">
        <v>1000</v>
      </c>
      <c r="K13">
        <f>J13*0.25</f>
        <v>250</v>
      </c>
      <c r="L13" s="5">
        <f>M13*(I13/$M$7)+N13*(I13/$N$7)+O13*(I13/$O$7)+P13*(I13/$P$7)+Q13*(I13/$Q$7)+R13*(I13/$R$7)+S13*(I13/$S$7)+T13*(I13/$T$7)</f>
        <v>118.88095238095238</v>
      </c>
      <c r="M13" s="4">
        <f>1/60</f>
        <v>1.6666666666666666E-2</v>
      </c>
      <c r="N13" s="4">
        <f>2/60</f>
        <v>3.3333333333333333E-2</v>
      </c>
      <c r="O13" s="4">
        <f>5/60</f>
        <v>8.3333333333333329E-2</v>
      </c>
      <c r="P13">
        <v>1</v>
      </c>
      <c r="Q13">
        <v>1</v>
      </c>
      <c r="R13">
        <v>2</v>
      </c>
      <c r="S13">
        <v>10</v>
      </c>
      <c r="T13">
        <f>K13*0.25</f>
        <v>62.5</v>
      </c>
    </row>
  </sheetData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7E40A2-0352-B744-BB5D-40DBFBFA564D}">
  <dimension ref="A1:H44"/>
  <sheetViews>
    <sheetView topLeftCell="A22" workbookViewId="0">
      <selection activeCell="D44" sqref="D44"/>
    </sheetView>
  </sheetViews>
  <sheetFormatPr baseColWidth="10" defaultRowHeight="16"/>
  <cols>
    <col min="1" max="1" width="23.83203125" bestFit="1" customWidth="1"/>
    <col min="2" max="3" width="12.1640625" bestFit="1" customWidth="1"/>
    <col min="4" max="4" width="14.6640625" customWidth="1"/>
  </cols>
  <sheetData>
    <row r="1" spans="1:8">
      <c r="A1" s="94" t="s">
        <v>709</v>
      </c>
      <c r="B1" t="s">
        <v>754</v>
      </c>
      <c r="C1" t="s">
        <v>755</v>
      </c>
      <c r="D1" t="s">
        <v>793</v>
      </c>
    </row>
    <row r="2" spans="1:8" ht="17">
      <c r="A2" s="94" t="s">
        <v>753</v>
      </c>
      <c r="B2">
        <v>365.25</v>
      </c>
      <c r="C2" s="106">
        <v>365.24250000000001</v>
      </c>
      <c r="D2">
        <v>360</v>
      </c>
    </row>
    <row r="3" spans="1:8">
      <c r="A3" t="s">
        <v>10</v>
      </c>
      <c r="B3">
        <f>B2*3600*24</f>
        <v>31557600</v>
      </c>
      <c r="C3" s="53">
        <f>C2*3600*24</f>
        <v>31556952</v>
      </c>
      <c r="D3">
        <f>D2*3600*24</f>
        <v>31104000</v>
      </c>
      <c r="E3" t="s">
        <v>139</v>
      </c>
    </row>
    <row r="4" spans="1:8">
      <c r="A4" t="s">
        <v>177</v>
      </c>
      <c r="B4">
        <f>B3/3600</f>
        <v>8766</v>
      </c>
      <c r="C4" s="53">
        <f>C3/3600</f>
        <v>8765.82</v>
      </c>
      <c r="D4">
        <f>D3/3600</f>
        <v>8640</v>
      </c>
    </row>
    <row r="5" spans="1:8">
      <c r="A5" t="s">
        <v>0</v>
      </c>
      <c r="B5">
        <v>9460700000000000</v>
      </c>
    </row>
    <row r="6" spans="1:8">
      <c r="A6" t="s">
        <v>17</v>
      </c>
      <c r="B6" s="3">
        <v>299792458</v>
      </c>
    </row>
    <row r="7" spans="1:8">
      <c r="A7" t="s">
        <v>194</v>
      </c>
      <c r="B7" s="3">
        <v>6.0220000000000003E+23</v>
      </c>
      <c r="E7">
        <v>2130</v>
      </c>
    </row>
    <row r="8" spans="1:8">
      <c r="A8" t="s">
        <v>356</v>
      </c>
      <c r="B8" s="3">
        <f>3*SQRT(3)</f>
        <v>5.196152422706632</v>
      </c>
      <c r="C8">
        <f>1.4422*3</f>
        <v>4.3266</v>
      </c>
    </row>
    <row r="9" spans="1:8">
      <c r="A9" t="s">
        <v>612</v>
      </c>
      <c r="B9">
        <v>1.2250000000000001</v>
      </c>
      <c r="C9" t="s">
        <v>229</v>
      </c>
    </row>
    <row r="10" spans="1:8">
      <c r="A10" t="s">
        <v>331</v>
      </c>
      <c r="B10">
        <v>1700</v>
      </c>
      <c r="C10" t="s">
        <v>229</v>
      </c>
    </row>
    <row r="11" spans="1:8">
      <c r="A11" t="s">
        <v>11</v>
      </c>
      <c r="B11">
        <v>9.8000000000000007</v>
      </c>
      <c r="C11" t="s">
        <v>4</v>
      </c>
    </row>
    <row r="13" spans="1:8">
      <c r="A13" s="94" t="s">
        <v>240</v>
      </c>
    </row>
    <row r="14" spans="1:8">
      <c r="A14" t="s">
        <v>79</v>
      </c>
      <c r="C14" t="s">
        <v>81</v>
      </c>
      <c r="D14" t="s">
        <v>149</v>
      </c>
      <c r="E14" t="s">
        <v>20</v>
      </c>
      <c r="F14" t="s">
        <v>706</v>
      </c>
      <c r="G14" t="s">
        <v>707</v>
      </c>
      <c r="H14" t="s">
        <v>708</v>
      </c>
    </row>
    <row r="15" spans="1:8">
      <c r="A15" t="s">
        <v>706</v>
      </c>
      <c r="C15">
        <v>4.0468600000000002E-3</v>
      </c>
      <c r="D15" s="48">
        <f>1/F17</f>
        <v>0.40468564300507887</v>
      </c>
      <c r="E15">
        <v>4046.8564200000001</v>
      </c>
      <c r="F15">
        <v>1</v>
      </c>
      <c r="G15">
        <v>1.5625000000000001E-3</v>
      </c>
    </row>
    <row r="16" spans="1:8" ht="17">
      <c r="A16" t="s">
        <v>81</v>
      </c>
      <c r="C16">
        <v>1</v>
      </c>
      <c r="D16">
        <v>100</v>
      </c>
      <c r="E16">
        <f>E17*D16</f>
        <v>1000000</v>
      </c>
      <c r="F16">
        <v>247.10538099999999</v>
      </c>
      <c r="G16" s="90">
        <v>0.38610216000000003</v>
      </c>
    </row>
    <row r="17" spans="1:7" ht="17">
      <c r="A17" t="s">
        <v>149</v>
      </c>
      <c r="C17">
        <f>1/D16</f>
        <v>0.01</v>
      </c>
      <c r="D17">
        <v>1</v>
      </c>
      <c r="E17" s="66">
        <v>10000</v>
      </c>
      <c r="F17" s="91">
        <v>2.4710538099999999</v>
      </c>
      <c r="G17">
        <v>3.8610200000000002E-3</v>
      </c>
    </row>
    <row r="18" spans="1:7" ht="17">
      <c r="A18" t="s">
        <v>20</v>
      </c>
      <c r="C18">
        <v>9.9999999999999995E-7</v>
      </c>
      <c r="D18">
        <f>1/E17</f>
        <v>1E-4</v>
      </c>
      <c r="E18" s="66">
        <v>1</v>
      </c>
      <c r="F18" s="93">
        <v>2.4710999999999998E-4</v>
      </c>
      <c r="G18" s="3">
        <v>3.861E-7</v>
      </c>
    </row>
    <row r="21" spans="1:7">
      <c r="A21" s="94" t="s">
        <v>516</v>
      </c>
    </row>
    <row r="22" spans="1:7" ht="17">
      <c r="A22" t="s">
        <v>446</v>
      </c>
      <c r="D22" s="92">
        <v>2241.7023100000001</v>
      </c>
    </row>
    <row r="23" spans="1:7" ht="20">
      <c r="A23" t="s">
        <v>21</v>
      </c>
      <c r="B23" s="20">
        <f>13790*3</f>
        <v>41370</v>
      </c>
      <c r="C23" t="s">
        <v>23</v>
      </c>
    </row>
    <row r="24" spans="1:7">
      <c r="A24" t="s">
        <v>22</v>
      </c>
      <c r="B24">
        <f>27.4</f>
        <v>27.4</v>
      </c>
    </row>
    <row r="25" spans="1:7">
      <c r="A25" t="s">
        <v>262</v>
      </c>
      <c r="B25" t="s">
        <v>267</v>
      </c>
    </row>
    <row r="26" spans="1:7">
      <c r="A26" t="s">
        <v>263</v>
      </c>
      <c r="B26">
        <v>640</v>
      </c>
      <c r="C26" t="s">
        <v>264</v>
      </c>
    </row>
    <row r="27" spans="1:7">
      <c r="A27" t="s">
        <v>265</v>
      </c>
      <c r="B27">
        <v>240</v>
      </c>
      <c r="C27" t="s">
        <v>264</v>
      </c>
    </row>
    <row r="28" spans="1:7">
      <c r="A28" t="s">
        <v>226</v>
      </c>
      <c r="B28">
        <v>8.4499999999999993</v>
      </c>
      <c r="C28" t="s">
        <v>266</v>
      </c>
      <c r="E28" t="s">
        <v>55</v>
      </c>
    </row>
    <row r="29" spans="1:7">
      <c r="A29" t="s">
        <v>27</v>
      </c>
      <c r="B29" s="3">
        <v>6668000000000000</v>
      </c>
      <c r="C29" t="s">
        <v>52</v>
      </c>
      <c r="D29" s="4">
        <f>B29/(Vehicle!B82+Vehicle!B76)</f>
        <v>39399605.134801641</v>
      </c>
    </row>
    <row r="30" spans="1:7">
      <c r="A30" t="s">
        <v>53</v>
      </c>
      <c r="B30" s="3">
        <v>9.1E+20</v>
      </c>
      <c r="C30" s="22"/>
      <c r="D30" s="4">
        <f>B30/(Vehicle!B58+Vehicle!B92)</f>
        <v>51827270399.115425</v>
      </c>
    </row>
    <row r="31" spans="1:7">
      <c r="A31" t="s">
        <v>185</v>
      </c>
      <c r="B31" s="3">
        <f>1046000*1016.4</f>
        <v>1063154400</v>
      </c>
      <c r="C31" t="s">
        <v>52</v>
      </c>
      <c r="D31" t="s">
        <v>186</v>
      </c>
    </row>
    <row r="32" spans="1:7">
      <c r="A32" t="s">
        <v>749</v>
      </c>
      <c r="B32">
        <v>0.74569987000000004</v>
      </c>
    </row>
    <row r="33" spans="1:7">
      <c r="A33" t="s">
        <v>750</v>
      </c>
      <c r="B33">
        <f>1/B32</f>
        <v>1.3410220924404881</v>
      </c>
    </row>
    <row r="34" spans="1:7">
      <c r="A34" t="s">
        <v>751</v>
      </c>
      <c r="B34" s="3">
        <v>312</v>
      </c>
      <c r="C34" t="s">
        <v>239</v>
      </c>
      <c r="D34" t="s">
        <v>238</v>
      </c>
    </row>
    <row r="36" spans="1:7">
      <c r="A36" t="s">
        <v>175</v>
      </c>
      <c r="B36" s="53">
        <f>1000/B3</f>
        <v>3.1688087814028949E-5</v>
      </c>
      <c r="C36" s="53">
        <f>1/B36</f>
        <v>31557.600000000002</v>
      </c>
    </row>
    <row r="37" spans="1:7">
      <c r="A37" t="s">
        <v>789</v>
      </c>
      <c r="B37" s="53">
        <f>1000/(3600*24)</f>
        <v>1.1574074074074073E-2</v>
      </c>
      <c r="C37">
        <f>1/B37</f>
        <v>86.4</v>
      </c>
    </row>
    <row r="39" spans="1:7">
      <c r="A39" t="s">
        <v>234</v>
      </c>
      <c r="B39" s="53">
        <f>41868/1000</f>
        <v>41.868000000000002</v>
      </c>
      <c r="D39" t="s">
        <v>235</v>
      </c>
    </row>
    <row r="40" spans="1:7">
      <c r="A40" t="s">
        <v>615</v>
      </c>
      <c r="B40">
        <v>333</v>
      </c>
      <c r="C40" t="s">
        <v>3</v>
      </c>
    </row>
    <row r="41" spans="1:7">
      <c r="A41" t="s">
        <v>617</v>
      </c>
      <c r="B41">
        <v>109.72799999999999</v>
      </c>
      <c r="C41" t="s">
        <v>3</v>
      </c>
    </row>
    <row r="43" spans="1:7">
      <c r="A43" t="s">
        <v>757</v>
      </c>
      <c r="B43" s="4">
        <v>3.24</v>
      </c>
      <c r="C43" t="s">
        <v>616</v>
      </c>
      <c r="D43">
        <f>Vehicle!C22</f>
        <v>850</v>
      </c>
      <c r="E43" t="s">
        <v>3</v>
      </c>
      <c r="F43">
        <f>B43/D43*Conversion!B40</f>
        <v>1.2693176470588237</v>
      </c>
      <c r="G43" t="s">
        <v>616</v>
      </c>
    </row>
    <row r="44" spans="1:7">
      <c r="A44" t="s">
        <v>758</v>
      </c>
      <c r="B44">
        <v>7.2</v>
      </c>
      <c r="C44" t="s">
        <v>616</v>
      </c>
      <c r="D44">
        <f>Vehicle!B48*2</f>
        <v>220</v>
      </c>
      <c r="E44" t="s">
        <v>3</v>
      </c>
      <c r="F44">
        <f>B44/D44*Conversion!B41</f>
        <v>3.591098181818182</v>
      </c>
      <c r="G44" t="s">
        <v>616</v>
      </c>
    </row>
  </sheetData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AE16D-229B-704F-BE6F-8C2D76F3DFDA}">
  <dimension ref="A1:D5"/>
  <sheetViews>
    <sheetView workbookViewId="0"/>
  </sheetViews>
  <sheetFormatPr baseColWidth="10" defaultRowHeight="16"/>
  <cols>
    <col min="1" max="1" width="17.33203125" bestFit="1" customWidth="1"/>
    <col min="4" max="4" width="18.6640625" bestFit="1" customWidth="1"/>
  </cols>
  <sheetData>
    <row r="1" spans="1:4">
      <c r="A1" t="s">
        <v>599</v>
      </c>
      <c r="B1" s="84">
        <f>1260/1.107</f>
        <v>1138.2113821138212</v>
      </c>
      <c r="C1" t="s">
        <v>600</v>
      </c>
      <c r="D1" s="85">
        <f>Vehicle!B91*B1</f>
        <v>243901724020.65738</v>
      </c>
    </row>
    <row r="2" spans="1:4">
      <c r="A2" t="s">
        <v>602</v>
      </c>
      <c r="B2">
        <f>314*10</f>
        <v>3140</v>
      </c>
      <c r="C2" t="s">
        <v>600</v>
      </c>
      <c r="D2" s="85">
        <f>Vehicle!B92*B2</f>
        <v>20185655110983.922</v>
      </c>
    </row>
    <row r="3" spans="1:4">
      <c r="A3" t="s">
        <v>603</v>
      </c>
      <c r="B3">
        <f>164*2</f>
        <v>328</v>
      </c>
      <c r="C3" t="s">
        <v>600</v>
      </c>
      <c r="D3" s="85">
        <f>Vehicle!B92*Costs!B3</f>
        <v>2108565247262.0149</v>
      </c>
    </row>
    <row r="5" spans="1:4">
      <c r="A5" t="s">
        <v>601</v>
      </c>
      <c r="B5">
        <f>0.04*2.2</f>
        <v>8.8000000000000009E-2</v>
      </c>
      <c r="C5" t="s">
        <v>600</v>
      </c>
      <c r="D5" s="85">
        <f>Vehicle!B82*Costs!B5</f>
        <v>14739956.057381572</v>
      </c>
    </row>
  </sheetData>
  <pageMargins left="0.7" right="0.7" top="0.75" bottom="0.75" header="0.3" footer="0.3"/>
  <pageSetup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83514-39E3-3B40-8427-EAE05288B8F8}">
  <dimension ref="A1:K64"/>
  <sheetViews>
    <sheetView topLeftCell="A7" workbookViewId="0">
      <selection activeCell="D23" sqref="D23"/>
    </sheetView>
  </sheetViews>
  <sheetFormatPr baseColWidth="10" defaultRowHeight="16"/>
  <cols>
    <col min="5" max="5" width="14.83203125" customWidth="1"/>
    <col min="6" max="9" width="14.1640625" customWidth="1"/>
  </cols>
  <sheetData>
    <row r="1" spans="1:11">
      <c r="A1" t="s">
        <v>374</v>
      </c>
      <c r="E1" s="4">
        <f>Vehicle!B22</f>
        <v>425</v>
      </c>
    </row>
    <row r="2" spans="1:11">
      <c r="A2" t="s">
        <v>364</v>
      </c>
      <c r="E2">
        <f>Vehicle!B71</f>
        <v>10000</v>
      </c>
      <c r="F2" t="s">
        <v>339</v>
      </c>
    </row>
    <row r="3" spans="1:11">
      <c r="A3" t="s">
        <v>8</v>
      </c>
      <c r="E3" s="48">
        <v>9.8000000000000007</v>
      </c>
    </row>
    <row r="4" spans="1:11">
      <c r="A4" t="s">
        <v>376</v>
      </c>
      <c r="E4" s="48">
        <f>SQRT(E3*1.05/E1)</f>
        <v>0.15560130046333917</v>
      </c>
      <c r="F4">
        <f>E3/E1</f>
        <v>2.3058823529411767E-2</v>
      </c>
    </row>
    <row r="5" spans="1:11">
      <c r="A5" t="s">
        <v>375</v>
      </c>
      <c r="E5" s="48">
        <f>E4*30/PI()</f>
        <v>1.4858829672160594</v>
      </c>
    </row>
    <row r="6" spans="1:11">
      <c r="A6" t="s">
        <v>387</v>
      </c>
      <c r="E6" s="48">
        <f>Vehicle!B69</f>
        <v>179.54618916474604</v>
      </c>
    </row>
    <row r="7" spans="1:11">
      <c r="A7" t="s">
        <v>390</v>
      </c>
      <c r="E7" s="48">
        <f>2*E1*PI()/6</f>
        <v>445.05895925855401</v>
      </c>
    </row>
    <row r="8" spans="1:11">
      <c r="A8" t="s">
        <v>388</v>
      </c>
      <c r="E8">
        <f>$F$4*($E$1-E41)/9.8</f>
        <v>0.4823529411764706</v>
      </c>
    </row>
    <row r="10" spans="1:11">
      <c r="A10" t="s">
        <v>595</v>
      </c>
      <c r="C10" s="4">
        <f>Geometry!E41</f>
        <v>220</v>
      </c>
      <c r="D10" s="4">
        <f>Geometry!E40</f>
        <v>110</v>
      </c>
      <c r="E10">
        <f>D10*D10</f>
        <v>12100</v>
      </c>
      <c r="F10">
        <f>D10*2</f>
        <v>220</v>
      </c>
    </row>
    <row r="11" spans="1:11">
      <c r="A11" t="s">
        <v>620</v>
      </c>
      <c r="C11" s="4">
        <v>0.9</v>
      </c>
      <c r="D11" s="4">
        <f>C10*C11</f>
        <v>198</v>
      </c>
    </row>
    <row r="12" spans="1:11">
      <c r="A12" t="s">
        <v>376</v>
      </c>
      <c r="C12" s="4">
        <f>Geometry!E4</f>
        <v>0.15560130046333917</v>
      </c>
      <c r="D12" s="4">
        <f>C12*C12</f>
        <v>2.4211764705882356E-2</v>
      </c>
    </row>
    <row r="13" spans="1:11">
      <c r="A13" t="s">
        <v>596</v>
      </c>
      <c r="C13" s="4">
        <f>Geometry!E1</f>
        <v>425</v>
      </c>
    </row>
    <row r="14" spans="1:11">
      <c r="A14" t="s">
        <v>744</v>
      </c>
      <c r="C14" s="4">
        <f>Vehicle!B17</f>
        <v>6</v>
      </c>
    </row>
    <row r="15" spans="1:11">
      <c r="A15" t="s">
        <v>597</v>
      </c>
      <c r="C15" s="4">
        <v>5</v>
      </c>
      <c r="D15">
        <f>C15*3.2808399</f>
        <v>16.404199500000001</v>
      </c>
      <c r="E15" t="s">
        <v>598</v>
      </c>
      <c r="F15" s="59"/>
    </row>
    <row r="16" spans="1:11">
      <c r="A16" t="s">
        <v>594</v>
      </c>
      <c r="C16" s="59">
        <v>5</v>
      </c>
      <c r="D16">
        <f>C16*3.2808399</f>
        <v>16.404199500000001</v>
      </c>
      <c r="G16" t="s">
        <v>764</v>
      </c>
      <c r="K16" s="59"/>
    </row>
    <row r="17" spans="1:11" ht="17" thickBot="1">
      <c r="A17" t="s">
        <v>619</v>
      </c>
      <c r="C17">
        <f>SUM(Gravity!I:I)</f>
        <v>43</v>
      </c>
      <c r="F17" s="108" t="s">
        <v>760</v>
      </c>
      <c r="G17" s="159" t="s">
        <v>739</v>
      </c>
      <c r="H17" s="159"/>
      <c r="I17" s="159"/>
      <c r="J17" s="159"/>
      <c r="K17" s="159"/>
    </row>
    <row r="18" spans="1:11" ht="17" thickBot="1">
      <c r="A18" t="s">
        <v>355</v>
      </c>
      <c r="C18" s="3">
        <f>SUM(Gravity!J:J)</f>
        <v>1114479.9938609789</v>
      </c>
      <c r="D18" s="4">
        <f>C18*Conversion!F18</f>
        <v>275.39915128298645</v>
      </c>
      <c r="F18" s="108">
        <v>0</v>
      </c>
      <c r="G18" s="160">
        <v>1</v>
      </c>
      <c r="H18" s="161">
        <v>2</v>
      </c>
      <c r="I18" s="161">
        <v>3</v>
      </c>
      <c r="J18" s="161">
        <v>4</v>
      </c>
      <c r="K18" s="162">
        <v>5</v>
      </c>
    </row>
    <row r="19" spans="1:11">
      <c r="A19" t="s">
        <v>624</v>
      </c>
      <c r="C19" s="5">
        <f>SUM(Gravity!M:M)</f>
        <v>26499.334033029911</v>
      </c>
      <c r="D19">
        <f>Vehicle!B36/$C$14</f>
        <v>26979.042799999999</v>
      </c>
      <c r="E19" s="44">
        <f>C19/D19</f>
        <v>0.98221920731116197</v>
      </c>
      <c r="F19" s="148">
        <f>D19/C18</f>
        <v>2.4207740783694486E-2</v>
      </c>
      <c r="G19" s="149">
        <v>0</v>
      </c>
      <c r="H19" s="150">
        <v>0.14000000000000001</v>
      </c>
      <c r="I19" s="150">
        <v>0</v>
      </c>
      <c r="J19" s="151">
        <v>0</v>
      </c>
      <c r="K19" s="152">
        <v>0</v>
      </c>
    </row>
    <row r="20" spans="1:11">
      <c r="A20" t="s">
        <v>625</v>
      </c>
      <c r="C20" s="5">
        <f>SUM(Gravity!L:L)</f>
        <v>96533.28826318038</v>
      </c>
      <c r="D20">
        <f>Vehicle!B35/$C$14</f>
        <v>66675.88790343322</v>
      </c>
      <c r="E20" s="44">
        <f>C20/D20</f>
        <v>1.4477990664779699</v>
      </c>
      <c r="F20" s="109">
        <f>D20/C18</f>
        <v>5.9826904269894343E-2</v>
      </c>
      <c r="G20" s="153">
        <v>0</v>
      </c>
      <c r="H20" s="102">
        <v>0.51</v>
      </c>
      <c r="I20" s="102">
        <v>0</v>
      </c>
      <c r="J20" s="104">
        <v>0</v>
      </c>
      <c r="K20" s="154">
        <v>0</v>
      </c>
    </row>
    <row r="21" spans="1:11">
      <c r="A21" t="s">
        <v>626</v>
      </c>
      <c r="C21" s="5">
        <f>SUM(Gravity!K:K)</f>
        <v>778131.65958969493</v>
      </c>
      <c r="D21">
        <f>Vehicle!B34/$C$14</f>
        <v>751105.87541914452</v>
      </c>
      <c r="E21" s="44">
        <f>C21/D21</f>
        <v>1.0359813244111145</v>
      </c>
      <c r="F21" s="109">
        <f>D21/C18</f>
        <v>0.67395186953247188</v>
      </c>
      <c r="G21" s="153">
        <v>0.89</v>
      </c>
      <c r="H21" s="102">
        <v>0</v>
      </c>
      <c r="I21" s="102">
        <v>0</v>
      </c>
      <c r="J21" s="104">
        <v>0</v>
      </c>
      <c r="K21" s="154">
        <v>0.35</v>
      </c>
    </row>
    <row r="22" spans="1:11">
      <c r="A22" t="s">
        <v>728</v>
      </c>
      <c r="C22" s="5">
        <f>SUM(Gravity!N:N)</f>
        <v>19521.856749406976</v>
      </c>
      <c r="D22">
        <f>Vehicle!B37/$C$14</f>
        <v>18130.316944869173</v>
      </c>
      <c r="E22" s="44">
        <f>C22/D22</f>
        <v>1.0767520947796561</v>
      </c>
      <c r="F22" s="109">
        <f>D22/C18</f>
        <v>1.6267960882867822E-2</v>
      </c>
      <c r="G22" s="153">
        <v>0.02</v>
      </c>
      <c r="H22" s="102">
        <v>0</v>
      </c>
      <c r="I22" s="102">
        <v>0.04</v>
      </c>
      <c r="J22" s="104">
        <v>0.1</v>
      </c>
      <c r="K22" s="154">
        <v>0.05</v>
      </c>
    </row>
    <row r="23" spans="1:11">
      <c r="A23" t="s">
        <v>738</v>
      </c>
      <c r="C23" s="5">
        <f>SUM(Gravity!O:O)</f>
        <v>42209.653495469058</v>
      </c>
      <c r="D23">
        <f>Vehicle!B38/$C$14</f>
        <v>41208.333333333336</v>
      </c>
      <c r="E23" s="44">
        <f>C23/D23</f>
        <v>1.0242989725897444</v>
      </c>
      <c r="F23" s="109">
        <f>D23/C18</f>
        <v>3.6975390819329233E-2</v>
      </c>
      <c r="G23" s="153">
        <v>0</v>
      </c>
      <c r="H23" s="102">
        <v>0.223</v>
      </c>
      <c r="I23" s="102">
        <v>0</v>
      </c>
      <c r="J23" s="104">
        <v>0</v>
      </c>
      <c r="K23" s="154">
        <v>0.2</v>
      </c>
    </row>
    <row r="24" spans="1:11">
      <c r="A24" t="s">
        <v>765</v>
      </c>
      <c r="C24" s="5">
        <f>SUM(Gravity!P:P)</f>
        <v>53624.237703205872</v>
      </c>
      <c r="D24" s="5">
        <f>C24</f>
        <v>53624.237703205872</v>
      </c>
      <c r="E24" s="44">
        <f t="shared" ref="E24:E25" si="0">C24/D24</f>
        <v>1</v>
      </c>
      <c r="F24" s="109">
        <f>D24/$C$18</f>
        <v>4.8115926708949971E-2</v>
      </c>
      <c r="G24" s="153">
        <v>0.01</v>
      </c>
      <c r="H24" s="102">
        <v>5.0000000000000001E-4</v>
      </c>
      <c r="I24" s="102">
        <v>0.88</v>
      </c>
      <c r="J24" s="104">
        <v>0.1</v>
      </c>
      <c r="K24" s="154">
        <v>0.4</v>
      </c>
    </row>
    <row r="25" spans="1:11" ht="17" thickBot="1">
      <c r="A25" t="s">
        <v>863</v>
      </c>
      <c r="C25" s="5">
        <f>C18*0.1</f>
        <v>111447.99938609789</v>
      </c>
      <c r="D25" s="5">
        <f>C25</f>
        <v>111447.99938609789</v>
      </c>
      <c r="E25" s="44">
        <f t="shared" si="0"/>
        <v>1</v>
      </c>
      <c r="F25" s="109">
        <f>D25/$C$18</f>
        <v>0.1</v>
      </c>
      <c r="G25" s="155">
        <v>0.08</v>
      </c>
      <c r="H25" s="156">
        <v>0.08</v>
      </c>
      <c r="I25" s="156">
        <v>0.08</v>
      </c>
      <c r="J25" s="157">
        <v>0.08</v>
      </c>
      <c r="K25" s="158">
        <v>0.08</v>
      </c>
    </row>
    <row r="26" spans="1:11" ht="17" thickBot="1">
      <c r="A26" t="s">
        <v>380</v>
      </c>
      <c r="E26" s="44"/>
      <c r="F26" s="163"/>
      <c r="G26" s="145">
        <v>5</v>
      </c>
      <c r="H26" s="146">
        <v>5</v>
      </c>
      <c r="I26" s="146">
        <v>5</v>
      </c>
      <c r="J26" s="146">
        <v>5</v>
      </c>
      <c r="K26" s="147">
        <v>5</v>
      </c>
    </row>
    <row r="27" spans="1:11">
      <c r="A27" t="s">
        <v>745</v>
      </c>
      <c r="C27" s="105">
        <f>SUM(J19:J23)</f>
        <v>0.1</v>
      </c>
      <c r="E27" s="44"/>
      <c r="F27" s="109">
        <f>SUM(F19:F25)</f>
        <v>0.95934579299720768</v>
      </c>
      <c r="G27" s="107">
        <f>SUM(G19:G25)</f>
        <v>1</v>
      </c>
      <c r="H27" s="107">
        <f>SUM(H19:H25)</f>
        <v>0.9534999999999999</v>
      </c>
      <c r="I27" s="107">
        <f>SUM(I19:I25)</f>
        <v>1</v>
      </c>
      <c r="J27" s="107">
        <f t="shared" ref="J27:K27" si="1">SUM(J19:J25)</f>
        <v>0.28000000000000003</v>
      </c>
      <c r="K27" s="107">
        <f t="shared" si="1"/>
        <v>1.08</v>
      </c>
    </row>
    <row r="29" spans="1:11">
      <c r="A29" t="s">
        <v>761</v>
      </c>
      <c r="B29">
        <f>LOOKUP(C29,Gravity!D:D,Gravity!A:A)</f>
        <v>22</v>
      </c>
      <c r="C29" s="4">
        <f>C13-C10+D10</f>
        <v>315</v>
      </c>
      <c r="D29">
        <f>LOOKUP(B29,Gravity!A:A,Gravity!H:H)</f>
        <v>110</v>
      </c>
    </row>
    <row r="30" spans="1:11">
      <c r="C30" s="4"/>
    </row>
    <row r="31" spans="1:11">
      <c r="A31" t="s">
        <v>381</v>
      </c>
      <c r="E31" t="s">
        <v>613</v>
      </c>
    </row>
    <row r="32" spans="1:11">
      <c r="A32" t="s">
        <v>355</v>
      </c>
      <c r="E32" s="3">
        <f>Vehicle!B40</f>
        <v>5177346.7384046819</v>
      </c>
    </row>
    <row r="33" spans="1:9">
      <c r="A33" t="s">
        <v>357</v>
      </c>
      <c r="E33">
        <f>Vehicle!B17</f>
        <v>6</v>
      </c>
    </row>
    <row r="34" spans="1:9">
      <c r="A34" t="s">
        <v>359</v>
      </c>
      <c r="E34" s="49">
        <f>E32/E33</f>
        <v>862891.12306744698</v>
      </c>
      <c r="F34" s="49"/>
    </row>
    <row r="35" spans="1:9">
      <c r="E35" s="24">
        <f>E36/$E$34</f>
        <v>4.9832474631494094E-5</v>
      </c>
      <c r="F35" s="24"/>
      <c r="G35" s="44"/>
      <c r="H35" s="44"/>
      <c r="I35" s="44"/>
    </row>
    <row r="36" spans="1:9">
      <c r="A36" t="s">
        <v>360</v>
      </c>
      <c r="E36" s="49">
        <f>SUM(Gravity!I:I)</f>
        <v>43</v>
      </c>
      <c r="F36" s="49"/>
      <c r="G36" s="71"/>
      <c r="H36" s="71"/>
      <c r="I36" s="71"/>
    </row>
    <row r="37" spans="1:9">
      <c r="A37" t="s">
        <v>358</v>
      </c>
      <c r="E37" s="59">
        <v>4</v>
      </c>
    </row>
    <row r="38" spans="1:9">
      <c r="A38" t="s">
        <v>330</v>
      </c>
      <c r="E38" s="59">
        <f>Geometry!C17</f>
        <v>43</v>
      </c>
      <c r="G38" s="4"/>
      <c r="H38" s="4"/>
      <c r="I38" s="4"/>
    </row>
    <row r="39" spans="1:9" ht="15" customHeight="1">
      <c r="A39" t="s">
        <v>383</v>
      </c>
      <c r="E39" s="4">
        <v>1</v>
      </c>
      <c r="F39" s="4"/>
    </row>
    <row r="40" spans="1:9">
      <c r="A40" t="s">
        <v>140</v>
      </c>
      <c r="E40" s="4">
        <v>110</v>
      </c>
      <c r="F40" s="4">
        <f>E40*2</f>
        <v>220</v>
      </c>
      <c r="H40" s="4"/>
    </row>
    <row r="41" spans="1:9">
      <c r="A41" t="s">
        <v>380</v>
      </c>
      <c r="E41" s="4">
        <f>E40*2</f>
        <v>220</v>
      </c>
      <c r="F41" s="4">
        <f>CEILING(E1*0.5,10)</f>
        <v>220</v>
      </c>
    </row>
    <row r="42" spans="1:9">
      <c r="A42" t="s">
        <v>385</v>
      </c>
      <c r="E42" s="4">
        <f>E41</f>
        <v>220</v>
      </c>
      <c r="F42" s="4"/>
    </row>
    <row r="43" spans="1:9">
      <c r="A43" t="s">
        <v>365</v>
      </c>
      <c r="E43" s="4"/>
      <c r="H43" s="4"/>
    </row>
    <row r="45" spans="1:9">
      <c r="A45" t="s">
        <v>361</v>
      </c>
      <c r="E45" s="49">
        <f>IF(E41&lt;E40,2*PI()*E40*E40+PI()*E41*E41/E43*LN((1+E43)/(1-E43)),4*PI()*E40*E40)</f>
        <v>152053.084433746</v>
      </c>
      <c r="F45" s="49"/>
      <c r="G45" s="49"/>
      <c r="H45" s="49"/>
      <c r="I45" s="49"/>
    </row>
    <row r="46" spans="1:9">
      <c r="A46" t="s">
        <v>363</v>
      </c>
      <c r="E46" s="49">
        <f>4*PI()/3*E40*E40*E40</f>
        <v>5575279.7625706857</v>
      </c>
      <c r="F46" s="49"/>
      <c r="G46" s="49"/>
      <c r="H46" s="49"/>
      <c r="I46" s="49"/>
    </row>
    <row r="47" spans="1:9">
      <c r="A47" t="s">
        <v>389</v>
      </c>
      <c r="E47" s="4">
        <f>E45/E46</f>
        <v>2.7272727272727278E-2</v>
      </c>
      <c r="F47" s="4"/>
      <c r="G47" s="4"/>
      <c r="H47" s="4"/>
      <c r="I47" s="4"/>
    </row>
    <row r="48" spans="1:9">
      <c r="A48" t="s">
        <v>370</v>
      </c>
      <c r="E48" s="3">
        <f>E45*E2</f>
        <v>1520530844.33746</v>
      </c>
      <c r="F48" s="3"/>
      <c r="G48" s="3"/>
      <c r="H48" s="3"/>
      <c r="I48" s="3"/>
    </row>
    <row r="49" spans="1:9">
      <c r="A49" t="s">
        <v>386</v>
      </c>
      <c r="E49" s="3">
        <f>E46*$E$6</f>
        <v>1001020234.8968967</v>
      </c>
      <c r="F49" s="3"/>
      <c r="G49" s="3"/>
      <c r="H49" s="3"/>
      <c r="I49" s="3"/>
    </row>
    <row r="50" spans="1:9">
      <c r="E50" s="3"/>
      <c r="F50" s="3"/>
      <c r="G50" s="3"/>
      <c r="H50" s="3"/>
      <c r="I50" s="3"/>
    </row>
    <row r="51" spans="1:9">
      <c r="A51" t="s">
        <v>24</v>
      </c>
      <c r="E51" s="3">
        <f>E36*Conversion!B10</f>
        <v>73100</v>
      </c>
      <c r="F51" s="3"/>
      <c r="G51" s="3"/>
      <c r="H51" s="3"/>
      <c r="I51" s="3"/>
    </row>
    <row r="52" spans="1:9">
      <c r="A52" t="s">
        <v>351</v>
      </c>
      <c r="E52" s="3">
        <f>(E46-E51/Conversion!B10-E49/8000)*Conversion!B9</f>
        <v>6676383.810680503</v>
      </c>
      <c r="F52" s="3"/>
      <c r="G52" s="3"/>
      <c r="H52" s="3"/>
      <c r="I52" s="3"/>
    </row>
    <row r="53" spans="1:9">
      <c r="E53" s="3"/>
      <c r="F53" s="4"/>
      <c r="G53" s="3"/>
      <c r="H53" s="3"/>
      <c r="I53" s="3"/>
    </row>
    <row r="54" spans="1:9">
      <c r="A54" t="s">
        <v>581</v>
      </c>
      <c r="E54" s="3">
        <f>(E52+E51+E49+E48)*Vehicle!B17</f>
        <v>15169803378.270224</v>
      </c>
      <c r="F54" s="3"/>
      <c r="G54" s="3"/>
      <c r="H54" s="3"/>
      <c r="I54" s="3"/>
    </row>
    <row r="55" spans="1:9">
      <c r="A55" t="s">
        <v>606</v>
      </c>
      <c r="E55" s="3">
        <f>0.25*E54*(4*(E1-E40)*(E1-E40)+4*(E40*E40))+0.5*E1*E1*E62</f>
        <v>1734174374930305.2</v>
      </c>
      <c r="F55" s="3"/>
      <c r="G55" s="3"/>
      <c r="H55" s="3"/>
      <c r="I55" s="3"/>
    </row>
    <row r="56" spans="1:9">
      <c r="A56" t="s">
        <v>607</v>
      </c>
      <c r="E56" s="3">
        <f>E55*E4</f>
        <v>269839787969353.81</v>
      </c>
      <c r="F56" s="3"/>
      <c r="G56" s="3"/>
      <c r="H56" s="3"/>
      <c r="I56" s="3"/>
    </row>
    <row r="57" spans="1:9">
      <c r="A57" t="s">
        <v>608</v>
      </c>
      <c r="E57" s="3">
        <f>E58-10</f>
        <v>195</v>
      </c>
      <c r="F57" s="3"/>
      <c r="G57" s="3"/>
      <c r="H57" s="3"/>
      <c r="I57" s="3"/>
    </row>
    <row r="58" spans="1:9">
      <c r="A58" t="s">
        <v>605</v>
      </c>
      <c r="E58" s="3">
        <f>FLOOR(E1-E41,1)</f>
        <v>205</v>
      </c>
      <c r="F58" s="3"/>
      <c r="G58" s="3"/>
      <c r="H58" s="3"/>
      <c r="I58" s="3"/>
    </row>
    <row r="59" spans="1:9">
      <c r="B59" t="s">
        <v>618</v>
      </c>
      <c r="E59" s="3">
        <f>(PI()*E58*E58-PI()*E57*E57)</f>
        <v>12566.370614359155</v>
      </c>
      <c r="H59" s="3"/>
      <c r="I59" s="3"/>
    </row>
    <row r="60" spans="1:9">
      <c r="A60" t="s">
        <v>610</v>
      </c>
      <c r="E60" s="4">
        <v>5</v>
      </c>
      <c r="H60" s="3"/>
      <c r="I60" s="3"/>
    </row>
    <row r="61" spans="1:9">
      <c r="A61" t="s">
        <v>614</v>
      </c>
      <c r="E61" s="3">
        <v>8000</v>
      </c>
      <c r="F61" s="3"/>
      <c r="G61" s="3"/>
      <c r="H61" s="3"/>
      <c r="I61" s="3"/>
    </row>
    <row r="62" spans="1:9">
      <c r="A62" t="s">
        <v>604</v>
      </c>
      <c r="E62" s="3">
        <f>E59*E60*E61</f>
        <v>502654824.57436621</v>
      </c>
      <c r="F62" s="44">
        <f>E62/E54</f>
        <v>3.3135223446230502E-2</v>
      </c>
      <c r="G62" s="3"/>
      <c r="H62" s="3"/>
      <c r="I62" s="3"/>
    </row>
    <row r="63" spans="1:9">
      <c r="A63" t="s">
        <v>609</v>
      </c>
      <c r="E63" s="3">
        <f>0.5*E62*(E58*E58+E57*E57)</f>
        <v>20118759353589.008</v>
      </c>
      <c r="F63" s="3"/>
      <c r="G63" s="3"/>
      <c r="H63" s="3"/>
      <c r="I63" s="3"/>
    </row>
    <row r="64" spans="1:9">
      <c r="A64" t="s">
        <v>611</v>
      </c>
      <c r="E64" s="3">
        <f>E56/E63</f>
        <v>13.412347313613887</v>
      </c>
      <c r="F64" s="4">
        <f>E64*30/PI()</f>
        <v>128.07848240561722</v>
      </c>
    </row>
  </sheetData>
  <pageMargins left="0.7" right="0.7" top="0.75" bottom="0.75" header="0.3" footer="0.3"/>
  <pageSetup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7A36E-F675-1441-A197-69A5DDF8AA03}">
  <dimension ref="A1:P208"/>
  <sheetViews>
    <sheetView topLeftCell="A33" workbookViewId="0">
      <selection activeCell="D45" sqref="D45"/>
    </sheetView>
  </sheetViews>
  <sheetFormatPr baseColWidth="10" defaultRowHeight="16"/>
  <cols>
    <col min="7" max="7" width="13.6640625" bestFit="1" customWidth="1"/>
    <col min="8" max="8" width="13.6640625" customWidth="1"/>
    <col min="15" max="15" width="11.6640625" bestFit="1" customWidth="1"/>
  </cols>
  <sheetData>
    <row r="1" spans="1:16">
      <c r="A1" t="s">
        <v>766</v>
      </c>
      <c r="C1">
        <f>Geometry!C17</f>
        <v>43</v>
      </c>
    </row>
    <row r="2" spans="1:16">
      <c r="A2" t="s">
        <v>762</v>
      </c>
      <c r="C2">
        <f>Geometry!B29</f>
        <v>22</v>
      </c>
      <c r="E2" s="110"/>
      <c r="F2" s="110"/>
      <c r="G2" s="110"/>
      <c r="H2" s="110"/>
      <c r="I2" s="110"/>
      <c r="J2" s="110"/>
    </row>
    <row r="3" spans="1:16">
      <c r="A3" t="s">
        <v>763</v>
      </c>
      <c r="C3">
        <v>5</v>
      </c>
      <c r="D3">
        <f>C2-C3/2</f>
        <v>19.5</v>
      </c>
      <c r="E3">
        <f>C2+C3/2</f>
        <v>24.5</v>
      </c>
      <c r="F3" s="110"/>
      <c r="G3" s="110"/>
      <c r="H3" s="110"/>
      <c r="I3" s="110"/>
    </row>
    <row r="4" spans="1:16">
      <c r="A4" t="s">
        <v>765</v>
      </c>
      <c r="C4">
        <v>5</v>
      </c>
      <c r="F4" s="110"/>
      <c r="G4" s="110"/>
      <c r="H4" s="110"/>
      <c r="I4" s="110"/>
    </row>
    <row r="5" spans="1:16">
      <c r="A5" t="s">
        <v>330</v>
      </c>
      <c r="B5" t="s">
        <v>729</v>
      </c>
      <c r="C5" t="s">
        <v>623</v>
      </c>
      <c r="D5" t="s">
        <v>378</v>
      </c>
      <c r="E5" t="s">
        <v>382</v>
      </c>
      <c r="G5" t="s">
        <v>379</v>
      </c>
      <c r="H5" t="s">
        <v>377</v>
      </c>
      <c r="J5" t="s">
        <v>240</v>
      </c>
      <c r="K5" t="s">
        <v>626</v>
      </c>
      <c r="L5" t="s">
        <v>730</v>
      </c>
      <c r="M5" t="s">
        <v>731</v>
      </c>
      <c r="N5" t="s">
        <v>732</v>
      </c>
      <c r="O5" t="s">
        <v>738</v>
      </c>
      <c r="P5" t="s">
        <v>765</v>
      </c>
    </row>
    <row r="6" spans="1:16">
      <c r="D6" s="59">
        <f>Geometry!C13-Geometry!C10</f>
        <v>205</v>
      </c>
      <c r="E6" s="59">
        <f>Geometry!$D$10</f>
        <v>110</v>
      </c>
      <c r="F6" s="4">
        <f>Geometry!$D$12*D6</f>
        <v>4.9634117647058833</v>
      </c>
      <c r="G6" s="4">
        <f>IF(H6&gt;0,F6/9.8,0)</f>
        <v>0</v>
      </c>
      <c r="H6" s="4">
        <f>IF(ABS(E6*E6)&lt;=Geometry!$E$10,SQRT(Geometry!$E$10-E6*E6),0)</f>
        <v>0</v>
      </c>
      <c r="I6" s="4">
        <f>IF(H6&gt;0,1,0)</f>
        <v>0</v>
      </c>
      <c r="J6" s="5"/>
    </row>
    <row r="7" spans="1:16">
      <c r="A7" s="7">
        <v>1</v>
      </c>
      <c r="B7" s="7"/>
      <c r="C7" s="7">
        <f>IF(A7&gt;$C$1-$C$4,3,IF(A7&lt;2,3,IF(A7&lt;=$D$3,1,IF(A7&gt;$E$3,1,2))))</f>
        <v>3</v>
      </c>
      <c r="D7" s="69">
        <f>D6+Geometry!$C$15</f>
        <v>210</v>
      </c>
      <c r="E7" s="69">
        <f>E6-(D7-D6)</f>
        <v>105</v>
      </c>
      <c r="F7" s="12">
        <f>Geometry!$D$12*D7</f>
        <v>5.0844705882352947</v>
      </c>
      <c r="G7" s="12">
        <f t="shared" ref="G7:G70" si="0">IF(H7&gt;0,F7/9.8,0)</f>
        <v>0.51882352941176468</v>
      </c>
      <c r="H7" s="12">
        <f>IF(ABS(E7*E7)&lt;=Geometry!$E$10,SQRT(Geometry!$E$10-E7*E7),0)</f>
        <v>32.787192621510002</v>
      </c>
      <c r="I7" s="12">
        <f t="shared" ref="I7:I70" si="1">IF(H7&gt;0,1,0)</f>
        <v>1</v>
      </c>
      <c r="J7" s="15">
        <f t="shared" ref="J7:J38" si="2">PI()*H7*H7</f>
        <v>3377.2121026090272</v>
      </c>
      <c r="K7" s="59">
        <f>IF(C7=1,J7*Geometry!$G$21,0)+IF(C7=2,J7*Geometry!$H$21,0)+IF(C7=3,J7*Geometry!$I$21,0)+IF(C7=4,J7*Geometry!$J$21,0)+IF(C7=5,J7*Geometry!$K$21,0)</f>
        <v>0</v>
      </c>
      <c r="L7" s="59">
        <f>IF(C7=1,J7*Geometry!$G$20,0)+IF(C7=2,J7*Geometry!$H$20,0)+IF(C7=3,J7*Geometry!$I$20,0)+IF(C7=4,J7*Geometry!$J$20,0)+IF(C7=5,J7*Geometry!$K$20,0)</f>
        <v>0</v>
      </c>
      <c r="M7" s="59">
        <f>IF(C7=1,J7*Geometry!$G$19,0)+IF(C7=2,J7*Geometry!$H$19,0)+IF(C7=3,J7*Geometry!$I$19,0)+IF(C7=4,J7*Geometry!$J$19,0)+IF(C7=5,J7*Geometry!$K$19,0)</f>
        <v>0</v>
      </c>
      <c r="N7" s="59">
        <f>IF(C7=1,J7*Geometry!$G$22,0)+IF(C7=2,J7*Geometry!$H$22,0)+IF(C7=3,J7*Geometry!$I$22,0)+IF(C7=4,J7*Geometry!$J$22,0)+IF(C7=5,J7*Geometry!$K$22,0)</f>
        <v>135.0884841043611</v>
      </c>
      <c r="O7" s="59">
        <f>IF(C7=1,J7*Geometry!$G$23,0)+IF(C7=2,J7*Geometry!$H$23,0)+IF(C7=3,J7*Geometry!$I$23,0)+IF(C7=4,J7*Geometry!$J$23,0)+IF(C7=5,J7*Geometry!$K$23,0)</f>
        <v>0</v>
      </c>
      <c r="P7">
        <f>IF(C7=1,J7*Geometry!$G$24,0)+IF(C7=2,J7*Geometry!$H$24,0)+IF(C7=3,J7*Geometry!$I$24,0)+IF(C7=4,J7*Geometry!$J$24,0)+IF(C7=5,J7*Geometry!$K$24,0)</f>
        <v>2971.946650295944</v>
      </c>
    </row>
    <row r="8" spans="1:16">
      <c r="A8" s="7">
        <f t="shared" ref="A8:A39" si="3">A7+1</f>
        <v>2</v>
      </c>
      <c r="B8" s="7"/>
      <c r="C8" s="7">
        <f t="shared" ref="C8:C71" si="4">IF(A8&gt;$C$1-$C$4,3,IF(A8&lt;2,3,IF(A8&lt;=$D$3,1,IF(A8&gt;$E$3,1,2))))</f>
        <v>1</v>
      </c>
      <c r="D8" s="69">
        <f>D7+Geometry!$C$15</f>
        <v>215</v>
      </c>
      <c r="E8" s="69">
        <f t="shared" ref="E8:E71" si="5">E7-(D8-D7)</f>
        <v>100</v>
      </c>
      <c r="F8" s="12">
        <f>Geometry!$D$12*D8</f>
        <v>5.2055294117647062</v>
      </c>
      <c r="G8" s="12">
        <f t="shared" si="0"/>
        <v>0.53117647058823525</v>
      </c>
      <c r="H8" s="12">
        <f>IF(ABS(E8*E8)&lt;=Geometry!$E$10,SQRT(Geometry!$E$10-E8*E8),0)</f>
        <v>45.825756949558397</v>
      </c>
      <c r="I8" s="12">
        <f t="shared" si="1"/>
        <v>1</v>
      </c>
      <c r="J8" s="15">
        <f t="shared" si="2"/>
        <v>6597.3445725385645</v>
      </c>
      <c r="K8" s="59">
        <f>IF(C8=1,J8*Geometry!$G$21,0)+IF(C8=2,J8*Geometry!$H$21,0)+IF(C8=3,J8*Geometry!$I$21,0)+IF(C8=4,J8*Geometry!$J$21,0)+IF(C8=5,J8*Geometry!$K$21,0)</f>
        <v>5871.6366695593224</v>
      </c>
      <c r="L8" s="59">
        <f>IF(C8=1,J8*Geometry!$G$20,0)+IF(C8=2,J8*Geometry!$H$20,0)+IF(C8=3,J8*Geometry!$I$20,0)+IF(C8=4,J8*Geometry!$J$20,0)+IF(C8=5,J8*Geometry!$K$20,0)</f>
        <v>0</v>
      </c>
      <c r="M8" s="59">
        <f>IF(C8=1,J8*Geometry!$G$19,0)+IF(C8=2,J8*Geometry!$H$19,0)+IF(C8=3,J8*Geometry!$I$19,0)+IF(C8=4,J8*Geometry!$J$19,0)+IF(C8=5,J8*Geometry!$K$19,0)</f>
        <v>0</v>
      </c>
      <c r="N8" s="59">
        <f>IF(C8=1,J8*Geometry!$G$22,0)+IF(C8=2,J8*Geometry!$H$22,0)+IF(C8=3,J8*Geometry!$I$22,0)+IF(C8=4,J8*Geometry!$J$22,0)+IF(C8=5,J8*Geometry!$K$22,0)</f>
        <v>131.94689145077129</v>
      </c>
      <c r="O8" s="59">
        <f>IF(C8=1,J8*Geometry!$G$23,0)+IF(C8=2,J8*Geometry!$H$23,0)+IF(C8=3,J8*Geometry!$I$23,0)+IF(C8=4,J8*Geometry!$J$23,0)+IF(C8=5,J8*Geometry!$K$23,0)</f>
        <v>0</v>
      </c>
      <c r="P8">
        <f>IF(C8=1,J8*Geometry!$G$24,0)+IF(C8=2,J8*Geometry!$H$24,0)+IF(C8=3,J8*Geometry!$I$24,0)+IF(C8=4,J8*Geometry!$J$24,0)+IF(C8=5,J8*Geometry!$K$24,0)</f>
        <v>65.973445725385645</v>
      </c>
    </row>
    <row r="9" spans="1:16">
      <c r="A9" s="7">
        <f t="shared" si="3"/>
        <v>3</v>
      </c>
      <c r="B9" s="7"/>
      <c r="C9" s="7">
        <f t="shared" si="4"/>
        <v>1</v>
      </c>
      <c r="D9" s="69">
        <f>D8+Geometry!$C$15</f>
        <v>220</v>
      </c>
      <c r="E9" s="69">
        <f t="shared" si="5"/>
        <v>95</v>
      </c>
      <c r="F9" s="12">
        <f>Geometry!$D$12*D9</f>
        <v>5.3265882352941185</v>
      </c>
      <c r="G9" s="12">
        <f t="shared" si="0"/>
        <v>0.54352941176470593</v>
      </c>
      <c r="H9" s="12">
        <f>IF(ABS(E9*E9)&lt;=Geometry!$E$10,SQRT(Geometry!$E$10-E9*E9),0)</f>
        <v>55.452682532047085</v>
      </c>
      <c r="I9" s="12">
        <f t="shared" si="1"/>
        <v>1</v>
      </c>
      <c r="J9" s="15">
        <f t="shared" si="2"/>
        <v>9660.397409788613</v>
      </c>
      <c r="K9" s="59">
        <f>IF(C9=1,J9*Geometry!$G$21,0)+IF(C9=2,J9*Geometry!$H$21,0)+IF(C9=3,J9*Geometry!$I$21,0)+IF(C9=4,J9*Geometry!$J$21,0)+IF(C9=5,J9*Geometry!$K$21,0)</f>
        <v>8597.753694711866</v>
      </c>
      <c r="L9" s="59">
        <f>IF(C9=1,J9*Geometry!$G$20,0)+IF(C9=2,J9*Geometry!$H$20,0)+IF(C9=3,J9*Geometry!$I$20,0)+IF(C9=4,J9*Geometry!$J$20,0)+IF(C9=5,J9*Geometry!$K$20,0)</f>
        <v>0</v>
      </c>
      <c r="M9" s="59">
        <f>IF(C9=1,J9*Geometry!$G$19,0)+IF(C9=2,J9*Geometry!$H$19,0)+IF(C9=3,J9*Geometry!$I$19,0)+IF(C9=4,J9*Geometry!$J$19,0)+IF(C9=5,J9*Geometry!$K$19,0)</f>
        <v>0</v>
      </c>
      <c r="N9" s="59">
        <f>IF(C9=1,J9*Geometry!$G$22,0)+IF(C9=2,J9*Geometry!$H$22,0)+IF(C9=3,J9*Geometry!$I$22,0)+IF(C9=4,J9*Geometry!$J$22,0)+IF(C9=5,J9*Geometry!$K$22,0)</f>
        <v>193.20794819577227</v>
      </c>
      <c r="O9" s="59">
        <f>IF(C9=1,J9*Geometry!$G$23,0)+IF(C9=2,J9*Geometry!$H$23,0)+IF(C9=3,J9*Geometry!$I$23,0)+IF(C9=4,J9*Geometry!$J$23,0)+IF(C9=5,J9*Geometry!$K$23,0)</f>
        <v>0</v>
      </c>
      <c r="P9">
        <f>IF(C9=1,J9*Geometry!$G$24,0)+IF(C9=2,J9*Geometry!$H$24,0)+IF(C9=3,J9*Geometry!$I$24,0)+IF(C9=4,J9*Geometry!$J$24,0)+IF(C9=5,J9*Geometry!$K$24,0)</f>
        <v>96.603974097886137</v>
      </c>
    </row>
    <row r="10" spans="1:16">
      <c r="A10" s="7">
        <f t="shared" si="3"/>
        <v>4</v>
      </c>
      <c r="B10" s="7"/>
      <c r="C10" s="7">
        <f t="shared" si="4"/>
        <v>1</v>
      </c>
      <c r="D10" s="69">
        <f>D9+Geometry!$C$15</f>
        <v>225</v>
      </c>
      <c r="E10" s="69">
        <f t="shared" si="5"/>
        <v>90</v>
      </c>
      <c r="F10" s="12">
        <f>Geometry!$D$12*D10</f>
        <v>5.44764705882353</v>
      </c>
      <c r="G10" s="12">
        <f t="shared" si="0"/>
        <v>0.55588235294117649</v>
      </c>
      <c r="H10" s="12">
        <f>IF(ABS(E10*E10)&lt;=Geometry!$E$10,SQRT(Geometry!$E$10-E10*E10),0)</f>
        <v>63.245553203367585</v>
      </c>
      <c r="I10" s="12">
        <f t="shared" si="1"/>
        <v>1</v>
      </c>
      <c r="J10" s="15">
        <f t="shared" si="2"/>
        <v>12566.370614359172</v>
      </c>
      <c r="K10" s="59">
        <f>IF(C10=1,J10*Geometry!$G$21,0)+IF(C10=2,J10*Geometry!$H$21,0)+IF(C10=3,J10*Geometry!$I$21,0)+IF(C10=4,J10*Geometry!$J$21,0)+IF(C10=5,J10*Geometry!$K$21,0)</f>
        <v>11184.069846779663</v>
      </c>
      <c r="L10" s="59">
        <f>IF(C10=1,J10*Geometry!$G$20,0)+IF(C10=2,J10*Geometry!$H$20,0)+IF(C10=3,J10*Geometry!$I$20,0)+IF(C10=4,J10*Geometry!$J$20,0)+IF(C10=5,J10*Geometry!$K$20,0)</f>
        <v>0</v>
      </c>
      <c r="M10" s="59">
        <f>IF(C10=1,J10*Geometry!$G$19,0)+IF(C10=2,J10*Geometry!$H$19,0)+IF(C10=3,J10*Geometry!$I$19,0)+IF(C10=4,J10*Geometry!$J$19,0)+IF(C10=5,J10*Geometry!$K$19,0)</f>
        <v>0</v>
      </c>
      <c r="N10" s="59">
        <f>IF(C10=1,J10*Geometry!$G$22,0)+IF(C10=2,J10*Geometry!$H$22,0)+IF(C10=3,J10*Geometry!$I$22,0)+IF(C10=4,J10*Geometry!$J$22,0)+IF(C10=5,J10*Geometry!$K$22,0)</f>
        <v>251.32741228718345</v>
      </c>
      <c r="O10" s="59">
        <f>IF(C10=1,J10*Geometry!$G$23,0)+IF(C10=2,J10*Geometry!$H$23,0)+IF(C10=3,J10*Geometry!$I$23,0)+IF(C10=4,J10*Geometry!$J$23,0)+IF(C10=5,J10*Geometry!$K$23,0)</f>
        <v>0</v>
      </c>
      <c r="P10">
        <f>IF(C10=1,J10*Geometry!$G$24,0)+IF(C10=2,J10*Geometry!$H$24,0)+IF(C10=3,J10*Geometry!$I$24,0)+IF(C10=4,J10*Geometry!$J$24,0)+IF(C10=5,J10*Geometry!$K$24,0)</f>
        <v>125.66370614359172</v>
      </c>
    </row>
    <row r="11" spans="1:16">
      <c r="A11" s="7">
        <f t="shared" si="3"/>
        <v>5</v>
      </c>
      <c r="B11" s="7"/>
      <c r="C11" s="7">
        <f t="shared" si="4"/>
        <v>1</v>
      </c>
      <c r="D11" s="69">
        <f>D10+Geometry!$C$15</f>
        <v>230</v>
      </c>
      <c r="E11" s="69">
        <f t="shared" si="5"/>
        <v>85</v>
      </c>
      <c r="F11" s="12">
        <f>Geometry!$D$12*D11</f>
        <v>5.5687058823529423</v>
      </c>
      <c r="G11" s="12">
        <f t="shared" si="0"/>
        <v>0.56823529411764717</v>
      </c>
      <c r="H11" s="12">
        <f>IF(ABS(E11*E11)&lt;=Geometry!$E$10,SQRT(Geometry!$E$10-E11*E11),0)</f>
        <v>69.821200218844709</v>
      </c>
      <c r="I11" s="12">
        <f t="shared" si="1"/>
        <v>1</v>
      </c>
      <c r="J11" s="15">
        <f t="shared" si="2"/>
        <v>15315.264186250242</v>
      </c>
      <c r="K11" s="59">
        <f>IF(C11=1,J11*Geometry!$G$21,0)+IF(C11=2,J11*Geometry!$H$21,0)+IF(C11=3,J11*Geometry!$I$21,0)+IF(C11=4,J11*Geometry!$J$21,0)+IF(C11=5,J11*Geometry!$K$21,0)</f>
        <v>13630.585125762716</v>
      </c>
      <c r="L11" s="59">
        <f>IF(C11=1,J11*Geometry!$G$20,0)+IF(C11=2,J11*Geometry!$H$20,0)+IF(C11=3,J11*Geometry!$I$20,0)+IF(C11=4,J11*Geometry!$J$20,0)+IF(C11=5,J11*Geometry!$K$20,0)</f>
        <v>0</v>
      </c>
      <c r="M11" s="59">
        <f>IF(C11=1,J11*Geometry!$G$19,0)+IF(C11=2,J11*Geometry!$H$19,0)+IF(C11=3,J11*Geometry!$I$19,0)+IF(C11=4,J11*Geometry!$J$19,0)+IF(C11=5,J11*Geometry!$K$19,0)</f>
        <v>0</v>
      </c>
      <c r="N11" s="59">
        <f>IF(C11=1,J11*Geometry!$G$22,0)+IF(C11=2,J11*Geometry!$H$22,0)+IF(C11=3,J11*Geometry!$I$22,0)+IF(C11=4,J11*Geometry!$J$22,0)+IF(C11=5,J11*Geometry!$K$22,0)</f>
        <v>306.30528372500487</v>
      </c>
      <c r="O11" s="59">
        <f>IF(C11=1,J11*Geometry!$G$23,0)+IF(C11=2,J11*Geometry!$H$23,0)+IF(C11=3,J11*Geometry!$I$23,0)+IF(C11=4,J11*Geometry!$J$23,0)+IF(C11=5,J11*Geometry!$K$23,0)</f>
        <v>0</v>
      </c>
      <c r="P11">
        <f>IF(C11=1,J11*Geometry!$G$24,0)+IF(C11=2,J11*Geometry!$H$24,0)+IF(C11=3,J11*Geometry!$I$24,0)+IF(C11=4,J11*Geometry!$J$24,0)+IF(C11=5,J11*Geometry!$K$24,0)</f>
        <v>153.15264186250243</v>
      </c>
    </row>
    <row r="12" spans="1:16">
      <c r="A12" s="7">
        <f t="shared" si="3"/>
        <v>6</v>
      </c>
      <c r="B12" s="7"/>
      <c r="C12" s="7">
        <f t="shared" si="4"/>
        <v>1</v>
      </c>
      <c r="D12" s="69">
        <f>D11+Geometry!$C$15</f>
        <v>235</v>
      </c>
      <c r="E12" s="69">
        <f t="shared" si="5"/>
        <v>80</v>
      </c>
      <c r="F12" s="12">
        <f>Geometry!$D$12*D12</f>
        <v>5.6897647058823537</v>
      </c>
      <c r="G12" s="12">
        <f t="shared" si="0"/>
        <v>0.58058823529411774</v>
      </c>
      <c r="H12" s="12">
        <f>IF(ABS(E12*E12)&lt;=Geometry!$E$10,SQRT(Geometry!$E$10-E12*E12),0)</f>
        <v>75.498344352707491</v>
      </c>
      <c r="I12" s="12">
        <f t="shared" si="1"/>
        <v>1</v>
      </c>
      <c r="J12" s="15">
        <f t="shared" si="2"/>
        <v>17907.07812546182</v>
      </c>
      <c r="K12" s="59">
        <f>IF(C12=1,J12*Geometry!$G$21,0)+IF(C12=2,J12*Geometry!$H$21,0)+IF(C12=3,J12*Geometry!$I$21,0)+IF(C12=4,J12*Geometry!$J$21,0)+IF(C12=5,J12*Geometry!$K$21,0)</f>
        <v>15937.29953166102</v>
      </c>
      <c r="L12" s="59">
        <f>IF(C12=1,J12*Geometry!$G$20,0)+IF(C12=2,J12*Geometry!$H$20,0)+IF(C12=3,J12*Geometry!$I$20,0)+IF(C12=4,J12*Geometry!$J$20,0)+IF(C12=5,J12*Geometry!$K$20,0)</f>
        <v>0</v>
      </c>
      <c r="M12" s="59">
        <f>IF(C12=1,J12*Geometry!$G$19,0)+IF(C12=2,J12*Geometry!$H$19,0)+IF(C12=3,J12*Geometry!$I$19,0)+IF(C12=4,J12*Geometry!$J$19,0)+IF(C12=5,J12*Geometry!$K$19,0)</f>
        <v>0</v>
      </c>
      <c r="N12" s="59">
        <f>IF(C12=1,J12*Geometry!$G$22,0)+IF(C12=2,J12*Geometry!$H$22,0)+IF(C12=3,J12*Geometry!$I$22,0)+IF(C12=4,J12*Geometry!$J$22,0)+IF(C12=5,J12*Geometry!$K$22,0)</f>
        <v>358.14156250923639</v>
      </c>
      <c r="O12" s="59">
        <f>IF(C12=1,J12*Geometry!$G$23,0)+IF(C12=2,J12*Geometry!$H$23,0)+IF(C12=3,J12*Geometry!$I$23,0)+IF(C12=4,J12*Geometry!$J$23,0)+IF(C12=5,J12*Geometry!$K$23,0)</f>
        <v>0</v>
      </c>
      <c r="P12">
        <f>IF(C12=1,J12*Geometry!$G$24,0)+IF(C12=2,J12*Geometry!$H$24,0)+IF(C12=3,J12*Geometry!$I$24,0)+IF(C12=4,J12*Geometry!$J$24,0)+IF(C12=5,J12*Geometry!$K$24,0)</f>
        <v>179.0707812546182</v>
      </c>
    </row>
    <row r="13" spans="1:16">
      <c r="A13" s="7">
        <f t="shared" si="3"/>
        <v>7</v>
      </c>
      <c r="B13" s="7"/>
      <c r="C13" s="7">
        <f t="shared" si="4"/>
        <v>1</v>
      </c>
      <c r="D13" s="69">
        <f>D12+Geometry!$C$15</f>
        <v>240</v>
      </c>
      <c r="E13" s="69">
        <f t="shared" si="5"/>
        <v>75</v>
      </c>
      <c r="F13" s="12">
        <f>Geometry!$D$12*D13</f>
        <v>5.8108235294117652</v>
      </c>
      <c r="G13" s="12">
        <f t="shared" si="0"/>
        <v>0.59294117647058819</v>
      </c>
      <c r="H13" s="12">
        <f>IF(ABS(E13*E13)&lt;=Geometry!$E$10,SQRT(Geometry!$E$10-E13*E13),0)</f>
        <v>80.46738469715541</v>
      </c>
      <c r="I13" s="12">
        <f t="shared" si="1"/>
        <v>1</v>
      </c>
      <c r="J13" s="15">
        <f t="shared" si="2"/>
        <v>20341.812431993912</v>
      </c>
      <c r="K13" s="59">
        <f>IF(C13=1,J13*Geometry!$G$21,0)+IF(C13=2,J13*Geometry!$H$21,0)+IF(C13=3,J13*Geometry!$I$21,0)+IF(C13=4,J13*Geometry!$J$21,0)+IF(C13=5,J13*Geometry!$K$21,0)</f>
        <v>18104.213064474581</v>
      </c>
      <c r="L13" s="59">
        <f>IF(C13=1,J13*Geometry!$G$20,0)+IF(C13=2,J13*Geometry!$H$20,0)+IF(C13=3,J13*Geometry!$I$20,0)+IF(C13=4,J13*Geometry!$J$20,0)+IF(C13=5,J13*Geometry!$K$20,0)</f>
        <v>0</v>
      </c>
      <c r="M13" s="59">
        <f>IF(C13=1,J13*Geometry!$G$19,0)+IF(C13=2,J13*Geometry!$H$19,0)+IF(C13=3,J13*Geometry!$I$19,0)+IF(C13=4,J13*Geometry!$J$19,0)+IF(C13=5,J13*Geometry!$K$19,0)</f>
        <v>0</v>
      </c>
      <c r="N13" s="59">
        <f>IF(C13=1,J13*Geometry!$G$22,0)+IF(C13=2,J13*Geometry!$H$22,0)+IF(C13=3,J13*Geometry!$I$22,0)+IF(C13=4,J13*Geometry!$J$22,0)+IF(C13=5,J13*Geometry!$K$22,0)</f>
        <v>406.83624863987825</v>
      </c>
      <c r="O13" s="59">
        <f>IF(C13=1,J13*Geometry!$G$23,0)+IF(C13=2,J13*Geometry!$H$23,0)+IF(C13=3,J13*Geometry!$I$23,0)+IF(C13=4,J13*Geometry!$J$23,0)+IF(C13=5,J13*Geometry!$K$23,0)</f>
        <v>0</v>
      </c>
      <c r="P13">
        <f>IF(C13=1,J13*Geometry!$G$24,0)+IF(C13=2,J13*Geometry!$H$24,0)+IF(C13=3,J13*Geometry!$I$24,0)+IF(C13=4,J13*Geometry!$J$24,0)+IF(C13=5,J13*Geometry!$K$24,0)</f>
        <v>203.41812431993912</v>
      </c>
    </row>
    <row r="14" spans="1:16">
      <c r="A14" s="7">
        <f t="shared" si="3"/>
        <v>8</v>
      </c>
      <c r="B14" s="7"/>
      <c r="C14" s="7">
        <f t="shared" si="4"/>
        <v>1</v>
      </c>
      <c r="D14" s="69">
        <f>D13+Geometry!$C$15</f>
        <v>245</v>
      </c>
      <c r="E14" s="69">
        <f t="shared" si="5"/>
        <v>70</v>
      </c>
      <c r="F14" s="12">
        <f>Geometry!$D$12*D14</f>
        <v>5.9318823529411775</v>
      </c>
      <c r="G14" s="12">
        <f t="shared" si="0"/>
        <v>0.60529411764705887</v>
      </c>
      <c r="H14" s="12">
        <f>IF(ABS(E14*E14)&lt;=Geometry!$E$10,SQRT(Geometry!$E$10-E14*E14),0)</f>
        <v>84.852813742385706</v>
      </c>
      <c r="I14" s="12">
        <f t="shared" si="1"/>
        <v>1</v>
      </c>
      <c r="J14" s="15">
        <f t="shared" si="2"/>
        <v>22619.467105846514</v>
      </c>
      <c r="K14" s="59">
        <f>IF(C14=1,J14*Geometry!$G$21,0)+IF(C14=2,J14*Geometry!$H$21,0)+IF(C14=3,J14*Geometry!$I$21,0)+IF(C14=4,J14*Geometry!$J$21,0)+IF(C14=5,J14*Geometry!$K$21,0)</f>
        <v>20131.325724203398</v>
      </c>
      <c r="L14" s="59">
        <f>IF(C14=1,J14*Geometry!$G$20,0)+IF(C14=2,J14*Geometry!$H$20,0)+IF(C14=3,J14*Geometry!$I$20,0)+IF(C14=4,J14*Geometry!$J$20,0)+IF(C14=5,J14*Geometry!$K$20,0)</f>
        <v>0</v>
      </c>
      <c r="M14" s="59">
        <f>IF(C14=1,J14*Geometry!$G$19,0)+IF(C14=2,J14*Geometry!$H$19,0)+IF(C14=3,J14*Geometry!$I$19,0)+IF(C14=4,J14*Geometry!$J$19,0)+IF(C14=5,J14*Geometry!$K$19,0)</f>
        <v>0</v>
      </c>
      <c r="N14" s="59">
        <f>IF(C14=1,J14*Geometry!$G$22,0)+IF(C14=2,J14*Geometry!$H$22,0)+IF(C14=3,J14*Geometry!$I$22,0)+IF(C14=4,J14*Geometry!$J$22,0)+IF(C14=5,J14*Geometry!$K$22,0)</f>
        <v>452.38934211693027</v>
      </c>
      <c r="O14" s="59">
        <f>IF(C14=1,J14*Geometry!$G$23,0)+IF(C14=2,J14*Geometry!$H$23,0)+IF(C14=3,J14*Geometry!$I$23,0)+IF(C14=4,J14*Geometry!$J$23,0)+IF(C14=5,J14*Geometry!$K$23,0)</f>
        <v>0</v>
      </c>
      <c r="P14">
        <f>IF(C14=1,J14*Geometry!$G$24,0)+IF(C14=2,J14*Geometry!$H$24,0)+IF(C14=3,J14*Geometry!$I$24,0)+IF(C14=4,J14*Geometry!$J$24,0)+IF(C14=5,J14*Geometry!$K$24,0)</f>
        <v>226.19467105846513</v>
      </c>
    </row>
    <row r="15" spans="1:16">
      <c r="A15" s="7">
        <f t="shared" si="3"/>
        <v>9</v>
      </c>
      <c r="B15" s="7"/>
      <c r="C15" s="7">
        <f t="shared" si="4"/>
        <v>1</v>
      </c>
      <c r="D15" s="69">
        <f>D14+Geometry!$C$15</f>
        <v>250</v>
      </c>
      <c r="E15" s="69">
        <f t="shared" si="5"/>
        <v>65</v>
      </c>
      <c r="F15" s="12">
        <f>Geometry!$D$12*D15</f>
        <v>6.0529411764705889</v>
      </c>
      <c r="G15" s="12">
        <f t="shared" si="0"/>
        <v>0.61764705882352944</v>
      </c>
      <c r="H15" s="12">
        <f>IF(ABS(E15*E15)&lt;=Geometry!$E$10,SQRT(Geometry!$E$10-E15*E15),0)</f>
        <v>88.741196746494239</v>
      </c>
      <c r="I15" s="12">
        <f t="shared" si="1"/>
        <v>1</v>
      </c>
      <c r="J15" s="15">
        <f t="shared" si="2"/>
        <v>24740.042147019623</v>
      </c>
      <c r="K15" s="59">
        <f>IF(C15=1,J15*Geometry!$G$21,0)+IF(C15=2,J15*Geometry!$H$21,0)+IF(C15=3,J15*Geometry!$I$21,0)+IF(C15=4,J15*Geometry!$J$21,0)+IF(C15=5,J15*Geometry!$K$21,0)</f>
        <v>22018.637510847464</v>
      </c>
      <c r="L15" s="59">
        <f>IF(C15=1,J15*Geometry!$G$20,0)+IF(C15=2,J15*Geometry!$H$20,0)+IF(C15=3,J15*Geometry!$I$20,0)+IF(C15=4,J15*Geometry!$J$20,0)+IF(C15=5,J15*Geometry!$K$20,0)</f>
        <v>0</v>
      </c>
      <c r="M15" s="59">
        <f>IF(C15=1,J15*Geometry!$G$19,0)+IF(C15=2,J15*Geometry!$H$19,0)+IF(C15=3,J15*Geometry!$I$19,0)+IF(C15=4,J15*Geometry!$J$19,0)+IF(C15=5,J15*Geometry!$K$19,0)</f>
        <v>0</v>
      </c>
      <c r="N15" s="59">
        <f>IF(C15=1,J15*Geometry!$G$22,0)+IF(C15=2,J15*Geometry!$H$22,0)+IF(C15=3,J15*Geometry!$I$22,0)+IF(C15=4,J15*Geometry!$J$22,0)+IF(C15=5,J15*Geometry!$K$22,0)</f>
        <v>494.8008429403925</v>
      </c>
      <c r="O15" s="59">
        <f>IF(C15=1,J15*Geometry!$G$23,0)+IF(C15=2,J15*Geometry!$H$23,0)+IF(C15=3,J15*Geometry!$I$23,0)+IF(C15=4,J15*Geometry!$J$23,0)+IF(C15=5,J15*Geometry!$K$23,0)</f>
        <v>0</v>
      </c>
      <c r="P15">
        <f>IF(C15=1,J15*Geometry!$G$24,0)+IF(C15=2,J15*Geometry!$H$24,0)+IF(C15=3,J15*Geometry!$I$24,0)+IF(C15=4,J15*Geometry!$J$24,0)+IF(C15=5,J15*Geometry!$K$24,0)</f>
        <v>247.40042147019625</v>
      </c>
    </row>
    <row r="16" spans="1:16">
      <c r="A16" s="7">
        <f t="shared" si="3"/>
        <v>10</v>
      </c>
      <c r="B16" s="7"/>
      <c r="C16" s="7">
        <f t="shared" si="4"/>
        <v>1</v>
      </c>
      <c r="D16" s="69">
        <f>D15+Geometry!$C$15</f>
        <v>255</v>
      </c>
      <c r="E16" s="69">
        <f t="shared" si="5"/>
        <v>60</v>
      </c>
      <c r="F16" s="12">
        <f>Geometry!$D$12*D16</f>
        <v>6.1740000000000013</v>
      </c>
      <c r="G16" s="12">
        <f t="shared" si="0"/>
        <v>0.63000000000000012</v>
      </c>
      <c r="H16" s="12">
        <f>IF(ABS(E16*E16)&lt;=Geometry!$E$10,SQRT(Geometry!$E$10-E16*E16),0)</f>
        <v>92.195444572928878</v>
      </c>
      <c r="I16" s="12">
        <f t="shared" si="1"/>
        <v>1</v>
      </c>
      <c r="J16" s="15">
        <f t="shared" si="2"/>
        <v>26703.537555513245</v>
      </c>
      <c r="K16" s="59">
        <f>IF(C16=1,J16*Geometry!$G$21,0)+IF(C16=2,J16*Geometry!$H$21,0)+IF(C16=3,J16*Geometry!$I$21,0)+IF(C16=4,J16*Geometry!$J$21,0)+IF(C16=5,J16*Geometry!$K$21,0)</f>
        <v>23766.148424406787</v>
      </c>
      <c r="L16" s="59">
        <f>IF(C16=1,J16*Geometry!$G$20,0)+IF(C16=2,J16*Geometry!$H$20,0)+IF(C16=3,J16*Geometry!$I$20,0)+IF(C16=4,J16*Geometry!$J$20,0)+IF(C16=5,J16*Geometry!$K$20,0)</f>
        <v>0</v>
      </c>
      <c r="M16" s="59">
        <f>IF(C16=1,J16*Geometry!$G$19,0)+IF(C16=2,J16*Geometry!$H$19,0)+IF(C16=3,J16*Geometry!$I$19,0)+IF(C16=4,J16*Geometry!$J$19,0)+IF(C16=5,J16*Geometry!$K$19,0)</f>
        <v>0</v>
      </c>
      <c r="N16" s="59">
        <f>IF(C16=1,J16*Geometry!$G$22,0)+IF(C16=2,J16*Geometry!$H$22,0)+IF(C16=3,J16*Geometry!$I$22,0)+IF(C16=4,J16*Geometry!$J$22,0)+IF(C16=5,J16*Geometry!$K$22,0)</f>
        <v>534.07075111026495</v>
      </c>
      <c r="O16" s="59">
        <f>IF(C16=1,J16*Geometry!$G$23,0)+IF(C16=2,J16*Geometry!$H$23,0)+IF(C16=3,J16*Geometry!$I$23,0)+IF(C16=4,J16*Geometry!$J$23,0)+IF(C16=5,J16*Geometry!$K$23,0)</f>
        <v>0</v>
      </c>
      <c r="P16">
        <f>IF(C16=1,J16*Geometry!$G$24,0)+IF(C16=2,J16*Geometry!$H$24,0)+IF(C16=3,J16*Geometry!$I$24,0)+IF(C16=4,J16*Geometry!$J$24,0)+IF(C16=5,J16*Geometry!$K$24,0)</f>
        <v>267.03537555513248</v>
      </c>
    </row>
    <row r="17" spans="1:16">
      <c r="A17" s="7">
        <f t="shared" si="3"/>
        <v>11</v>
      </c>
      <c r="B17" s="7"/>
      <c r="C17" s="7">
        <f t="shared" si="4"/>
        <v>1</v>
      </c>
      <c r="D17" s="69">
        <f>D16+Geometry!$C$15</f>
        <v>260</v>
      </c>
      <c r="E17" s="69">
        <f t="shared" si="5"/>
        <v>55</v>
      </c>
      <c r="F17" s="12">
        <f>Geometry!$D$12*D17</f>
        <v>6.2950588235294127</v>
      </c>
      <c r="G17" s="12">
        <f t="shared" si="0"/>
        <v>0.64235294117647068</v>
      </c>
      <c r="H17" s="12">
        <f>IF(ABS(E17*E17)&lt;=Geometry!$E$10,SQRT(Geometry!$E$10-E17*E17),0)</f>
        <v>95.262794416288244</v>
      </c>
      <c r="I17" s="12">
        <f t="shared" si="1"/>
        <v>1</v>
      </c>
      <c r="J17" s="15">
        <f t="shared" si="2"/>
        <v>28509.953331327368</v>
      </c>
      <c r="K17" s="59">
        <f>IF(C17=1,J17*Geometry!$G$21,0)+IF(C17=2,J17*Geometry!$H$21,0)+IF(C17=3,J17*Geometry!$I$21,0)+IF(C17=4,J17*Geometry!$J$21,0)+IF(C17=5,J17*Geometry!$K$21,0)</f>
        <v>25373.858464881359</v>
      </c>
      <c r="L17" s="59">
        <f>IF(C17=1,J17*Geometry!$G$20,0)+IF(C17=2,J17*Geometry!$H$20,0)+IF(C17=3,J17*Geometry!$I$20,0)+IF(C17=4,J17*Geometry!$J$20,0)+IF(C17=5,J17*Geometry!$K$20,0)</f>
        <v>0</v>
      </c>
      <c r="M17" s="59">
        <f>IF(C17=1,J17*Geometry!$G$19,0)+IF(C17=2,J17*Geometry!$H$19,0)+IF(C17=3,J17*Geometry!$I$19,0)+IF(C17=4,J17*Geometry!$J$19,0)+IF(C17=5,J17*Geometry!$K$19,0)</f>
        <v>0</v>
      </c>
      <c r="N17" s="59">
        <f>IF(C17=1,J17*Geometry!$G$22,0)+IF(C17=2,J17*Geometry!$H$22,0)+IF(C17=3,J17*Geometry!$I$22,0)+IF(C17=4,J17*Geometry!$J$22,0)+IF(C17=5,J17*Geometry!$K$22,0)</f>
        <v>570.19906662654739</v>
      </c>
      <c r="O17" s="59">
        <f>IF(C17=1,J17*Geometry!$G$23,0)+IF(C17=2,J17*Geometry!$H$23,0)+IF(C17=3,J17*Geometry!$I$23,0)+IF(C17=4,J17*Geometry!$J$23,0)+IF(C17=5,J17*Geometry!$K$23,0)</f>
        <v>0</v>
      </c>
      <c r="P17">
        <f>IF(C17=1,J17*Geometry!$G$24,0)+IF(C17=2,J17*Geometry!$H$24,0)+IF(C17=3,J17*Geometry!$I$24,0)+IF(C17=4,J17*Geometry!$J$24,0)+IF(C17=5,J17*Geometry!$K$24,0)</f>
        <v>285.0995333132737</v>
      </c>
    </row>
    <row r="18" spans="1:16">
      <c r="A18" s="7">
        <f t="shared" si="3"/>
        <v>12</v>
      </c>
      <c r="B18" s="7"/>
      <c r="C18" s="7">
        <f t="shared" si="4"/>
        <v>1</v>
      </c>
      <c r="D18" s="69">
        <f>D17+Geometry!$C$15</f>
        <v>265</v>
      </c>
      <c r="E18" s="69">
        <f t="shared" si="5"/>
        <v>50</v>
      </c>
      <c r="F18" s="12">
        <f>Geometry!$D$12*D18</f>
        <v>6.4161176470588241</v>
      </c>
      <c r="G18" s="12">
        <f t="shared" si="0"/>
        <v>0.65470588235294114</v>
      </c>
      <c r="H18" s="12">
        <f>IF(ABS(E18*E18)&lt;=Geometry!$E$10,SQRT(Geometry!$E$10-E18*E18),0)</f>
        <v>97.979589711327122</v>
      </c>
      <c r="I18" s="12">
        <f t="shared" si="1"/>
        <v>1</v>
      </c>
      <c r="J18" s="15">
        <f t="shared" si="2"/>
        <v>30159.28947446201</v>
      </c>
      <c r="K18" s="59">
        <f>IF(C18=1,J18*Geometry!$G$21,0)+IF(C18=2,J18*Geometry!$H$21,0)+IF(C18=3,J18*Geometry!$I$21,0)+IF(C18=4,J18*Geometry!$J$21,0)+IF(C18=5,J18*Geometry!$K$21,0)</f>
        <v>26841.767632271189</v>
      </c>
      <c r="L18" s="59">
        <f>IF(C18=1,J18*Geometry!$G$20,0)+IF(C18=2,J18*Geometry!$H$20,0)+IF(C18=3,J18*Geometry!$I$20,0)+IF(C18=4,J18*Geometry!$J$20,0)+IF(C18=5,J18*Geometry!$K$20,0)</f>
        <v>0</v>
      </c>
      <c r="M18" s="59">
        <f>IF(C18=1,J18*Geometry!$G$19,0)+IF(C18=2,J18*Geometry!$H$19,0)+IF(C18=3,J18*Geometry!$I$19,0)+IF(C18=4,J18*Geometry!$J$19,0)+IF(C18=5,J18*Geometry!$K$19,0)</f>
        <v>0</v>
      </c>
      <c r="N18" s="59">
        <f>IF(C18=1,J18*Geometry!$G$22,0)+IF(C18=2,J18*Geometry!$H$22,0)+IF(C18=3,J18*Geometry!$I$22,0)+IF(C18=4,J18*Geometry!$J$22,0)+IF(C18=5,J18*Geometry!$K$22,0)</f>
        <v>603.18578948924016</v>
      </c>
      <c r="O18" s="59">
        <f>IF(C18=1,J18*Geometry!$G$23,0)+IF(C18=2,J18*Geometry!$H$23,0)+IF(C18=3,J18*Geometry!$I$23,0)+IF(C18=4,J18*Geometry!$J$23,0)+IF(C18=5,J18*Geometry!$K$23,0)</f>
        <v>0</v>
      </c>
      <c r="P18">
        <f>IF(C18=1,J18*Geometry!$G$24,0)+IF(C18=2,J18*Geometry!$H$24,0)+IF(C18=3,J18*Geometry!$I$24,0)+IF(C18=4,J18*Geometry!$J$24,0)+IF(C18=5,J18*Geometry!$K$24,0)</f>
        <v>301.59289474462008</v>
      </c>
    </row>
    <row r="19" spans="1:16" ht="16" customHeight="1">
      <c r="A19" s="7">
        <f t="shared" si="3"/>
        <v>13</v>
      </c>
      <c r="B19" s="7"/>
      <c r="C19" s="7">
        <f t="shared" si="4"/>
        <v>1</v>
      </c>
      <c r="D19" s="69">
        <f>D18+Geometry!$C$15</f>
        <v>270</v>
      </c>
      <c r="E19" s="69">
        <f t="shared" si="5"/>
        <v>45</v>
      </c>
      <c r="F19" s="12">
        <f>Geometry!$D$12*D19</f>
        <v>6.5371764705882365</v>
      </c>
      <c r="G19" s="12">
        <f t="shared" si="0"/>
        <v>0.66705882352941182</v>
      </c>
      <c r="H19" s="12">
        <f>IF(ABS(E19*E19)&lt;=Geometry!$E$10,SQRT(Geometry!$E$10-E19*E19),0)</f>
        <v>100.37429949942366</v>
      </c>
      <c r="I19" s="12">
        <f t="shared" si="1"/>
        <v>1</v>
      </c>
      <c r="J19" s="15">
        <f t="shared" si="2"/>
        <v>31651.545984917168</v>
      </c>
      <c r="K19" s="59">
        <f>IF(C19=1,J19*Geometry!$G$21,0)+IF(C19=2,J19*Geometry!$H$21,0)+IF(C19=3,J19*Geometry!$I$21,0)+IF(C19=4,J19*Geometry!$J$21,0)+IF(C19=5,J19*Geometry!$K$21,0)</f>
        <v>28169.875926576278</v>
      </c>
      <c r="L19" s="59">
        <f>IF(C19=1,J19*Geometry!$G$20,0)+IF(C19=2,J19*Geometry!$H$20,0)+IF(C19=3,J19*Geometry!$I$20,0)+IF(C19=4,J19*Geometry!$J$20,0)+IF(C19=5,J19*Geometry!$K$20,0)</f>
        <v>0</v>
      </c>
      <c r="M19" s="59">
        <f>IF(C19=1,J19*Geometry!$G$19,0)+IF(C19=2,J19*Geometry!$H$19,0)+IF(C19=3,J19*Geometry!$I$19,0)+IF(C19=4,J19*Geometry!$J$19,0)+IF(C19=5,J19*Geometry!$K$19,0)</f>
        <v>0</v>
      </c>
      <c r="N19" s="59">
        <f>IF(C19=1,J19*Geometry!$G$22,0)+IF(C19=2,J19*Geometry!$H$22,0)+IF(C19=3,J19*Geometry!$I$22,0)+IF(C19=4,J19*Geometry!$J$22,0)+IF(C19=5,J19*Geometry!$K$22,0)</f>
        <v>633.03091969834338</v>
      </c>
      <c r="O19" s="59">
        <f>IF(C19=1,J19*Geometry!$G$23,0)+IF(C19=2,J19*Geometry!$H$23,0)+IF(C19=3,J19*Geometry!$I$23,0)+IF(C19=4,J19*Geometry!$J$23,0)+IF(C19=5,J19*Geometry!$K$23,0)</f>
        <v>0</v>
      </c>
      <c r="P19">
        <f>IF(C19=1,J19*Geometry!$G$24,0)+IF(C19=2,J19*Geometry!$H$24,0)+IF(C19=3,J19*Geometry!$I$24,0)+IF(C19=4,J19*Geometry!$J$24,0)+IF(C19=5,J19*Geometry!$K$24,0)</f>
        <v>316.51545984917169</v>
      </c>
    </row>
    <row r="20" spans="1:16" ht="16" customHeight="1">
      <c r="A20" s="7">
        <f t="shared" si="3"/>
        <v>14</v>
      </c>
      <c r="B20" s="7"/>
      <c r="C20" s="7">
        <f t="shared" si="4"/>
        <v>1</v>
      </c>
      <c r="D20" s="69">
        <f>D19+Geometry!$C$15</f>
        <v>275</v>
      </c>
      <c r="E20" s="69">
        <f t="shared" si="5"/>
        <v>40</v>
      </c>
      <c r="F20" s="12">
        <f>Geometry!$D$12*D20</f>
        <v>6.6582352941176479</v>
      </c>
      <c r="G20" s="12">
        <f t="shared" si="0"/>
        <v>0.67941176470588238</v>
      </c>
      <c r="H20" s="12">
        <f>IF(ABS(E20*E20)&lt;=Geometry!$E$10,SQRT(Geometry!$E$10-E20*E20),0)</f>
        <v>102.46950765959599</v>
      </c>
      <c r="I20" s="12">
        <f t="shared" si="1"/>
        <v>1</v>
      </c>
      <c r="J20" s="15">
        <f t="shared" si="2"/>
        <v>32986.722862692834</v>
      </c>
      <c r="K20" s="59">
        <f>IF(C20=1,J20*Geometry!$G$21,0)+IF(C20=2,J20*Geometry!$H$21,0)+IF(C20=3,J20*Geometry!$I$21,0)+IF(C20=4,J20*Geometry!$J$21,0)+IF(C20=5,J20*Geometry!$K$21,0)</f>
        <v>29358.183347796621</v>
      </c>
      <c r="L20" s="59">
        <f>IF(C20=1,J20*Geometry!$G$20,0)+IF(C20=2,J20*Geometry!$H$20,0)+IF(C20=3,J20*Geometry!$I$20,0)+IF(C20=4,J20*Geometry!$J$20,0)+IF(C20=5,J20*Geometry!$K$20,0)</f>
        <v>0</v>
      </c>
      <c r="M20" s="59">
        <f>IF(C20=1,J20*Geometry!$G$19,0)+IF(C20=2,J20*Geometry!$H$19,0)+IF(C20=3,J20*Geometry!$I$19,0)+IF(C20=4,J20*Geometry!$J$19,0)+IF(C20=5,J20*Geometry!$K$19,0)</f>
        <v>0</v>
      </c>
      <c r="N20" s="59">
        <f>IF(C20=1,J20*Geometry!$G$22,0)+IF(C20=2,J20*Geometry!$H$22,0)+IF(C20=3,J20*Geometry!$I$22,0)+IF(C20=4,J20*Geometry!$J$22,0)+IF(C20=5,J20*Geometry!$K$22,0)</f>
        <v>659.7344572538567</v>
      </c>
      <c r="O20" s="59">
        <f>IF(C20=1,J20*Geometry!$G$23,0)+IF(C20=2,J20*Geometry!$H$23,0)+IF(C20=3,J20*Geometry!$I$23,0)+IF(C20=4,J20*Geometry!$J$23,0)+IF(C20=5,J20*Geometry!$K$23,0)</f>
        <v>0</v>
      </c>
      <c r="P20">
        <f>IF(C20=1,J20*Geometry!$G$24,0)+IF(C20=2,J20*Geometry!$H$24,0)+IF(C20=3,J20*Geometry!$I$24,0)+IF(C20=4,J20*Geometry!$J$24,0)+IF(C20=5,J20*Geometry!$K$24,0)</f>
        <v>329.86722862692835</v>
      </c>
    </row>
    <row r="21" spans="1:16">
      <c r="A21" s="7">
        <f t="shared" si="3"/>
        <v>15</v>
      </c>
      <c r="B21" s="7"/>
      <c r="C21" s="7">
        <f t="shared" si="4"/>
        <v>1</v>
      </c>
      <c r="D21" s="69">
        <f>D20+Geometry!$C$15</f>
        <v>280</v>
      </c>
      <c r="E21" s="69">
        <f t="shared" si="5"/>
        <v>35</v>
      </c>
      <c r="F21" s="12">
        <f>Geometry!$D$12*D21</f>
        <v>6.7792941176470594</v>
      </c>
      <c r="G21" s="12">
        <f t="shared" si="0"/>
        <v>0.69176470588235295</v>
      </c>
      <c r="H21" s="12">
        <f>IF(ABS(E21*E21)&lt;=Geometry!$E$10,SQRT(Geometry!$E$10-E21*E21),0)</f>
        <v>104.28326807307106</v>
      </c>
      <c r="I21" s="12">
        <f t="shared" si="1"/>
        <v>1</v>
      </c>
      <c r="J21" s="15">
        <f t="shared" si="2"/>
        <v>34164.820107789004</v>
      </c>
      <c r="K21" s="59">
        <f>IF(C21=1,J21*Geometry!$G$21,0)+IF(C21=2,J21*Geometry!$H$21,0)+IF(C21=3,J21*Geometry!$I$21,0)+IF(C21=4,J21*Geometry!$J$21,0)+IF(C21=5,J21*Geometry!$K$21,0)</f>
        <v>30406.689895932213</v>
      </c>
      <c r="L21" s="59">
        <f>IF(C21=1,J21*Geometry!$G$20,0)+IF(C21=2,J21*Geometry!$H$20,0)+IF(C21=3,J21*Geometry!$I$20,0)+IF(C21=4,J21*Geometry!$J$20,0)+IF(C21=5,J21*Geometry!$K$20,0)</f>
        <v>0</v>
      </c>
      <c r="M21" s="59">
        <f>IF(C21=1,J21*Geometry!$G$19,0)+IF(C21=2,J21*Geometry!$H$19,0)+IF(C21=3,J21*Geometry!$I$19,0)+IF(C21=4,J21*Geometry!$J$19,0)+IF(C21=5,J21*Geometry!$K$19,0)</f>
        <v>0</v>
      </c>
      <c r="N21" s="59">
        <f>IF(C21=1,J21*Geometry!$G$22,0)+IF(C21=2,J21*Geometry!$H$22,0)+IF(C21=3,J21*Geometry!$I$22,0)+IF(C21=4,J21*Geometry!$J$22,0)+IF(C21=5,J21*Geometry!$K$22,0)</f>
        <v>683.29640215578013</v>
      </c>
      <c r="O21" s="59">
        <f>IF(C21=1,J21*Geometry!$G$23,0)+IF(C21=2,J21*Geometry!$H$23,0)+IF(C21=3,J21*Geometry!$I$23,0)+IF(C21=4,J21*Geometry!$J$23,0)+IF(C21=5,J21*Geometry!$K$23,0)</f>
        <v>0</v>
      </c>
      <c r="P21">
        <f>IF(C21=1,J21*Geometry!$G$24,0)+IF(C21=2,J21*Geometry!$H$24,0)+IF(C21=3,J21*Geometry!$I$24,0)+IF(C21=4,J21*Geometry!$J$24,0)+IF(C21=5,J21*Geometry!$K$24,0)</f>
        <v>341.64820107789006</v>
      </c>
    </row>
    <row r="22" spans="1:16">
      <c r="A22" s="7">
        <f t="shared" si="3"/>
        <v>16</v>
      </c>
      <c r="B22" s="7"/>
      <c r="C22" s="7">
        <f t="shared" si="4"/>
        <v>1</v>
      </c>
      <c r="D22" s="69">
        <f>D21+Geometry!$C$15</f>
        <v>285</v>
      </c>
      <c r="E22" s="69">
        <f t="shared" si="5"/>
        <v>30</v>
      </c>
      <c r="F22" s="12">
        <f>Geometry!$D$12*D22</f>
        <v>6.9003529411764717</v>
      </c>
      <c r="G22" s="12">
        <f t="shared" si="0"/>
        <v>0.70411764705882363</v>
      </c>
      <c r="H22" s="12">
        <f>IF(ABS(E22*E22)&lt;=Geometry!$E$10,SQRT(Geometry!$E$10-E22*E22),0)</f>
        <v>105.83005244258362</v>
      </c>
      <c r="I22" s="12">
        <f t="shared" si="1"/>
        <v>1</v>
      </c>
      <c r="J22" s="15">
        <f t="shared" si="2"/>
        <v>35185.83772020568</v>
      </c>
      <c r="K22" s="59">
        <f>IF(C22=1,J22*Geometry!$G$21,0)+IF(C22=2,J22*Geometry!$H$21,0)+IF(C22=3,J22*Geometry!$I$21,0)+IF(C22=4,J22*Geometry!$J$21,0)+IF(C22=5,J22*Geometry!$K$21,0)</f>
        <v>31315.395570983055</v>
      </c>
      <c r="L22" s="59">
        <f>IF(C22=1,J22*Geometry!$G$20,0)+IF(C22=2,J22*Geometry!$H$20,0)+IF(C22=3,J22*Geometry!$I$20,0)+IF(C22=4,J22*Geometry!$J$20,0)+IF(C22=5,J22*Geometry!$K$20,0)</f>
        <v>0</v>
      </c>
      <c r="M22" s="59">
        <f>IF(C22=1,J22*Geometry!$G$19,0)+IF(C22=2,J22*Geometry!$H$19,0)+IF(C22=3,J22*Geometry!$I$19,0)+IF(C22=4,J22*Geometry!$J$19,0)+IF(C22=5,J22*Geometry!$K$19,0)</f>
        <v>0</v>
      </c>
      <c r="N22" s="59">
        <f>IF(C22=1,J22*Geometry!$G$22,0)+IF(C22=2,J22*Geometry!$H$22,0)+IF(C22=3,J22*Geometry!$I$22,0)+IF(C22=4,J22*Geometry!$J$22,0)+IF(C22=5,J22*Geometry!$K$22,0)</f>
        <v>703.71675440411366</v>
      </c>
      <c r="O22" s="59">
        <f>IF(C22=1,J22*Geometry!$G$23,0)+IF(C22=2,J22*Geometry!$H$23,0)+IF(C22=3,J22*Geometry!$I$23,0)+IF(C22=4,J22*Geometry!$J$23,0)+IF(C22=5,J22*Geometry!$K$23,0)</f>
        <v>0</v>
      </c>
      <c r="P22">
        <f>IF(C22=1,J22*Geometry!$G$24,0)+IF(C22=2,J22*Geometry!$H$24,0)+IF(C22=3,J22*Geometry!$I$24,0)+IF(C22=4,J22*Geometry!$J$24,0)+IF(C22=5,J22*Geometry!$K$24,0)</f>
        <v>351.85837720205683</v>
      </c>
    </row>
    <row r="23" spans="1:16">
      <c r="A23" s="7">
        <f t="shared" si="3"/>
        <v>17</v>
      </c>
      <c r="B23" s="7"/>
      <c r="C23" s="7">
        <f t="shared" si="4"/>
        <v>1</v>
      </c>
      <c r="D23" s="69">
        <f>D22+Geometry!$C$15</f>
        <v>290</v>
      </c>
      <c r="E23" s="69">
        <f t="shared" si="5"/>
        <v>25</v>
      </c>
      <c r="F23" s="12">
        <f>Geometry!$D$12*D23</f>
        <v>7.0214117647058831</v>
      </c>
      <c r="G23" s="12">
        <f t="shared" si="0"/>
        <v>0.71647058823529419</v>
      </c>
      <c r="H23" s="12">
        <f>IF(ABS(E23*E23)&lt;=Geometry!$E$10,SQRT(Geometry!$E$10-E23*E23),0)</f>
        <v>107.12142642814275</v>
      </c>
      <c r="I23" s="12">
        <f t="shared" si="1"/>
        <v>1</v>
      </c>
      <c r="J23" s="15">
        <f t="shared" si="2"/>
        <v>36049.775699942882</v>
      </c>
      <c r="K23" s="59">
        <f>IF(C23=1,J23*Geometry!$G$21,0)+IF(C23=2,J23*Geometry!$H$21,0)+IF(C23=3,J23*Geometry!$I$21,0)+IF(C23=4,J23*Geometry!$J$21,0)+IF(C23=5,J23*Geometry!$K$21,0)</f>
        <v>32084.300372949165</v>
      </c>
      <c r="L23" s="59">
        <f>IF(C23=1,J23*Geometry!$G$20,0)+IF(C23=2,J23*Geometry!$H$20,0)+IF(C23=3,J23*Geometry!$I$20,0)+IF(C23=4,J23*Geometry!$J$20,0)+IF(C23=5,J23*Geometry!$K$20,0)</f>
        <v>0</v>
      </c>
      <c r="M23" s="59">
        <f>IF(C23=1,J23*Geometry!$G$19,0)+IF(C23=2,J23*Geometry!$H$19,0)+IF(C23=3,J23*Geometry!$I$19,0)+IF(C23=4,J23*Geometry!$J$19,0)+IF(C23=5,J23*Geometry!$K$19,0)</f>
        <v>0</v>
      </c>
      <c r="N23" s="59">
        <f>IF(C23=1,J23*Geometry!$G$22,0)+IF(C23=2,J23*Geometry!$H$22,0)+IF(C23=3,J23*Geometry!$I$22,0)+IF(C23=4,J23*Geometry!$J$22,0)+IF(C23=5,J23*Geometry!$K$22,0)</f>
        <v>720.99551399885763</v>
      </c>
      <c r="O23" s="59">
        <f>IF(C23=1,J23*Geometry!$G$23,0)+IF(C23=2,J23*Geometry!$H$23,0)+IF(C23=3,J23*Geometry!$I$23,0)+IF(C23=4,J23*Geometry!$J$23,0)+IF(C23=5,J23*Geometry!$K$23,0)</f>
        <v>0</v>
      </c>
      <c r="P23">
        <f>IF(C23=1,J23*Geometry!$G$24,0)+IF(C23=2,J23*Geometry!$H$24,0)+IF(C23=3,J23*Geometry!$I$24,0)+IF(C23=4,J23*Geometry!$J$24,0)+IF(C23=5,J23*Geometry!$K$24,0)</f>
        <v>360.49775699942882</v>
      </c>
    </row>
    <row r="24" spans="1:16">
      <c r="A24" s="7">
        <f t="shared" si="3"/>
        <v>18</v>
      </c>
      <c r="B24" s="7"/>
      <c r="C24" s="7">
        <f t="shared" si="4"/>
        <v>1</v>
      </c>
      <c r="D24" s="69">
        <f>D23+Geometry!$C$15</f>
        <v>295</v>
      </c>
      <c r="E24" s="69">
        <f t="shared" si="5"/>
        <v>20</v>
      </c>
      <c r="F24" s="12">
        <f>Geometry!$D$12*D24</f>
        <v>7.1424705882352955</v>
      </c>
      <c r="G24" s="12">
        <f t="shared" si="0"/>
        <v>0.72882352941176476</v>
      </c>
      <c r="H24" s="12">
        <f>IF(ABS(E24*E24)&lt;=Geometry!$E$10,SQRT(Geometry!$E$10-E24*E24),0)</f>
        <v>108.16653826391968</v>
      </c>
      <c r="I24" s="12">
        <f t="shared" si="1"/>
        <v>1</v>
      </c>
      <c r="J24" s="15">
        <f t="shared" si="2"/>
        <v>36756.634047000582</v>
      </c>
      <c r="K24" s="59">
        <f>IF(C24=1,J24*Geometry!$G$21,0)+IF(C24=2,J24*Geometry!$H$21,0)+IF(C24=3,J24*Geometry!$I$21,0)+IF(C24=4,J24*Geometry!$J$21,0)+IF(C24=5,J24*Geometry!$K$21,0)</f>
        <v>32713.404301830516</v>
      </c>
      <c r="L24" s="59">
        <f>IF(C24=1,J24*Geometry!$G$20,0)+IF(C24=2,J24*Geometry!$H$20,0)+IF(C24=3,J24*Geometry!$I$20,0)+IF(C24=4,J24*Geometry!$J$20,0)+IF(C24=5,J24*Geometry!$K$20,0)</f>
        <v>0</v>
      </c>
      <c r="M24" s="59">
        <f>IF(C24=1,J24*Geometry!$G$19,0)+IF(C24=2,J24*Geometry!$H$19,0)+IF(C24=3,J24*Geometry!$I$19,0)+IF(C24=4,J24*Geometry!$J$19,0)+IF(C24=5,J24*Geometry!$K$19,0)</f>
        <v>0</v>
      </c>
      <c r="N24" s="59">
        <f>IF(C24=1,J24*Geometry!$G$22,0)+IF(C24=2,J24*Geometry!$H$22,0)+IF(C24=3,J24*Geometry!$I$22,0)+IF(C24=4,J24*Geometry!$J$22,0)+IF(C24=5,J24*Geometry!$K$22,0)</f>
        <v>735.1326809400116</v>
      </c>
      <c r="O24" s="59">
        <f>IF(C24=1,J24*Geometry!$G$23,0)+IF(C24=2,J24*Geometry!$H$23,0)+IF(C24=3,J24*Geometry!$I$23,0)+IF(C24=4,J24*Geometry!$J$23,0)+IF(C24=5,J24*Geometry!$K$23,0)</f>
        <v>0</v>
      </c>
      <c r="P24">
        <f>IF(C24=1,J24*Geometry!$G$24,0)+IF(C24=2,J24*Geometry!$H$24,0)+IF(C24=3,J24*Geometry!$I$24,0)+IF(C24=4,J24*Geometry!$J$24,0)+IF(C24=5,J24*Geometry!$K$24,0)</f>
        <v>367.5663404700058</v>
      </c>
    </row>
    <row r="25" spans="1:16">
      <c r="A25" s="7">
        <f t="shared" si="3"/>
        <v>19</v>
      </c>
      <c r="B25" s="7"/>
      <c r="C25" s="7">
        <f t="shared" si="4"/>
        <v>1</v>
      </c>
      <c r="D25" s="69">
        <f>D24+Geometry!$C$15</f>
        <v>300</v>
      </c>
      <c r="E25" s="69">
        <f t="shared" si="5"/>
        <v>15</v>
      </c>
      <c r="F25" s="12">
        <f>Geometry!$D$12*D25</f>
        <v>7.2635294117647069</v>
      </c>
      <c r="G25" s="12">
        <f t="shared" si="0"/>
        <v>0.74117647058823533</v>
      </c>
      <c r="H25" s="12">
        <f>IF(ABS(E25*E25)&lt;=Geometry!$E$10,SQRT(Geometry!$E$10-E25*E25),0)</f>
        <v>108.97247358851683</v>
      </c>
      <c r="I25" s="12">
        <f t="shared" si="1"/>
        <v>1</v>
      </c>
      <c r="J25" s="15">
        <f t="shared" si="2"/>
        <v>37306.412761378793</v>
      </c>
      <c r="K25" s="59">
        <f>IF(C25=1,J25*Geometry!$G$21,0)+IF(C25=2,J25*Geometry!$H$21,0)+IF(C25=3,J25*Geometry!$I$21,0)+IF(C25=4,J25*Geometry!$J$21,0)+IF(C25=5,J25*Geometry!$K$21,0)</f>
        <v>33202.707357627129</v>
      </c>
      <c r="L25" s="59">
        <f>IF(C25=1,J25*Geometry!$G$20,0)+IF(C25=2,J25*Geometry!$H$20,0)+IF(C25=3,J25*Geometry!$I$20,0)+IF(C25=4,J25*Geometry!$J$20,0)+IF(C25=5,J25*Geometry!$K$20,0)</f>
        <v>0</v>
      </c>
      <c r="M25" s="59">
        <f>IF(C25=1,J25*Geometry!$G$19,0)+IF(C25=2,J25*Geometry!$H$19,0)+IF(C25=3,J25*Geometry!$I$19,0)+IF(C25=4,J25*Geometry!$J$19,0)+IF(C25=5,J25*Geometry!$K$19,0)</f>
        <v>0</v>
      </c>
      <c r="N25" s="59">
        <f>IF(C25=1,J25*Geometry!$G$22,0)+IF(C25=2,J25*Geometry!$H$22,0)+IF(C25=3,J25*Geometry!$I$22,0)+IF(C25=4,J25*Geometry!$J$22,0)+IF(C25=5,J25*Geometry!$K$22,0)</f>
        <v>746.12825522757589</v>
      </c>
      <c r="O25" s="59">
        <f>IF(C25=1,J25*Geometry!$G$23,0)+IF(C25=2,J25*Geometry!$H$23,0)+IF(C25=3,J25*Geometry!$I$23,0)+IF(C25=4,J25*Geometry!$J$23,0)+IF(C25=5,J25*Geometry!$K$23,0)</f>
        <v>0</v>
      </c>
      <c r="P25">
        <f>IF(C25=1,J25*Geometry!$G$24,0)+IF(C25=2,J25*Geometry!$H$24,0)+IF(C25=3,J25*Geometry!$I$24,0)+IF(C25=4,J25*Geometry!$J$24,0)+IF(C25=5,J25*Geometry!$K$24,0)</f>
        <v>373.06412761378795</v>
      </c>
    </row>
    <row r="26" spans="1:16">
      <c r="A26" s="7">
        <f t="shared" si="3"/>
        <v>20</v>
      </c>
      <c r="B26" s="7"/>
      <c r="C26" s="7">
        <f t="shared" si="4"/>
        <v>2</v>
      </c>
      <c r="D26" s="69">
        <f>D25+Geometry!$C$15</f>
        <v>305</v>
      </c>
      <c r="E26" s="69">
        <f t="shared" si="5"/>
        <v>10</v>
      </c>
      <c r="F26" s="12">
        <f>Geometry!$D$12*D26</f>
        <v>7.3845882352941183</v>
      </c>
      <c r="G26" s="12">
        <f t="shared" si="0"/>
        <v>0.75352941176470589</v>
      </c>
      <c r="H26" s="12">
        <f>IF(ABS(E26*E26)&lt;=Geometry!$E$10,SQRT(Geometry!$E$10-E26*E26),0)</f>
        <v>109.54451150103323</v>
      </c>
      <c r="I26" s="12">
        <f t="shared" si="1"/>
        <v>1</v>
      </c>
      <c r="J26" s="15">
        <f t="shared" si="2"/>
        <v>37699.111843077517</v>
      </c>
      <c r="K26" s="59">
        <f>IF(C26=1,J26*Geometry!$G$21,0)+IF(C26=2,J26*Geometry!$H$21,0)+IF(C26=3,J26*Geometry!$I$21,0)+IF(C26=4,J26*Geometry!$J$21,0)+IF(C26=5,J26*Geometry!$K$21,0)</f>
        <v>0</v>
      </c>
      <c r="L26" s="59">
        <f>IF(C26=1,J26*Geometry!$G$20,0)+IF(C26=2,J26*Geometry!$H$20,0)+IF(C26=3,J26*Geometry!$I$20,0)+IF(C26=4,J26*Geometry!$J$20,0)+IF(C26=5,J26*Geometry!$K$20,0)</f>
        <v>19226.547039969533</v>
      </c>
      <c r="M26" s="59">
        <f>IF(C26=1,J26*Geometry!$G$19,0)+IF(C26=2,J26*Geometry!$H$19,0)+IF(C26=3,J26*Geometry!$I$19,0)+IF(C26=4,J26*Geometry!$J$19,0)+IF(C26=5,J26*Geometry!$K$19,0)</f>
        <v>5277.8756580308527</v>
      </c>
      <c r="N26" s="59">
        <f>IF(C26=1,J26*Geometry!$G$22,0)+IF(C26=2,J26*Geometry!$H$22,0)+IF(C26=3,J26*Geometry!$I$22,0)+IF(C26=4,J26*Geometry!$J$22,0)+IF(C26=5,J26*Geometry!$K$22,0)</f>
        <v>0</v>
      </c>
      <c r="O26" s="59">
        <f>IF(C26=1,J26*Geometry!$G$23,0)+IF(C26=2,J26*Geometry!$H$23,0)+IF(C26=3,J26*Geometry!$I$23,0)+IF(C26=4,J26*Geometry!$J$23,0)+IF(C26=5,J26*Geometry!$K$23,0)</f>
        <v>8406.9019410062865</v>
      </c>
      <c r="P26">
        <f>IF(C26=1,J26*Geometry!$G$24,0)+IF(C26=2,J26*Geometry!$H$24,0)+IF(C26=3,J26*Geometry!$I$24,0)+IF(C26=4,J26*Geometry!$J$24,0)+IF(C26=5,J26*Geometry!$K$24,0)</f>
        <v>18.849555921538759</v>
      </c>
    </row>
    <row r="27" spans="1:16">
      <c r="A27" s="7">
        <f t="shared" si="3"/>
        <v>21</v>
      </c>
      <c r="B27" s="7"/>
      <c r="C27" s="7">
        <f t="shared" si="4"/>
        <v>2</v>
      </c>
      <c r="D27" s="69">
        <f>D26+Geometry!$C$15</f>
        <v>310</v>
      </c>
      <c r="E27" s="69">
        <f t="shared" si="5"/>
        <v>5</v>
      </c>
      <c r="F27" s="12">
        <f>Geometry!$D$12*D27</f>
        <v>7.5056470588235307</v>
      </c>
      <c r="G27" s="12">
        <f t="shared" si="0"/>
        <v>0.76588235294117657</v>
      </c>
      <c r="H27" s="12">
        <f>IF(ABS(E27*E27)&lt;=Geometry!$E$10,SQRT(Geometry!$E$10-E27*E27),0)</f>
        <v>109.88630487917955</v>
      </c>
      <c r="I27" s="12">
        <f t="shared" si="1"/>
        <v>1</v>
      </c>
      <c r="J27" s="15">
        <f t="shared" si="2"/>
        <v>37934.731292096752</v>
      </c>
      <c r="K27" s="59">
        <f>IF(C27=1,J27*Geometry!$G$21,0)+IF(C27=2,J27*Geometry!$H$21,0)+IF(C27=3,J27*Geometry!$I$21,0)+IF(C27=4,J27*Geometry!$J$21,0)+IF(C27=5,J27*Geometry!$K$21,0)</f>
        <v>0</v>
      </c>
      <c r="L27" s="59">
        <f>IF(C27=1,J27*Geometry!$G$20,0)+IF(C27=2,J27*Geometry!$H$20,0)+IF(C27=3,J27*Geometry!$I$20,0)+IF(C27=4,J27*Geometry!$J$20,0)+IF(C27=5,J27*Geometry!$K$20,0)</f>
        <v>19346.712958969343</v>
      </c>
      <c r="M27" s="59">
        <f>IF(C27=1,J27*Geometry!$G$19,0)+IF(C27=2,J27*Geometry!$H$19,0)+IF(C27=3,J27*Geometry!$I$19,0)+IF(C27=4,J27*Geometry!$J$19,0)+IF(C27=5,J27*Geometry!$K$19,0)</f>
        <v>5310.8623808935463</v>
      </c>
      <c r="N27" s="59">
        <f>IF(C27=1,J27*Geometry!$G$22,0)+IF(C27=2,J27*Geometry!$H$22,0)+IF(C27=3,J27*Geometry!$I$22,0)+IF(C27=4,J27*Geometry!$J$22,0)+IF(C27=5,J27*Geometry!$K$22,0)</f>
        <v>0</v>
      </c>
      <c r="O27" s="59">
        <f>IF(C27=1,J27*Geometry!$G$23,0)+IF(C27=2,J27*Geometry!$H$23,0)+IF(C27=3,J27*Geometry!$I$23,0)+IF(C27=4,J27*Geometry!$J$23,0)+IF(C27=5,J27*Geometry!$K$23,0)</f>
        <v>8459.4450781375763</v>
      </c>
      <c r="P27">
        <f>IF(C27=1,J27*Geometry!$G$24,0)+IF(C27=2,J27*Geometry!$H$24,0)+IF(C27=3,J27*Geometry!$I$24,0)+IF(C27=4,J27*Geometry!$J$24,0)+IF(C27=5,J27*Geometry!$K$24,0)</f>
        <v>18.967365646048378</v>
      </c>
    </row>
    <row r="28" spans="1:16">
      <c r="A28" s="7">
        <f t="shared" si="3"/>
        <v>22</v>
      </c>
      <c r="B28" s="7"/>
      <c r="C28" s="7">
        <f t="shared" si="4"/>
        <v>2</v>
      </c>
      <c r="D28" s="69">
        <f>D27+Geometry!$C$15</f>
        <v>315</v>
      </c>
      <c r="E28" s="69">
        <f t="shared" si="5"/>
        <v>0</v>
      </c>
      <c r="F28" s="12">
        <f>Geometry!$D$12*D28</f>
        <v>7.6267058823529421</v>
      </c>
      <c r="G28" s="12">
        <f t="shared" si="0"/>
        <v>0.77823529411764714</v>
      </c>
      <c r="H28" s="12">
        <f>IF(ABS(E28*E28)&lt;=Geometry!$E$10,SQRT(Geometry!$E$10-E28*E28),0)</f>
        <v>110</v>
      </c>
      <c r="I28" s="12">
        <f t="shared" si="1"/>
        <v>1</v>
      </c>
      <c r="J28" s="15">
        <f t="shared" si="2"/>
        <v>38013.2711084365</v>
      </c>
      <c r="K28" s="59">
        <f>IF(C28=1,J28*Geometry!$G$21,0)+IF(C28=2,J28*Geometry!$H$21,0)+IF(C28=3,J28*Geometry!$I$21,0)+IF(C28=4,J28*Geometry!$J$21,0)+IF(C28=5,J28*Geometry!$K$21,0)</f>
        <v>0</v>
      </c>
      <c r="L28" s="59">
        <f>IF(C28=1,J28*Geometry!$G$20,0)+IF(C28=2,J28*Geometry!$H$20,0)+IF(C28=3,J28*Geometry!$I$20,0)+IF(C28=4,J28*Geometry!$J$20,0)+IF(C28=5,J28*Geometry!$K$20,0)</f>
        <v>19386.768265302617</v>
      </c>
      <c r="M28" s="59">
        <f>IF(C28=1,J28*Geometry!$G$19,0)+IF(C28=2,J28*Geometry!$H$19,0)+IF(C28=3,J28*Geometry!$I$19,0)+IF(C28=4,J28*Geometry!$J$19,0)+IF(C28=5,J28*Geometry!$K$19,0)</f>
        <v>5321.8579551811108</v>
      </c>
      <c r="N28" s="59">
        <f>IF(C28=1,J28*Geometry!$G$22,0)+IF(C28=2,J28*Geometry!$H$22,0)+IF(C28=3,J28*Geometry!$I$22,0)+IF(C28=4,J28*Geometry!$J$22,0)+IF(C28=5,J28*Geometry!$K$22,0)</f>
        <v>0</v>
      </c>
      <c r="O28" s="59">
        <f>IF(C28=1,J28*Geometry!$G$23,0)+IF(C28=2,J28*Geometry!$H$23,0)+IF(C28=3,J28*Geometry!$I$23,0)+IF(C28=4,J28*Geometry!$J$23,0)+IF(C28=5,J28*Geometry!$K$23,0)</f>
        <v>8476.9594571813395</v>
      </c>
      <c r="P28">
        <f>IF(C28=1,J28*Geometry!$G$24,0)+IF(C28=2,J28*Geometry!$H$24,0)+IF(C28=3,J28*Geometry!$I$24,0)+IF(C28=4,J28*Geometry!$J$24,0)+IF(C28=5,J28*Geometry!$K$24,0)</f>
        <v>19.006635554218249</v>
      </c>
    </row>
    <row r="29" spans="1:16">
      <c r="A29" s="7">
        <f t="shared" si="3"/>
        <v>23</v>
      </c>
      <c r="B29" s="7"/>
      <c r="C29" s="7">
        <f t="shared" si="4"/>
        <v>2</v>
      </c>
      <c r="D29" s="69">
        <f>D28+Geometry!$C$15</f>
        <v>320</v>
      </c>
      <c r="E29" s="69">
        <f t="shared" si="5"/>
        <v>-5</v>
      </c>
      <c r="F29" s="12">
        <f>Geometry!$D$12*D29</f>
        <v>7.7477647058823536</v>
      </c>
      <c r="G29" s="12">
        <f t="shared" si="0"/>
        <v>0.7905882352941177</v>
      </c>
      <c r="H29" s="12">
        <f>IF(ABS(E29*E29)&lt;=Geometry!$E$10,SQRT(Geometry!$E$10-E29*E29),0)</f>
        <v>109.88630487917955</v>
      </c>
      <c r="I29" s="12">
        <f t="shared" si="1"/>
        <v>1</v>
      </c>
      <c r="J29" s="15">
        <f t="shared" si="2"/>
        <v>37934.731292096752</v>
      </c>
      <c r="K29" s="59">
        <f>IF(C29=1,J29*Geometry!$G$21,0)+IF(C29=2,J29*Geometry!$H$21,0)+IF(C29=3,J29*Geometry!$I$21,0)+IF(C29=4,J29*Geometry!$J$21,0)+IF(C29=5,J29*Geometry!$K$21,0)</f>
        <v>0</v>
      </c>
      <c r="L29" s="59">
        <f>IF(C29=1,J29*Geometry!$G$20,0)+IF(C29=2,J29*Geometry!$H$20,0)+IF(C29=3,J29*Geometry!$I$20,0)+IF(C29=4,J29*Geometry!$J$20,0)+IF(C29=5,J29*Geometry!$K$20,0)</f>
        <v>19346.712958969343</v>
      </c>
      <c r="M29" s="59">
        <f>IF(C29=1,J29*Geometry!$G$19,0)+IF(C29=2,J29*Geometry!$H$19,0)+IF(C29=3,J29*Geometry!$I$19,0)+IF(C29=4,J29*Geometry!$J$19,0)+IF(C29=5,J29*Geometry!$K$19,0)</f>
        <v>5310.8623808935463</v>
      </c>
      <c r="N29" s="59">
        <f>IF(C29=1,J29*Geometry!$G$22,0)+IF(C29=2,J29*Geometry!$H$22,0)+IF(C29=3,J29*Geometry!$I$22,0)+IF(C29=4,J29*Geometry!$J$22,0)+IF(C29=5,J29*Geometry!$K$22,0)</f>
        <v>0</v>
      </c>
      <c r="O29" s="59">
        <f>IF(C29=1,J29*Geometry!$G$23,0)+IF(C29=2,J29*Geometry!$H$23,0)+IF(C29=3,J29*Geometry!$I$23,0)+IF(C29=4,J29*Geometry!$J$23,0)+IF(C29=5,J29*Geometry!$K$23,0)</f>
        <v>8459.4450781375763</v>
      </c>
      <c r="P29">
        <f>IF(C29=1,J29*Geometry!$G$24,0)+IF(C29=2,J29*Geometry!$H$24,0)+IF(C29=3,J29*Geometry!$I$24,0)+IF(C29=4,J29*Geometry!$J$24,0)+IF(C29=5,J29*Geometry!$K$24,0)</f>
        <v>18.967365646048378</v>
      </c>
    </row>
    <row r="30" spans="1:16">
      <c r="A30" s="7">
        <f t="shared" si="3"/>
        <v>24</v>
      </c>
      <c r="B30" s="7"/>
      <c r="C30" s="7">
        <f t="shared" si="4"/>
        <v>2</v>
      </c>
      <c r="D30" s="69">
        <f>D29+Geometry!$C$15</f>
        <v>325</v>
      </c>
      <c r="E30" s="69">
        <f t="shared" si="5"/>
        <v>-10</v>
      </c>
      <c r="F30" s="12">
        <f>Geometry!$D$12*D30</f>
        <v>7.8688235294117659</v>
      </c>
      <c r="G30" s="12">
        <f t="shared" si="0"/>
        <v>0.80294117647058827</v>
      </c>
      <c r="H30" s="12">
        <f>IF(ABS(E30*E30)&lt;=Geometry!$E$10,SQRT(Geometry!$E$10-E30*E30),0)</f>
        <v>109.54451150103323</v>
      </c>
      <c r="I30" s="12">
        <f t="shared" si="1"/>
        <v>1</v>
      </c>
      <c r="J30" s="15">
        <f t="shared" si="2"/>
        <v>37699.111843077517</v>
      </c>
      <c r="K30" s="59">
        <f>IF(C30=1,J30*Geometry!$G$21,0)+IF(C30=2,J30*Geometry!$H$21,0)+IF(C30=3,J30*Geometry!$I$21,0)+IF(C30=4,J30*Geometry!$J$21,0)+IF(C30=5,J30*Geometry!$K$21,0)</f>
        <v>0</v>
      </c>
      <c r="L30" s="59">
        <f>IF(C30=1,J30*Geometry!$G$20,0)+IF(C30=2,J30*Geometry!$H$20,0)+IF(C30=3,J30*Geometry!$I$20,0)+IF(C30=4,J30*Geometry!$J$20,0)+IF(C30=5,J30*Geometry!$K$20,0)</f>
        <v>19226.547039969533</v>
      </c>
      <c r="M30" s="59">
        <f>IF(C30=1,J30*Geometry!$G$19,0)+IF(C30=2,J30*Geometry!$H$19,0)+IF(C30=3,J30*Geometry!$I$19,0)+IF(C30=4,J30*Geometry!$J$19,0)+IF(C30=5,J30*Geometry!$K$19,0)</f>
        <v>5277.8756580308527</v>
      </c>
      <c r="N30" s="59">
        <f>IF(C30=1,J30*Geometry!$G$22,0)+IF(C30=2,J30*Geometry!$H$22,0)+IF(C30=3,J30*Geometry!$I$22,0)+IF(C30=4,J30*Geometry!$J$22,0)+IF(C30=5,J30*Geometry!$K$22,0)</f>
        <v>0</v>
      </c>
      <c r="O30" s="59">
        <f>IF(C30=1,J30*Geometry!$G$23,0)+IF(C30=2,J30*Geometry!$H$23,0)+IF(C30=3,J30*Geometry!$I$23,0)+IF(C30=4,J30*Geometry!$J$23,0)+IF(C30=5,J30*Geometry!$K$23,0)</f>
        <v>8406.9019410062865</v>
      </c>
      <c r="P30">
        <f>IF(C30=1,J30*Geometry!$G$24,0)+IF(C30=2,J30*Geometry!$H$24,0)+IF(C30=3,J30*Geometry!$I$24,0)+IF(C30=4,J30*Geometry!$J$24,0)+IF(C30=5,J30*Geometry!$K$24,0)</f>
        <v>18.849555921538759</v>
      </c>
    </row>
    <row r="31" spans="1:16">
      <c r="A31" s="7">
        <f t="shared" si="3"/>
        <v>25</v>
      </c>
      <c r="B31" s="7"/>
      <c r="C31" s="7">
        <f t="shared" si="4"/>
        <v>1</v>
      </c>
      <c r="D31" s="69">
        <f>D30+Geometry!$C$15</f>
        <v>330</v>
      </c>
      <c r="E31" s="69">
        <f t="shared" si="5"/>
        <v>-15</v>
      </c>
      <c r="F31" s="12">
        <f>Geometry!$D$12*D31</f>
        <v>7.9898823529411773</v>
      </c>
      <c r="G31" s="12">
        <f t="shared" si="0"/>
        <v>0.81529411764705884</v>
      </c>
      <c r="H31" s="12">
        <f>IF(ABS(E31*E31)&lt;=Geometry!$E$10,SQRT(Geometry!$E$10-E31*E31),0)</f>
        <v>108.97247358851683</v>
      </c>
      <c r="I31" s="12">
        <f t="shared" si="1"/>
        <v>1</v>
      </c>
      <c r="J31" s="15">
        <f t="shared" si="2"/>
        <v>37306.412761378793</v>
      </c>
      <c r="K31" s="59">
        <f>IF(C31=1,J31*Geometry!$G$21,0)+IF(C31=2,J31*Geometry!$H$21,0)+IF(C31=3,J31*Geometry!$I$21,0)+IF(C31=4,J31*Geometry!$J$21,0)+IF(C31=5,J31*Geometry!$K$21,0)</f>
        <v>33202.707357627129</v>
      </c>
      <c r="L31" s="59">
        <f>IF(C31=1,J31*Geometry!$G$20,0)+IF(C31=2,J31*Geometry!$H$20,0)+IF(C31=3,J31*Geometry!$I$20,0)+IF(C31=4,J31*Geometry!$J$20,0)+IF(C31=5,J31*Geometry!$K$20,0)</f>
        <v>0</v>
      </c>
      <c r="M31" s="59">
        <f>IF(C31=1,J31*Geometry!$G$19,0)+IF(C31=2,J31*Geometry!$H$19,0)+IF(C31=3,J31*Geometry!$I$19,0)+IF(C31=4,J31*Geometry!$J$19,0)+IF(C31=5,J31*Geometry!$K$19,0)</f>
        <v>0</v>
      </c>
      <c r="N31" s="59">
        <f>IF(C31=1,J31*Geometry!$G$22,0)+IF(C31=2,J31*Geometry!$H$22,0)+IF(C31=3,J31*Geometry!$I$22,0)+IF(C31=4,J31*Geometry!$J$22,0)+IF(C31=5,J31*Geometry!$K$22,0)</f>
        <v>746.12825522757589</v>
      </c>
      <c r="O31" s="59">
        <f>IF(C31=1,J31*Geometry!$G$23,0)+IF(C31=2,J31*Geometry!$H$23,0)+IF(C31=3,J31*Geometry!$I$23,0)+IF(C31=4,J31*Geometry!$J$23,0)+IF(C31=5,J31*Geometry!$K$23,0)</f>
        <v>0</v>
      </c>
      <c r="P31">
        <f>IF(C31=1,J31*Geometry!$G$24,0)+IF(C31=2,J31*Geometry!$H$24,0)+IF(C31=3,J31*Geometry!$I$24,0)+IF(C31=4,J31*Geometry!$J$24,0)+IF(C31=5,J31*Geometry!$K$24,0)</f>
        <v>373.06412761378795</v>
      </c>
    </row>
    <row r="32" spans="1:16">
      <c r="A32" s="7">
        <f t="shared" si="3"/>
        <v>26</v>
      </c>
      <c r="B32" s="7"/>
      <c r="C32" s="7">
        <f t="shared" si="4"/>
        <v>1</v>
      </c>
      <c r="D32" s="69">
        <f>D31+Geometry!$C$15</f>
        <v>335</v>
      </c>
      <c r="E32" s="69">
        <f t="shared" si="5"/>
        <v>-20</v>
      </c>
      <c r="F32" s="12">
        <f>Geometry!$D$12*D32</f>
        <v>8.1109411764705897</v>
      </c>
      <c r="G32" s="12">
        <f t="shared" si="0"/>
        <v>0.82764705882352951</v>
      </c>
      <c r="H32" s="12">
        <f>IF(ABS(E32*E32)&lt;=Geometry!$E$10,SQRT(Geometry!$E$10-E32*E32),0)</f>
        <v>108.16653826391968</v>
      </c>
      <c r="I32" s="12">
        <f t="shared" si="1"/>
        <v>1</v>
      </c>
      <c r="J32" s="15">
        <f t="shared" si="2"/>
        <v>36756.634047000582</v>
      </c>
      <c r="K32" s="59">
        <f>IF(C32=1,J32*Geometry!$G$21,0)+IF(C32=2,J32*Geometry!$H$21,0)+IF(C32=3,J32*Geometry!$I$21,0)+IF(C32=4,J32*Geometry!$J$21,0)+IF(C32=5,J32*Geometry!$K$21,0)</f>
        <v>32713.404301830516</v>
      </c>
      <c r="L32" s="59">
        <f>IF(C32=1,J32*Geometry!$G$20,0)+IF(C32=2,J32*Geometry!$H$20,0)+IF(C32=3,J32*Geometry!$I$20,0)+IF(C32=4,J32*Geometry!$J$20,0)+IF(C32=5,J32*Geometry!$K$20,0)</f>
        <v>0</v>
      </c>
      <c r="M32" s="59">
        <f>IF(C32=1,J32*Geometry!$G$19,0)+IF(C32=2,J32*Geometry!$H$19,0)+IF(C32=3,J32*Geometry!$I$19,0)+IF(C32=4,J32*Geometry!$J$19,0)+IF(C32=5,J32*Geometry!$K$19,0)</f>
        <v>0</v>
      </c>
      <c r="N32" s="59">
        <f>IF(C32=1,J32*Geometry!$G$22,0)+IF(C32=2,J32*Geometry!$H$22,0)+IF(C32=3,J32*Geometry!$I$22,0)+IF(C32=4,J32*Geometry!$J$22,0)+IF(C32=5,J32*Geometry!$K$22,0)</f>
        <v>735.1326809400116</v>
      </c>
      <c r="O32" s="59">
        <f>IF(C32=1,J32*Geometry!$G$23,0)+IF(C32=2,J32*Geometry!$H$23,0)+IF(C32=3,J32*Geometry!$I$23,0)+IF(C32=4,J32*Geometry!$J$23,0)+IF(C32=5,J32*Geometry!$K$23,0)</f>
        <v>0</v>
      </c>
      <c r="P32">
        <f>IF(C32=1,J32*Geometry!$G$24,0)+IF(C32=2,J32*Geometry!$H$24,0)+IF(C32=3,J32*Geometry!$I$24,0)+IF(C32=4,J32*Geometry!$J$24,0)+IF(C32=5,J32*Geometry!$K$24,0)</f>
        <v>367.5663404700058</v>
      </c>
    </row>
    <row r="33" spans="1:16">
      <c r="A33" s="7">
        <f t="shared" si="3"/>
        <v>27</v>
      </c>
      <c r="B33" s="7"/>
      <c r="C33" s="7">
        <f t="shared" si="4"/>
        <v>1</v>
      </c>
      <c r="D33" s="69">
        <f>D32+Geometry!$C$15</f>
        <v>340</v>
      </c>
      <c r="E33" s="69">
        <f t="shared" si="5"/>
        <v>-25</v>
      </c>
      <c r="F33" s="12">
        <f>Geometry!$D$12*D33</f>
        <v>8.2320000000000011</v>
      </c>
      <c r="G33" s="12">
        <f t="shared" si="0"/>
        <v>0.84000000000000008</v>
      </c>
      <c r="H33" s="12">
        <f>IF(ABS(E33*E33)&lt;=Geometry!$E$10,SQRT(Geometry!$E$10-E33*E33),0)</f>
        <v>107.12142642814275</v>
      </c>
      <c r="I33" s="12">
        <f t="shared" si="1"/>
        <v>1</v>
      </c>
      <c r="J33" s="15">
        <f t="shared" si="2"/>
        <v>36049.775699942882</v>
      </c>
      <c r="K33" s="59">
        <f>IF(C33=1,J33*Geometry!$G$21,0)+IF(C33=2,J33*Geometry!$H$21,0)+IF(C33=3,J33*Geometry!$I$21,0)+IF(C33=4,J33*Geometry!$J$21,0)+IF(C33=5,J33*Geometry!$K$21,0)</f>
        <v>32084.300372949165</v>
      </c>
      <c r="L33" s="59">
        <f>IF(C33=1,J33*Geometry!$G$20,0)+IF(C33=2,J33*Geometry!$H$20,0)+IF(C33=3,J33*Geometry!$I$20,0)+IF(C33=4,J33*Geometry!$J$20,0)+IF(C33=5,J33*Geometry!$K$20,0)</f>
        <v>0</v>
      </c>
      <c r="M33" s="59">
        <f>IF(C33=1,J33*Geometry!$G$19,0)+IF(C33=2,J33*Geometry!$H$19,0)+IF(C33=3,J33*Geometry!$I$19,0)+IF(C33=4,J33*Geometry!$J$19,0)+IF(C33=5,J33*Geometry!$K$19,0)</f>
        <v>0</v>
      </c>
      <c r="N33" s="59">
        <f>IF(C33=1,J33*Geometry!$G$22,0)+IF(C33=2,J33*Geometry!$H$22,0)+IF(C33=3,J33*Geometry!$I$22,0)+IF(C33=4,J33*Geometry!$J$22,0)+IF(C33=5,J33*Geometry!$K$22,0)</f>
        <v>720.99551399885763</v>
      </c>
      <c r="O33" s="59">
        <f>IF(C33=1,J33*Geometry!$G$23,0)+IF(C33=2,J33*Geometry!$H$23,0)+IF(C33=3,J33*Geometry!$I$23,0)+IF(C33=4,J33*Geometry!$J$23,0)+IF(C33=5,J33*Geometry!$K$23,0)</f>
        <v>0</v>
      </c>
      <c r="P33">
        <f>IF(C33=1,J33*Geometry!$G$24,0)+IF(C33=2,J33*Geometry!$H$24,0)+IF(C33=3,J33*Geometry!$I$24,0)+IF(C33=4,J33*Geometry!$J$24,0)+IF(C33=5,J33*Geometry!$K$24,0)</f>
        <v>360.49775699942882</v>
      </c>
    </row>
    <row r="34" spans="1:16">
      <c r="A34" s="7">
        <f t="shared" si="3"/>
        <v>28</v>
      </c>
      <c r="B34" s="7"/>
      <c r="C34" s="7">
        <f t="shared" si="4"/>
        <v>1</v>
      </c>
      <c r="D34" s="69">
        <f>D33+Geometry!$C$15</f>
        <v>345</v>
      </c>
      <c r="E34" s="69">
        <f t="shared" si="5"/>
        <v>-30</v>
      </c>
      <c r="F34" s="12">
        <f>Geometry!$D$12*D34</f>
        <v>8.3530588235294125</v>
      </c>
      <c r="G34" s="12">
        <f t="shared" si="0"/>
        <v>0.85235294117647065</v>
      </c>
      <c r="H34" s="12">
        <f>IF(ABS(E34*E34)&lt;=Geometry!$E$10,SQRT(Geometry!$E$10-E34*E34),0)</f>
        <v>105.83005244258362</v>
      </c>
      <c r="I34" s="12">
        <f t="shared" si="1"/>
        <v>1</v>
      </c>
      <c r="J34" s="15">
        <f t="shared" si="2"/>
        <v>35185.83772020568</v>
      </c>
      <c r="K34" s="59">
        <f>IF(C34=1,J34*Geometry!$G$21,0)+IF(C34=2,J34*Geometry!$H$21,0)+IF(C34=3,J34*Geometry!$I$21,0)+IF(C34=4,J34*Geometry!$J$21,0)+IF(C34=5,J34*Geometry!$K$21,0)</f>
        <v>31315.395570983055</v>
      </c>
      <c r="L34" s="59">
        <f>IF(C34=1,J34*Geometry!$G$20,0)+IF(C34=2,J34*Geometry!$H$20,0)+IF(C34=3,J34*Geometry!$I$20,0)+IF(C34=4,J34*Geometry!$J$20,0)+IF(C34=5,J34*Geometry!$K$20,0)</f>
        <v>0</v>
      </c>
      <c r="M34" s="59">
        <f>IF(C34=1,J34*Geometry!$G$19,0)+IF(C34=2,J34*Geometry!$H$19,0)+IF(C34=3,J34*Geometry!$I$19,0)+IF(C34=4,J34*Geometry!$J$19,0)+IF(C34=5,J34*Geometry!$K$19,0)</f>
        <v>0</v>
      </c>
      <c r="N34" s="59">
        <f>IF(C34=1,J34*Geometry!$G$22,0)+IF(C34=2,J34*Geometry!$H$22,0)+IF(C34=3,J34*Geometry!$I$22,0)+IF(C34=4,J34*Geometry!$J$22,0)+IF(C34=5,J34*Geometry!$K$22,0)</f>
        <v>703.71675440411366</v>
      </c>
      <c r="O34" s="59">
        <f>IF(C34=1,J34*Geometry!$G$23,0)+IF(C34=2,J34*Geometry!$H$23,0)+IF(C34=3,J34*Geometry!$I$23,0)+IF(C34=4,J34*Geometry!$J$23,0)+IF(C34=5,J34*Geometry!$K$23,0)</f>
        <v>0</v>
      </c>
      <c r="P34">
        <f>IF(C34=1,J34*Geometry!$G$24,0)+IF(C34=2,J34*Geometry!$H$24,0)+IF(C34=3,J34*Geometry!$I$24,0)+IF(C34=4,J34*Geometry!$J$24,0)+IF(C34=5,J34*Geometry!$K$24,0)</f>
        <v>351.85837720205683</v>
      </c>
    </row>
    <row r="35" spans="1:16">
      <c r="A35" s="7">
        <f t="shared" si="3"/>
        <v>29</v>
      </c>
      <c r="B35" s="7"/>
      <c r="C35" s="7">
        <f t="shared" si="4"/>
        <v>1</v>
      </c>
      <c r="D35" s="69">
        <f>D34+Geometry!$C$15</f>
        <v>350</v>
      </c>
      <c r="E35" s="69">
        <f t="shared" si="5"/>
        <v>-35</v>
      </c>
      <c r="F35" s="12">
        <f>Geometry!$D$12*D35</f>
        <v>8.474117647058824</v>
      </c>
      <c r="G35" s="12">
        <f t="shared" si="0"/>
        <v>0.86470588235294121</v>
      </c>
      <c r="H35" s="12">
        <f>IF(ABS(E35*E35)&lt;=Geometry!$E$10,SQRT(Geometry!$E$10-E35*E35),0)</f>
        <v>104.28326807307106</v>
      </c>
      <c r="I35" s="12">
        <f t="shared" si="1"/>
        <v>1</v>
      </c>
      <c r="J35" s="15">
        <f t="shared" si="2"/>
        <v>34164.820107789004</v>
      </c>
      <c r="K35" s="59">
        <f>IF(C35=1,J35*Geometry!$G$21,0)+IF(C35=2,J35*Geometry!$H$21,0)+IF(C35=3,J35*Geometry!$I$21,0)+IF(C35=4,J35*Geometry!$J$21,0)+IF(C35=5,J35*Geometry!$K$21,0)</f>
        <v>30406.689895932213</v>
      </c>
      <c r="L35" s="59">
        <f>IF(C35=1,J35*Geometry!$G$20,0)+IF(C35=2,J35*Geometry!$H$20,0)+IF(C35=3,J35*Geometry!$I$20,0)+IF(C35=4,J35*Geometry!$J$20,0)+IF(C35=5,J35*Geometry!$K$20,0)</f>
        <v>0</v>
      </c>
      <c r="M35" s="59">
        <f>IF(C35=1,J35*Geometry!$G$19,0)+IF(C35=2,J35*Geometry!$H$19,0)+IF(C35=3,J35*Geometry!$I$19,0)+IF(C35=4,J35*Geometry!$J$19,0)+IF(C35=5,J35*Geometry!$K$19,0)</f>
        <v>0</v>
      </c>
      <c r="N35" s="59">
        <f>IF(C35=1,J35*Geometry!$G$22,0)+IF(C35=2,J35*Geometry!$H$22,0)+IF(C35=3,J35*Geometry!$I$22,0)+IF(C35=4,J35*Geometry!$J$22,0)+IF(C35=5,J35*Geometry!$K$22,0)</f>
        <v>683.29640215578013</v>
      </c>
      <c r="O35" s="59">
        <f>IF(C35=1,J35*Geometry!$G$23,0)+IF(C35=2,J35*Geometry!$H$23,0)+IF(C35=3,J35*Geometry!$I$23,0)+IF(C35=4,J35*Geometry!$J$23,0)+IF(C35=5,J35*Geometry!$K$23,0)</f>
        <v>0</v>
      </c>
      <c r="P35">
        <f>IF(C35=1,J35*Geometry!$G$24,0)+IF(C35=2,J35*Geometry!$H$24,0)+IF(C35=3,J35*Geometry!$I$24,0)+IF(C35=4,J35*Geometry!$J$24,0)+IF(C35=5,J35*Geometry!$K$24,0)</f>
        <v>341.64820107789006</v>
      </c>
    </row>
    <row r="36" spans="1:16">
      <c r="A36" s="7">
        <f t="shared" si="3"/>
        <v>30</v>
      </c>
      <c r="B36" s="7"/>
      <c r="C36" s="7">
        <f t="shared" si="4"/>
        <v>1</v>
      </c>
      <c r="D36" s="69">
        <f>D35+Geometry!$C$15</f>
        <v>355</v>
      </c>
      <c r="E36" s="69">
        <f t="shared" si="5"/>
        <v>-40</v>
      </c>
      <c r="F36" s="12">
        <f>Geometry!$D$12*D36</f>
        <v>8.5951764705882372</v>
      </c>
      <c r="G36" s="12">
        <f t="shared" si="0"/>
        <v>0.87705882352941189</v>
      </c>
      <c r="H36" s="12">
        <f>IF(ABS(E36*E36)&lt;=Geometry!$E$10,SQRT(Geometry!$E$10-E36*E36),0)</f>
        <v>102.46950765959599</v>
      </c>
      <c r="I36" s="12">
        <f t="shared" si="1"/>
        <v>1</v>
      </c>
      <c r="J36" s="15">
        <f t="shared" si="2"/>
        <v>32986.722862692834</v>
      </c>
      <c r="K36" s="59">
        <f>IF(C36=1,J36*Geometry!$G$21,0)+IF(C36=2,J36*Geometry!$H$21,0)+IF(C36=3,J36*Geometry!$I$21,0)+IF(C36=4,J36*Geometry!$J$21,0)+IF(C36=5,J36*Geometry!$K$21,0)</f>
        <v>29358.183347796621</v>
      </c>
      <c r="L36" s="59">
        <f>IF(C36=1,J36*Geometry!$G$20,0)+IF(C36=2,J36*Geometry!$H$20,0)+IF(C36=3,J36*Geometry!$I$20,0)+IF(C36=4,J36*Geometry!$J$20,0)+IF(C36=5,J36*Geometry!$K$20,0)</f>
        <v>0</v>
      </c>
      <c r="M36" s="59">
        <f>IF(C36=1,J36*Geometry!$G$19,0)+IF(C36=2,J36*Geometry!$H$19,0)+IF(C36=3,J36*Geometry!$I$19,0)+IF(C36=4,J36*Geometry!$J$19,0)+IF(C36=5,J36*Geometry!$K$19,0)</f>
        <v>0</v>
      </c>
      <c r="N36" s="59">
        <f>IF(C36=1,J36*Geometry!$G$22,0)+IF(C36=2,J36*Geometry!$H$22,0)+IF(C36=3,J36*Geometry!$I$22,0)+IF(C36=4,J36*Geometry!$J$22,0)+IF(C36=5,J36*Geometry!$K$22,0)</f>
        <v>659.7344572538567</v>
      </c>
      <c r="O36" s="59">
        <f>IF(C36=1,J36*Geometry!$G$23,0)+IF(C36=2,J36*Geometry!$H$23,0)+IF(C36=3,J36*Geometry!$I$23,0)+IF(C36=4,J36*Geometry!$J$23,0)+IF(C36=5,J36*Geometry!$K$23,0)</f>
        <v>0</v>
      </c>
      <c r="P36">
        <f>IF(C36=1,J36*Geometry!$G$24,0)+IF(C36=2,J36*Geometry!$H$24,0)+IF(C36=3,J36*Geometry!$I$24,0)+IF(C36=4,J36*Geometry!$J$24,0)+IF(C36=5,J36*Geometry!$K$24,0)</f>
        <v>329.86722862692835</v>
      </c>
    </row>
    <row r="37" spans="1:16">
      <c r="A37" s="7">
        <f t="shared" si="3"/>
        <v>31</v>
      </c>
      <c r="B37" s="7"/>
      <c r="C37" s="7">
        <f t="shared" si="4"/>
        <v>1</v>
      </c>
      <c r="D37" s="69">
        <f>D36+Geometry!$C$15</f>
        <v>360</v>
      </c>
      <c r="E37" s="69">
        <f t="shared" si="5"/>
        <v>-45</v>
      </c>
      <c r="F37" s="12">
        <f>Geometry!$D$12*D37</f>
        <v>8.7162352941176486</v>
      </c>
      <c r="G37" s="12">
        <f t="shared" si="0"/>
        <v>0.88941176470588246</v>
      </c>
      <c r="H37" s="12">
        <f>IF(ABS(E37*E37)&lt;=Geometry!$E$10,SQRT(Geometry!$E$10-E37*E37),0)</f>
        <v>100.37429949942366</v>
      </c>
      <c r="I37" s="12">
        <f t="shared" si="1"/>
        <v>1</v>
      </c>
      <c r="J37" s="15">
        <f t="shared" si="2"/>
        <v>31651.545984917168</v>
      </c>
      <c r="K37" s="59">
        <f>IF(C37=1,J37*Geometry!$G$21,0)+IF(C37=2,J37*Geometry!$H$21,0)+IF(C37=3,J37*Geometry!$I$21,0)+IF(C37=4,J37*Geometry!$J$21,0)+IF(C37=5,J37*Geometry!$K$21,0)</f>
        <v>28169.875926576278</v>
      </c>
      <c r="L37" s="59">
        <f>IF(C37=1,J37*Geometry!$G$20,0)+IF(C37=2,J37*Geometry!$H$20,0)+IF(C37=3,J37*Geometry!$I$20,0)+IF(C37=4,J37*Geometry!$J$20,0)+IF(C37=5,J37*Geometry!$K$20,0)</f>
        <v>0</v>
      </c>
      <c r="M37" s="59">
        <f>IF(C37=1,J37*Geometry!$G$19,0)+IF(C37=2,J37*Geometry!$H$19,0)+IF(C37=3,J37*Geometry!$I$19,0)+IF(C37=4,J37*Geometry!$J$19,0)+IF(C37=5,J37*Geometry!$K$19,0)</f>
        <v>0</v>
      </c>
      <c r="N37" s="59">
        <f>IF(C37=1,J37*Geometry!$G$22,0)+IF(C37=2,J37*Geometry!$H$22,0)+IF(C37=3,J37*Geometry!$I$22,0)+IF(C37=4,J37*Geometry!$J$22,0)+IF(C37=5,J37*Geometry!$K$22,0)</f>
        <v>633.03091969834338</v>
      </c>
      <c r="O37" s="59">
        <f>IF(C37=1,J37*Geometry!$G$23,0)+IF(C37=2,J37*Geometry!$H$23,0)+IF(C37=3,J37*Geometry!$I$23,0)+IF(C37=4,J37*Geometry!$J$23,0)+IF(C37=5,J37*Geometry!$K$23,0)</f>
        <v>0</v>
      </c>
      <c r="P37">
        <f>IF(C37=1,J37*Geometry!$G$24,0)+IF(C37=2,J37*Geometry!$H$24,0)+IF(C37=3,J37*Geometry!$I$24,0)+IF(C37=4,J37*Geometry!$J$24,0)+IF(C37=5,J37*Geometry!$K$24,0)</f>
        <v>316.51545984917169</v>
      </c>
    </row>
    <row r="38" spans="1:16">
      <c r="A38" s="7">
        <f t="shared" si="3"/>
        <v>32</v>
      </c>
      <c r="B38" s="7"/>
      <c r="C38" s="7">
        <f t="shared" si="4"/>
        <v>1</v>
      </c>
      <c r="D38" s="69">
        <f>D37+Geometry!$C$15</f>
        <v>365</v>
      </c>
      <c r="E38" s="69">
        <f t="shared" si="5"/>
        <v>-50</v>
      </c>
      <c r="F38" s="12">
        <f>Geometry!$D$12*D38</f>
        <v>8.8372941176470601</v>
      </c>
      <c r="G38" s="12">
        <f t="shared" si="0"/>
        <v>0.90176470588235302</v>
      </c>
      <c r="H38" s="12">
        <f>IF(ABS(E38*E38)&lt;=Geometry!$E$10,SQRT(Geometry!$E$10-E38*E38),0)</f>
        <v>97.979589711327122</v>
      </c>
      <c r="I38" s="12">
        <f t="shared" si="1"/>
        <v>1</v>
      </c>
      <c r="J38" s="15">
        <f t="shared" si="2"/>
        <v>30159.28947446201</v>
      </c>
      <c r="K38" s="59">
        <f>IF(C38=1,J38*Geometry!$G$21,0)+IF(C38=2,J38*Geometry!$H$21,0)+IF(C38=3,J38*Geometry!$I$21,0)+IF(C38=4,J38*Geometry!$J$21,0)+IF(C38=5,J38*Geometry!$K$21,0)</f>
        <v>26841.767632271189</v>
      </c>
      <c r="L38" s="59">
        <f>IF(C38=1,J38*Geometry!$G$20,0)+IF(C38=2,J38*Geometry!$H$20,0)+IF(C38=3,J38*Geometry!$I$20,0)+IF(C38=4,J38*Geometry!$J$20,0)+IF(C38=5,J38*Geometry!$K$20,0)</f>
        <v>0</v>
      </c>
      <c r="M38" s="59">
        <f>IF(C38=1,J38*Geometry!$G$19,0)+IF(C38=2,J38*Geometry!$H$19,0)+IF(C38=3,J38*Geometry!$I$19,0)+IF(C38=4,J38*Geometry!$J$19,0)+IF(C38=5,J38*Geometry!$K$19,0)</f>
        <v>0</v>
      </c>
      <c r="N38" s="59">
        <f>IF(C38=1,J38*Geometry!$G$22,0)+IF(C38=2,J38*Geometry!$H$22,0)+IF(C38=3,J38*Geometry!$I$22,0)+IF(C38=4,J38*Geometry!$J$22,0)+IF(C38=5,J38*Geometry!$K$22,0)</f>
        <v>603.18578948924016</v>
      </c>
      <c r="O38" s="59">
        <f>IF(C38=1,J38*Geometry!$G$23,0)+IF(C38=2,J38*Geometry!$H$23,0)+IF(C38=3,J38*Geometry!$I$23,0)+IF(C38=4,J38*Geometry!$J$23,0)+IF(C38=5,J38*Geometry!$K$23,0)</f>
        <v>0</v>
      </c>
      <c r="P38">
        <f>IF(C38=1,J38*Geometry!$G$24,0)+IF(C38=2,J38*Geometry!$H$24,0)+IF(C38=3,J38*Geometry!$I$24,0)+IF(C38=4,J38*Geometry!$J$24,0)+IF(C38=5,J38*Geometry!$K$24,0)</f>
        <v>301.59289474462008</v>
      </c>
    </row>
    <row r="39" spans="1:16">
      <c r="A39" s="7">
        <f t="shared" si="3"/>
        <v>33</v>
      </c>
      <c r="B39" s="7"/>
      <c r="C39" s="7">
        <f t="shared" si="4"/>
        <v>1</v>
      </c>
      <c r="D39" s="69">
        <f>D38+Geometry!$C$15</f>
        <v>370</v>
      </c>
      <c r="E39" s="69">
        <f t="shared" si="5"/>
        <v>-55</v>
      </c>
      <c r="F39" s="12">
        <f>Geometry!$D$12*D39</f>
        <v>8.9583529411764715</v>
      </c>
      <c r="G39" s="12">
        <f t="shared" si="0"/>
        <v>0.91411764705882359</v>
      </c>
      <c r="H39" s="12">
        <f>IF(ABS(E39*E39)&lt;=Geometry!$E$10,SQRT(Geometry!$E$10-E39*E39),0)</f>
        <v>95.262794416288244</v>
      </c>
      <c r="I39" s="12">
        <f t="shared" si="1"/>
        <v>1</v>
      </c>
      <c r="J39" s="15">
        <f t="shared" ref="J39:J70" si="6">PI()*H39*H39</f>
        <v>28509.953331327368</v>
      </c>
      <c r="K39" s="59">
        <f>IF(C39=1,J39*Geometry!$G$21,0)+IF(C39=2,J39*Geometry!$H$21,0)+IF(C39=3,J39*Geometry!$I$21,0)+IF(C39=4,J39*Geometry!$J$21,0)+IF(C39=5,J39*Geometry!$K$21,0)</f>
        <v>25373.858464881359</v>
      </c>
      <c r="L39" s="59">
        <f>IF(C39=1,J39*Geometry!$G$20,0)+IF(C39=2,J39*Geometry!$H$20,0)+IF(C39=3,J39*Geometry!$I$20,0)+IF(C39=4,J39*Geometry!$J$20,0)+IF(C39=5,J39*Geometry!$K$20,0)</f>
        <v>0</v>
      </c>
      <c r="M39" s="59">
        <f>IF(C39=1,J39*Geometry!$G$19,0)+IF(C39=2,J39*Geometry!$H$19,0)+IF(C39=3,J39*Geometry!$I$19,0)+IF(C39=4,J39*Geometry!$J$19,0)+IF(C39=5,J39*Geometry!$K$19,0)</f>
        <v>0</v>
      </c>
      <c r="N39" s="59">
        <f>IF(C39=1,J39*Geometry!$G$22,0)+IF(C39=2,J39*Geometry!$H$22,0)+IF(C39=3,J39*Geometry!$I$22,0)+IF(C39=4,J39*Geometry!$J$22,0)+IF(C39=5,J39*Geometry!$K$22,0)</f>
        <v>570.19906662654739</v>
      </c>
      <c r="O39" s="59">
        <f>IF(C39=1,J39*Geometry!$G$23,0)+IF(C39=2,J39*Geometry!$H$23,0)+IF(C39=3,J39*Geometry!$I$23,0)+IF(C39=4,J39*Geometry!$J$23,0)+IF(C39=5,J39*Geometry!$K$23,0)</f>
        <v>0</v>
      </c>
      <c r="P39">
        <f>IF(C39=1,J39*Geometry!$G$24,0)+IF(C39=2,J39*Geometry!$H$24,0)+IF(C39=3,J39*Geometry!$I$24,0)+IF(C39=4,J39*Geometry!$J$24,0)+IF(C39=5,J39*Geometry!$K$24,0)</f>
        <v>285.0995333132737</v>
      </c>
    </row>
    <row r="40" spans="1:16">
      <c r="A40" s="7">
        <f t="shared" ref="A40:A71" si="7">A39+1</f>
        <v>34</v>
      </c>
      <c r="B40" s="7"/>
      <c r="C40" s="7">
        <f t="shared" si="4"/>
        <v>1</v>
      </c>
      <c r="D40" s="69">
        <f>D39+Geometry!$C$15</f>
        <v>375</v>
      </c>
      <c r="E40" s="69">
        <f t="shared" si="5"/>
        <v>-60</v>
      </c>
      <c r="F40" s="12">
        <f>Geometry!$D$12*D40</f>
        <v>9.079411764705883</v>
      </c>
      <c r="G40" s="12">
        <f t="shared" si="0"/>
        <v>0.92647058823529416</v>
      </c>
      <c r="H40" s="12">
        <f>IF(ABS(E40*E40)&lt;=Geometry!$E$10,SQRT(Geometry!$E$10-E40*E40),0)</f>
        <v>92.195444572928878</v>
      </c>
      <c r="I40" s="12">
        <f t="shared" si="1"/>
        <v>1</v>
      </c>
      <c r="J40" s="15">
        <f t="shared" si="6"/>
        <v>26703.537555513245</v>
      </c>
      <c r="K40" s="59">
        <f>IF(C40=1,J40*Geometry!$G$21,0)+IF(C40=2,J40*Geometry!$H$21,0)+IF(C40=3,J40*Geometry!$I$21,0)+IF(C40=4,J40*Geometry!$J$21,0)+IF(C40=5,J40*Geometry!$K$21,0)</f>
        <v>23766.148424406787</v>
      </c>
      <c r="L40" s="59">
        <f>IF(C40=1,J40*Geometry!$G$20,0)+IF(C40=2,J40*Geometry!$H$20,0)+IF(C40=3,J40*Geometry!$I$20,0)+IF(C40=4,J40*Geometry!$J$20,0)+IF(C40=5,J40*Geometry!$K$20,0)</f>
        <v>0</v>
      </c>
      <c r="M40" s="59">
        <f>IF(C40=1,J40*Geometry!$G$19,0)+IF(C40=2,J40*Geometry!$H$19,0)+IF(C40=3,J40*Geometry!$I$19,0)+IF(C40=4,J40*Geometry!$J$19,0)+IF(C40=5,J40*Geometry!$K$19,0)</f>
        <v>0</v>
      </c>
      <c r="N40" s="59">
        <f>IF(C40=1,J40*Geometry!$G$22,0)+IF(C40=2,J40*Geometry!$H$22,0)+IF(C40=3,J40*Geometry!$I$22,0)+IF(C40=4,J40*Geometry!$J$22,0)+IF(C40=5,J40*Geometry!$K$22,0)</f>
        <v>534.07075111026495</v>
      </c>
      <c r="O40" s="59">
        <f>IF(C40=1,J40*Geometry!$G$23,0)+IF(C40=2,J40*Geometry!$H$23,0)+IF(C40=3,J40*Geometry!$I$23,0)+IF(C40=4,J40*Geometry!$J$23,0)+IF(C40=5,J40*Geometry!$K$23,0)</f>
        <v>0</v>
      </c>
      <c r="P40">
        <f>IF(C40=1,J40*Geometry!$G$24,0)+IF(C40=2,J40*Geometry!$H$24,0)+IF(C40=3,J40*Geometry!$I$24,0)+IF(C40=4,J40*Geometry!$J$24,0)+IF(C40=5,J40*Geometry!$K$24,0)</f>
        <v>267.03537555513248</v>
      </c>
    </row>
    <row r="41" spans="1:16">
      <c r="A41" s="7">
        <f t="shared" si="7"/>
        <v>35</v>
      </c>
      <c r="B41" s="7"/>
      <c r="C41" s="7">
        <f t="shared" si="4"/>
        <v>1</v>
      </c>
      <c r="D41" s="69">
        <f>D40+Geometry!$C$15</f>
        <v>380</v>
      </c>
      <c r="E41" s="69">
        <f t="shared" si="5"/>
        <v>-65</v>
      </c>
      <c r="F41" s="12">
        <f>Geometry!$D$12*D41</f>
        <v>9.2004705882352962</v>
      </c>
      <c r="G41" s="12">
        <f t="shared" si="0"/>
        <v>0.93882352941176483</v>
      </c>
      <c r="H41" s="12">
        <f>IF(ABS(E41*E41)&lt;=Geometry!$E$10,SQRT(Geometry!$E$10-E41*E41),0)</f>
        <v>88.741196746494239</v>
      </c>
      <c r="I41" s="12">
        <f t="shared" si="1"/>
        <v>1</v>
      </c>
      <c r="J41" s="15">
        <f t="shared" si="6"/>
        <v>24740.042147019623</v>
      </c>
      <c r="K41" s="59">
        <f>IF(C41=1,J41*Geometry!$G$21,0)+IF(C41=2,J41*Geometry!$H$21,0)+IF(C41=3,J41*Geometry!$I$21,0)+IF(C41=4,J41*Geometry!$J$21,0)+IF(C41=5,J41*Geometry!$K$21,0)</f>
        <v>22018.637510847464</v>
      </c>
      <c r="L41" s="59">
        <f>IF(C41=1,J41*Geometry!$G$20,0)+IF(C41=2,J41*Geometry!$H$20,0)+IF(C41=3,J41*Geometry!$I$20,0)+IF(C41=4,J41*Geometry!$J$20,0)+IF(C41=5,J41*Geometry!$K$20,0)</f>
        <v>0</v>
      </c>
      <c r="M41" s="59">
        <f>IF(C41=1,J41*Geometry!$G$19,0)+IF(C41=2,J41*Geometry!$H$19,0)+IF(C41=3,J41*Geometry!$I$19,0)+IF(C41=4,J41*Geometry!$J$19,0)+IF(C41=5,J41*Geometry!$K$19,0)</f>
        <v>0</v>
      </c>
      <c r="N41" s="59">
        <f>IF(C41=1,J41*Geometry!$G$22,0)+IF(C41=2,J41*Geometry!$H$22,0)+IF(C41=3,J41*Geometry!$I$22,0)+IF(C41=4,J41*Geometry!$J$22,0)+IF(C41=5,J41*Geometry!$K$22,0)</f>
        <v>494.8008429403925</v>
      </c>
      <c r="O41" s="59">
        <f>IF(C41=1,J41*Geometry!$G$23,0)+IF(C41=2,J41*Geometry!$H$23,0)+IF(C41=3,J41*Geometry!$I$23,0)+IF(C41=4,J41*Geometry!$J$23,0)+IF(C41=5,J41*Geometry!$K$23,0)</f>
        <v>0</v>
      </c>
      <c r="P41">
        <f>IF(C41=1,J41*Geometry!$G$24,0)+IF(C41=2,J41*Geometry!$H$24,0)+IF(C41=3,J41*Geometry!$I$24,0)+IF(C41=4,J41*Geometry!$J$24,0)+IF(C41=5,J41*Geometry!$K$24,0)</f>
        <v>247.40042147019625</v>
      </c>
    </row>
    <row r="42" spans="1:16">
      <c r="A42">
        <f t="shared" si="7"/>
        <v>36</v>
      </c>
      <c r="C42" s="7">
        <f t="shared" si="4"/>
        <v>1</v>
      </c>
      <c r="D42" s="69">
        <f>D41+Geometry!$C$15</f>
        <v>385</v>
      </c>
      <c r="E42" s="59">
        <f t="shared" si="5"/>
        <v>-70</v>
      </c>
      <c r="F42" s="4">
        <f>Geometry!$D$12*D42</f>
        <v>9.3215294117647076</v>
      </c>
      <c r="G42" s="4">
        <f t="shared" si="0"/>
        <v>0.9511764705882354</v>
      </c>
      <c r="H42" s="4">
        <f>IF(ABS(E42*E42)&lt;=Geometry!$E$10,SQRT(Geometry!$E$10-E42*E42),0)</f>
        <v>84.852813742385706</v>
      </c>
      <c r="I42" s="4">
        <f t="shared" si="1"/>
        <v>1</v>
      </c>
      <c r="J42" s="5">
        <f t="shared" si="6"/>
        <v>22619.467105846514</v>
      </c>
      <c r="K42" s="59">
        <f>IF(C42=1,J42*Geometry!$G$21,0)+IF(C42=2,J42*Geometry!$H$21,0)+IF(C42=3,J42*Geometry!$I$21,0)+IF(C42=4,J42*Geometry!$J$21,0)+IF(C42=5,J42*Geometry!$K$21,0)</f>
        <v>20131.325724203398</v>
      </c>
      <c r="L42" s="59">
        <f>IF(C42=1,J42*Geometry!$G$20,0)+IF(C42=2,J42*Geometry!$H$20,0)+IF(C42=3,J42*Geometry!$I$20,0)+IF(C42=4,J42*Geometry!$J$20,0)+IF(C42=5,J42*Geometry!$K$20,0)</f>
        <v>0</v>
      </c>
      <c r="M42" s="59">
        <f>IF(C42=1,J42*Geometry!$G$19,0)+IF(C42=2,J42*Geometry!$H$19,0)+IF(C42=3,J42*Geometry!$I$19,0)+IF(C42=4,J42*Geometry!$J$19,0)+IF(C42=5,J42*Geometry!$K$19,0)</f>
        <v>0</v>
      </c>
      <c r="N42" s="59">
        <f>IF(C42=1,J42*Geometry!$G$22,0)+IF(C42=2,J42*Geometry!$H$22,0)+IF(C42=3,J42*Geometry!$I$22,0)+IF(C42=4,J42*Geometry!$J$22,0)+IF(C42=5,J42*Geometry!$K$22,0)</f>
        <v>452.38934211693027</v>
      </c>
      <c r="O42" s="59">
        <f>IF(C42=1,J42*Geometry!$G$23,0)+IF(C42=2,J42*Geometry!$H$23,0)+IF(C42=3,J42*Geometry!$I$23,0)+IF(C42=4,J42*Geometry!$J$23,0)+IF(C42=5,J42*Geometry!$K$23,0)</f>
        <v>0</v>
      </c>
      <c r="P42">
        <f>IF(C42=1,J42*Geometry!$G$24,0)+IF(C42=2,J42*Geometry!$H$24,0)+IF(C42=3,J42*Geometry!$I$24,0)+IF(C42=4,J42*Geometry!$J$24,0)+IF(C42=5,J42*Geometry!$K$24,0)</f>
        <v>226.19467105846513</v>
      </c>
    </row>
    <row r="43" spans="1:16">
      <c r="A43">
        <f t="shared" si="7"/>
        <v>37</v>
      </c>
      <c r="C43" s="7">
        <f t="shared" si="4"/>
        <v>1</v>
      </c>
      <c r="D43" s="69">
        <f>D42+Geometry!$C$15</f>
        <v>390</v>
      </c>
      <c r="E43" s="59">
        <f t="shared" si="5"/>
        <v>-75</v>
      </c>
      <c r="F43" s="4">
        <f>Geometry!$D$12*D43</f>
        <v>9.4425882352941191</v>
      </c>
      <c r="G43" s="4">
        <f t="shared" si="0"/>
        <v>0.96352941176470597</v>
      </c>
      <c r="H43" s="4">
        <f>IF(ABS(E43*E43)&lt;=Geometry!$E$10,SQRT(Geometry!$E$10-E43*E43),0)</f>
        <v>80.46738469715541</v>
      </c>
      <c r="I43" s="4">
        <f t="shared" si="1"/>
        <v>1</v>
      </c>
      <c r="J43" s="5">
        <f t="shared" si="6"/>
        <v>20341.812431993912</v>
      </c>
      <c r="K43" s="59">
        <f>IF(C43=1,J43*Geometry!$G$21,0)+IF(C43=2,J43*Geometry!$H$21,0)+IF(C43=3,J43*Geometry!$I$21,0)+IF(C43=4,J43*Geometry!$J$21,0)+IF(C43=5,J43*Geometry!$K$21,0)</f>
        <v>18104.213064474581</v>
      </c>
      <c r="L43" s="59">
        <f>IF(C43=1,J43*Geometry!$G$20,0)+IF(C43=2,J43*Geometry!$H$20,0)+IF(C43=3,J43*Geometry!$I$20,0)+IF(C43=4,J43*Geometry!$J$20,0)+IF(C43=5,J43*Geometry!$K$20,0)</f>
        <v>0</v>
      </c>
      <c r="M43" s="59">
        <f>IF(C43=1,J43*Geometry!$G$19,0)+IF(C43=2,J43*Geometry!$H$19,0)+IF(C43=3,J43*Geometry!$I$19,0)+IF(C43=4,J43*Geometry!$J$19,0)+IF(C43=5,J43*Geometry!$K$19,0)</f>
        <v>0</v>
      </c>
      <c r="N43" s="59">
        <f>IF(C43=1,J43*Geometry!$G$22,0)+IF(C43=2,J43*Geometry!$H$22,0)+IF(C43=3,J43*Geometry!$I$22,0)+IF(C43=4,J43*Geometry!$J$22,0)+IF(C43=5,J43*Geometry!$K$22,0)</f>
        <v>406.83624863987825</v>
      </c>
      <c r="O43" s="59">
        <f>IF(C43=1,J43*Geometry!$G$23,0)+IF(C43=2,J43*Geometry!$H$23,0)+IF(C43=3,J43*Geometry!$I$23,0)+IF(C43=4,J43*Geometry!$J$23,0)+IF(C43=5,J43*Geometry!$K$23,0)</f>
        <v>0</v>
      </c>
      <c r="P43">
        <f>IF(C43=1,J43*Geometry!$G$24,0)+IF(C43=2,J43*Geometry!$H$24,0)+IF(C43=3,J43*Geometry!$I$24,0)+IF(C43=4,J43*Geometry!$J$24,0)+IF(C43=5,J43*Geometry!$K$24,0)</f>
        <v>203.41812431993912</v>
      </c>
    </row>
    <row r="44" spans="1:16">
      <c r="A44">
        <f t="shared" si="7"/>
        <v>38</v>
      </c>
      <c r="C44" s="7">
        <f t="shared" si="4"/>
        <v>1</v>
      </c>
      <c r="D44" s="69">
        <f>D43+Geometry!$C$15</f>
        <v>395</v>
      </c>
      <c r="E44" s="59">
        <f t="shared" si="5"/>
        <v>-80</v>
      </c>
      <c r="F44" s="4">
        <f>Geometry!$D$12*D44</f>
        <v>9.5636470588235305</v>
      </c>
      <c r="G44" s="4">
        <f t="shared" si="0"/>
        <v>0.97588235294117653</v>
      </c>
      <c r="H44" s="4">
        <f>IF(ABS(E44*E44)&lt;=Geometry!$E$10,SQRT(Geometry!$E$10-E44*E44),0)</f>
        <v>75.498344352707491</v>
      </c>
      <c r="I44" s="4">
        <f t="shared" si="1"/>
        <v>1</v>
      </c>
      <c r="J44" s="5">
        <f t="shared" si="6"/>
        <v>17907.07812546182</v>
      </c>
      <c r="K44" s="59">
        <f>IF(C44=1,J44*Geometry!$G$21,0)+IF(C44=2,J44*Geometry!$H$21,0)+IF(C44=3,J44*Geometry!$I$21,0)+IF(C44=4,J44*Geometry!$J$21,0)+IF(C44=5,J44*Geometry!$K$21,0)</f>
        <v>15937.29953166102</v>
      </c>
      <c r="L44" s="59">
        <f>IF(C44=1,J44*Geometry!$G$20,0)+IF(C44=2,J44*Geometry!$H$20,0)+IF(C44=3,J44*Geometry!$I$20,0)+IF(C44=4,J44*Geometry!$J$20,0)+IF(C44=5,J44*Geometry!$K$20,0)</f>
        <v>0</v>
      </c>
      <c r="M44" s="59">
        <f>IF(C44=1,J44*Geometry!$G$19,0)+IF(C44=2,J44*Geometry!$H$19,0)+IF(C44=3,J44*Geometry!$I$19,0)+IF(C44=4,J44*Geometry!$J$19,0)+IF(C44=5,J44*Geometry!$K$19,0)</f>
        <v>0</v>
      </c>
      <c r="N44" s="59">
        <f>IF(C44=1,J44*Geometry!$G$22,0)+IF(C44=2,J44*Geometry!$H$22,0)+IF(C44=3,J44*Geometry!$I$22,0)+IF(C44=4,J44*Geometry!$J$22,0)+IF(C44=5,J44*Geometry!$K$22,0)</f>
        <v>358.14156250923639</v>
      </c>
      <c r="O44" s="59">
        <f>IF(C44=1,J44*Geometry!$G$23,0)+IF(C44=2,J44*Geometry!$H$23,0)+IF(C44=3,J44*Geometry!$I$23,0)+IF(C44=4,J44*Geometry!$J$23,0)+IF(C44=5,J44*Geometry!$K$23,0)</f>
        <v>0</v>
      </c>
      <c r="P44">
        <f>IF(C44=1,J44*Geometry!$G$24,0)+IF(C44=2,J44*Geometry!$H$24,0)+IF(C44=3,J44*Geometry!$I$24,0)+IF(C44=4,J44*Geometry!$J$24,0)+IF(C44=5,J44*Geometry!$K$24,0)</f>
        <v>179.0707812546182</v>
      </c>
    </row>
    <row r="45" spans="1:16">
      <c r="A45">
        <f t="shared" si="7"/>
        <v>39</v>
      </c>
      <c r="C45" s="7">
        <f t="shared" si="4"/>
        <v>3</v>
      </c>
      <c r="D45" s="69">
        <f>D44+Geometry!$C$15</f>
        <v>400</v>
      </c>
      <c r="E45" s="59">
        <f t="shared" si="5"/>
        <v>-85</v>
      </c>
      <c r="F45" s="4">
        <f>Geometry!$D$12*D45</f>
        <v>9.6847058823529419</v>
      </c>
      <c r="G45" s="4">
        <f t="shared" si="0"/>
        <v>0.9882352941176471</v>
      </c>
      <c r="H45" s="4">
        <f>IF(ABS(E45*E45)&lt;=Geometry!$E$10,SQRT(Geometry!$E$10-E45*E45),0)</f>
        <v>69.821200218844709</v>
      </c>
      <c r="I45" s="4">
        <f t="shared" si="1"/>
        <v>1</v>
      </c>
      <c r="J45" s="5">
        <f t="shared" si="6"/>
        <v>15315.264186250242</v>
      </c>
      <c r="K45" s="59">
        <f>IF(C45=1,J45*Geometry!$G$21,0)+IF(C45=2,J45*Geometry!$H$21,0)+IF(C45=3,J45*Geometry!$I$21,0)+IF(C45=4,J45*Geometry!$J$21,0)+IF(C45=5,J45*Geometry!$K$21,0)</f>
        <v>0</v>
      </c>
      <c r="L45" s="59">
        <f>IF(C45=1,J45*Geometry!$G$20,0)+IF(C45=2,J45*Geometry!$H$20,0)+IF(C45=3,J45*Geometry!$I$20,0)+IF(C45=4,J45*Geometry!$J$20,0)+IF(C45=5,J45*Geometry!$K$20,0)</f>
        <v>0</v>
      </c>
      <c r="M45" s="59">
        <f>IF(C45=1,J45*Geometry!$G$19,0)+IF(C45=2,J45*Geometry!$H$19,0)+IF(C45=3,J45*Geometry!$I$19,0)+IF(C45=4,J45*Geometry!$J$19,0)+IF(C45=5,J45*Geometry!$K$19,0)</f>
        <v>0</v>
      </c>
      <c r="N45" s="59">
        <f>IF(C45=1,J45*Geometry!$G$22,0)+IF(C45=2,J45*Geometry!$H$22,0)+IF(C45=3,J45*Geometry!$I$22,0)+IF(C45=4,J45*Geometry!$J$22,0)+IF(C45=5,J45*Geometry!$K$22,0)</f>
        <v>612.61056745000974</v>
      </c>
      <c r="O45" s="59">
        <f>IF(C45=1,J45*Geometry!$G$23,0)+IF(C45=2,J45*Geometry!$H$23,0)+IF(C45=3,J45*Geometry!$I$23,0)+IF(C45=4,J45*Geometry!$J$23,0)+IF(C45=5,J45*Geometry!$K$23,0)</f>
        <v>0</v>
      </c>
      <c r="P45">
        <f>IF(C45=1,J45*Geometry!$G$24,0)+IF(C45=2,J45*Geometry!$H$24,0)+IF(C45=3,J45*Geometry!$I$24,0)+IF(C45=4,J45*Geometry!$J$24,0)+IF(C45=5,J45*Geometry!$K$24,0)</f>
        <v>13477.432483900213</v>
      </c>
    </row>
    <row r="46" spans="1:16">
      <c r="A46">
        <f t="shared" si="7"/>
        <v>40</v>
      </c>
      <c r="C46" s="7">
        <f t="shared" si="4"/>
        <v>3</v>
      </c>
      <c r="D46" s="69">
        <f>D45+Geometry!$C$15</f>
        <v>405</v>
      </c>
      <c r="E46" s="59">
        <f t="shared" si="5"/>
        <v>-90</v>
      </c>
      <c r="F46" s="4">
        <f>Geometry!$D$12*D46</f>
        <v>9.8057647058823552</v>
      </c>
      <c r="G46" s="4">
        <f t="shared" si="0"/>
        <v>1.0005882352941178</v>
      </c>
      <c r="H46" s="4">
        <f>IF(ABS(E46*E46)&lt;=Geometry!$E$10,SQRT(Geometry!$E$10-E46*E46),0)</f>
        <v>63.245553203367585</v>
      </c>
      <c r="I46" s="4">
        <f t="shared" si="1"/>
        <v>1</v>
      </c>
      <c r="J46" s="5">
        <f t="shared" si="6"/>
        <v>12566.370614359172</v>
      </c>
      <c r="K46" s="59">
        <f>IF(C46=1,J46*Geometry!$G$21,0)+IF(C46=2,J46*Geometry!$H$21,0)+IF(C46=3,J46*Geometry!$I$21,0)+IF(C46=4,J46*Geometry!$J$21,0)+IF(C46=5,J46*Geometry!$K$21,0)</f>
        <v>0</v>
      </c>
      <c r="L46" s="59">
        <f>IF(C46=1,J46*Geometry!$G$20,0)+IF(C46=2,J46*Geometry!$H$20,0)+IF(C46=3,J46*Geometry!$I$20,0)+IF(C46=4,J46*Geometry!$J$20,0)+IF(C46=5,J46*Geometry!$K$20,0)</f>
        <v>0</v>
      </c>
      <c r="M46" s="59">
        <f>IF(C46=1,J46*Geometry!$G$19,0)+IF(C46=2,J46*Geometry!$H$19,0)+IF(C46=3,J46*Geometry!$I$19,0)+IF(C46=4,J46*Geometry!$J$19,0)+IF(C46=5,J46*Geometry!$K$19,0)</f>
        <v>0</v>
      </c>
      <c r="N46" s="59">
        <f>IF(C46=1,J46*Geometry!$G$22,0)+IF(C46=2,J46*Geometry!$H$22,0)+IF(C46=3,J46*Geometry!$I$22,0)+IF(C46=4,J46*Geometry!$J$22,0)+IF(C46=5,J46*Geometry!$K$22,0)</f>
        <v>502.6548245743669</v>
      </c>
      <c r="O46" s="59">
        <f>IF(C46=1,J46*Geometry!$G$23,0)+IF(C46=2,J46*Geometry!$H$23,0)+IF(C46=3,J46*Geometry!$I$23,0)+IF(C46=4,J46*Geometry!$J$23,0)+IF(C46=5,J46*Geometry!$K$23,0)</f>
        <v>0</v>
      </c>
      <c r="P46">
        <f>IF(C46=1,J46*Geometry!$G$24,0)+IF(C46=2,J46*Geometry!$H$24,0)+IF(C46=3,J46*Geometry!$I$24,0)+IF(C46=4,J46*Geometry!$J$24,0)+IF(C46=5,J46*Geometry!$K$24,0)</f>
        <v>11058.406140636071</v>
      </c>
    </row>
    <row r="47" spans="1:16">
      <c r="A47">
        <f t="shared" si="7"/>
        <v>41</v>
      </c>
      <c r="C47" s="7">
        <f t="shared" si="4"/>
        <v>3</v>
      </c>
      <c r="D47" s="69">
        <f>D46+Geometry!$C$15</f>
        <v>410</v>
      </c>
      <c r="E47" s="59">
        <f t="shared" si="5"/>
        <v>-95</v>
      </c>
      <c r="F47" s="4">
        <f>Geometry!$D$12*D47</f>
        <v>9.9268235294117666</v>
      </c>
      <c r="G47" s="4">
        <f t="shared" si="0"/>
        <v>1.0129411764705885</v>
      </c>
      <c r="H47" s="4">
        <f>IF(ABS(E47*E47)&lt;=Geometry!$E$10,SQRT(Geometry!$E$10-E47*E47),0)</f>
        <v>55.452682532047085</v>
      </c>
      <c r="I47" s="4">
        <f t="shared" si="1"/>
        <v>1</v>
      </c>
      <c r="J47" s="5">
        <f t="shared" si="6"/>
        <v>9660.397409788613</v>
      </c>
      <c r="K47" s="59">
        <f>IF(C47=1,J47*Geometry!$G$21,0)+IF(C47=2,J47*Geometry!$H$21,0)+IF(C47=3,J47*Geometry!$I$21,0)+IF(C47=4,J47*Geometry!$J$21,0)+IF(C47=5,J47*Geometry!$K$21,0)</f>
        <v>0</v>
      </c>
      <c r="L47" s="59">
        <f>IF(C47=1,J47*Geometry!$G$20,0)+IF(C47=2,J47*Geometry!$H$20,0)+IF(C47=3,J47*Geometry!$I$20,0)+IF(C47=4,J47*Geometry!$J$20,0)+IF(C47=5,J47*Geometry!$K$20,0)</f>
        <v>0</v>
      </c>
      <c r="M47" s="59">
        <f>IF(C47=1,J47*Geometry!$G$19,0)+IF(C47=2,J47*Geometry!$H$19,0)+IF(C47=3,J47*Geometry!$I$19,0)+IF(C47=4,J47*Geometry!$J$19,0)+IF(C47=5,J47*Geometry!$K$19,0)</f>
        <v>0</v>
      </c>
      <c r="N47" s="59">
        <f>IF(C47=1,J47*Geometry!$G$22,0)+IF(C47=2,J47*Geometry!$H$22,0)+IF(C47=3,J47*Geometry!$I$22,0)+IF(C47=4,J47*Geometry!$J$22,0)+IF(C47=5,J47*Geometry!$K$22,0)</f>
        <v>386.41589639154455</v>
      </c>
      <c r="O47" s="59">
        <f>IF(C47=1,J47*Geometry!$G$23,0)+IF(C47=2,J47*Geometry!$H$23,0)+IF(C47=3,J47*Geometry!$I$23,0)+IF(C47=4,J47*Geometry!$J$23,0)+IF(C47=5,J47*Geometry!$K$23,0)</f>
        <v>0</v>
      </c>
      <c r="P47">
        <f>IF(C47=1,J47*Geometry!$G$24,0)+IF(C47=2,J47*Geometry!$H$24,0)+IF(C47=3,J47*Geometry!$I$24,0)+IF(C47=4,J47*Geometry!$J$24,0)+IF(C47=5,J47*Geometry!$K$24,0)</f>
        <v>8501.1497206139793</v>
      </c>
    </row>
    <row r="48" spans="1:16">
      <c r="A48">
        <f t="shared" si="7"/>
        <v>42</v>
      </c>
      <c r="C48" s="7">
        <f t="shared" si="4"/>
        <v>3</v>
      </c>
      <c r="D48" s="69">
        <f>D47+Geometry!$C$15</f>
        <v>415</v>
      </c>
      <c r="E48" s="59">
        <f t="shared" si="5"/>
        <v>-100</v>
      </c>
      <c r="F48" s="4">
        <f>Geometry!$D$12*D48</f>
        <v>10.047882352941178</v>
      </c>
      <c r="G48" s="4">
        <f t="shared" si="0"/>
        <v>1.0252941176470589</v>
      </c>
      <c r="H48" s="4">
        <f>IF(ABS(E48*E48)&lt;=Geometry!$E$10,SQRT(Geometry!$E$10-E48*E48),0)</f>
        <v>45.825756949558397</v>
      </c>
      <c r="I48" s="4">
        <f t="shared" si="1"/>
        <v>1</v>
      </c>
      <c r="J48" s="5">
        <f t="shared" si="6"/>
        <v>6597.3445725385645</v>
      </c>
      <c r="K48" s="59">
        <f>IF(C48=1,J48*Geometry!$G$21,0)+IF(C48=2,J48*Geometry!$H$21,0)+IF(C48=3,J48*Geometry!$I$21,0)+IF(C48=4,J48*Geometry!$J$21,0)+IF(C48=5,J48*Geometry!$K$21,0)</f>
        <v>0</v>
      </c>
      <c r="L48" s="59">
        <f>IF(C48=1,J48*Geometry!$G$20,0)+IF(C48=2,J48*Geometry!$H$20,0)+IF(C48=3,J48*Geometry!$I$20,0)+IF(C48=4,J48*Geometry!$J$20,0)+IF(C48=5,J48*Geometry!$K$20,0)</f>
        <v>0</v>
      </c>
      <c r="M48" s="59">
        <f>IF(C48=1,J48*Geometry!$G$19,0)+IF(C48=2,J48*Geometry!$H$19,0)+IF(C48=3,J48*Geometry!$I$19,0)+IF(C48=4,J48*Geometry!$J$19,0)+IF(C48=5,J48*Geometry!$K$19,0)</f>
        <v>0</v>
      </c>
      <c r="N48" s="59">
        <f>IF(C48=1,J48*Geometry!$G$22,0)+IF(C48=2,J48*Geometry!$H$22,0)+IF(C48=3,J48*Geometry!$I$22,0)+IF(C48=4,J48*Geometry!$J$22,0)+IF(C48=5,J48*Geometry!$K$22,0)</f>
        <v>263.89378290154258</v>
      </c>
      <c r="O48" s="59">
        <f>IF(C48=1,J48*Geometry!$G$23,0)+IF(C48=2,J48*Geometry!$H$23,0)+IF(C48=3,J48*Geometry!$I$23,0)+IF(C48=4,J48*Geometry!$J$23,0)+IF(C48=5,J48*Geometry!$K$23,0)</f>
        <v>0</v>
      </c>
      <c r="P48">
        <f>IF(C48=1,J48*Geometry!$G$24,0)+IF(C48=2,J48*Geometry!$H$24,0)+IF(C48=3,J48*Geometry!$I$24,0)+IF(C48=4,J48*Geometry!$J$24,0)+IF(C48=5,J48*Geometry!$K$24,0)</f>
        <v>5805.6632238339371</v>
      </c>
    </row>
    <row r="49" spans="1:16">
      <c r="A49">
        <f t="shared" si="7"/>
        <v>43</v>
      </c>
      <c r="C49" s="7">
        <f t="shared" si="4"/>
        <v>3</v>
      </c>
      <c r="D49" s="69">
        <f>D48+Geometry!$C$15</f>
        <v>420</v>
      </c>
      <c r="E49" s="59">
        <f t="shared" si="5"/>
        <v>-105</v>
      </c>
      <c r="F49" s="4">
        <f>Geometry!$D$12*D49</f>
        <v>10.168941176470589</v>
      </c>
      <c r="G49" s="4">
        <f t="shared" si="0"/>
        <v>1.0376470588235294</v>
      </c>
      <c r="H49" s="4">
        <f>IF(ABS(E49*E49)&lt;=Geometry!$E$10,SQRT(Geometry!$E$10-E49*E49),0)</f>
        <v>32.787192621510002</v>
      </c>
      <c r="I49" s="4">
        <f t="shared" si="1"/>
        <v>1</v>
      </c>
      <c r="J49" s="5">
        <f t="shared" si="6"/>
        <v>3377.2121026090272</v>
      </c>
      <c r="K49" s="59">
        <f>IF(C49=1,J49*Geometry!$G$21,0)+IF(C49=2,J49*Geometry!$H$21,0)+IF(C49=3,J49*Geometry!$I$21,0)+IF(C49=4,J49*Geometry!$J$21,0)+IF(C49=5,J49*Geometry!$K$21,0)</f>
        <v>0</v>
      </c>
      <c r="L49" s="59">
        <f>IF(C49=1,J49*Geometry!$G$20,0)+IF(C49=2,J49*Geometry!$H$20,0)+IF(C49=3,J49*Geometry!$I$20,0)+IF(C49=4,J49*Geometry!$J$20,0)+IF(C49=5,J49*Geometry!$K$20,0)</f>
        <v>0</v>
      </c>
      <c r="M49" s="59">
        <f>IF(C49=1,J49*Geometry!$G$19,0)+IF(C49=2,J49*Geometry!$H$19,0)+IF(C49=3,J49*Geometry!$I$19,0)+IF(C49=4,J49*Geometry!$J$19,0)+IF(C49=5,J49*Geometry!$K$19,0)</f>
        <v>0</v>
      </c>
      <c r="N49" s="59">
        <f>IF(C49=1,J49*Geometry!$G$22,0)+IF(C49=2,J49*Geometry!$H$22,0)+IF(C49=3,J49*Geometry!$I$22,0)+IF(C49=4,J49*Geometry!$J$22,0)+IF(C49=5,J49*Geometry!$K$22,0)</f>
        <v>135.0884841043611</v>
      </c>
      <c r="O49" s="59">
        <f>IF(C49=1,J49*Geometry!$G$23,0)+IF(C49=2,J49*Geometry!$H$23,0)+IF(C49=3,J49*Geometry!$I$23,0)+IF(C49=4,J49*Geometry!$J$23,0)+IF(C49=5,J49*Geometry!$K$23,0)</f>
        <v>0</v>
      </c>
      <c r="P49">
        <f>IF(C49=1,J49*Geometry!$G$24,0)+IF(C49=2,J49*Geometry!$H$24,0)+IF(C49=3,J49*Geometry!$I$24,0)+IF(C49=4,J49*Geometry!$J$24,0)+IF(C49=5,J49*Geometry!$K$24,0)</f>
        <v>2971.946650295944</v>
      </c>
    </row>
    <row r="50" spans="1:16">
      <c r="A50">
        <f t="shared" si="7"/>
        <v>44</v>
      </c>
      <c r="C50" s="7">
        <f t="shared" si="4"/>
        <v>3</v>
      </c>
      <c r="D50" s="69">
        <f>D49+Geometry!$C$15</f>
        <v>425</v>
      </c>
      <c r="E50" s="59">
        <f t="shared" si="5"/>
        <v>-110</v>
      </c>
      <c r="F50" s="4">
        <f>Geometry!$D$12*D50</f>
        <v>10.290000000000001</v>
      </c>
      <c r="G50" s="4">
        <f t="shared" si="0"/>
        <v>0</v>
      </c>
      <c r="H50" s="4">
        <f>IF(ABS(E50*E50)&lt;=Geometry!$E$10,SQRT(Geometry!$E$10-E50*E50),0)</f>
        <v>0</v>
      </c>
      <c r="I50" s="4">
        <f t="shared" si="1"/>
        <v>0</v>
      </c>
      <c r="J50" s="5">
        <f t="shared" si="6"/>
        <v>0</v>
      </c>
      <c r="K50" s="59">
        <f>IF(C50=1,J50*Geometry!$G$21,0)+IF(C50=2,J50*Geometry!$H$21,0)+IF(C50=3,J50*Geometry!$I$21,0)+IF(C50=4,J50*Geometry!$J$21,0)+IF(C50=5,J50*Geometry!$K$21,0)</f>
        <v>0</v>
      </c>
      <c r="L50" s="59">
        <f>IF(C50=1,J50*Geometry!$G$20,0)+IF(C50=2,J50*Geometry!$H$20,0)+IF(C50=3,J50*Geometry!$I$20,0)+IF(C50=4,J50*Geometry!$J$20,0)+IF(C50=5,J50*Geometry!$K$20,0)</f>
        <v>0</v>
      </c>
      <c r="M50" s="59">
        <f>IF(C50=1,J50*Geometry!$G$19,0)+IF(C50=2,J50*Geometry!$H$19,0)+IF(C50=3,J50*Geometry!$I$19,0)+IF(C50=4,J50*Geometry!$J$19,0)+IF(C50=5,J50*Geometry!$K$19,0)</f>
        <v>0</v>
      </c>
      <c r="N50" s="59">
        <f>IF(C50=1,J50*Geometry!$G$22,0)+IF(C50=2,J50*Geometry!$H$22,0)+IF(C50=3,J50*Geometry!$I$22,0)+IF(C50=4,J50*Geometry!$J$22,0)+IF(C50=5,J50*Geometry!$K$22,0)</f>
        <v>0</v>
      </c>
      <c r="O50" s="59">
        <f>IF(C50=1,J50*Geometry!$G$23,0)+IF(C50=2,J50*Geometry!$H$23,0)+IF(C50=3,J50*Geometry!$I$23,0)+IF(C50=4,J50*Geometry!$J$23,0)+IF(C50=5,J50*Geometry!$K$23,0)</f>
        <v>0</v>
      </c>
      <c r="P50">
        <f>IF(C50=1,J50*Geometry!$G$24,0)+IF(C50=2,J50*Geometry!$H$24,0)+IF(C50=3,J50*Geometry!$I$24,0)+IF(C50=4,J50*Geometry!$J$24,0)+IF(C50=5,J50*Geometry!$K$24,0)</f>
        <v>0</v>
      </c>
    </row>
    <row r="51" spans="1:16">
      <c r="A51">
        <f t="shared" si="7"/>
        <v>45</v>
      </c>
      <c r="C51" s="7">
        <f t="shared" si="4"/>
        <v>3</v>
      </c>
      <c r="D51" s="69">
        <f>D50+Geometry!$C$15</f>
        <v>430</v>
      </c>
      <c r="E51" s="59">
        <f t="shared" si="5"/>
        <v>-115</v>
      </c>
      <c r="F51" s="4">
        <f>Geometry!$D$12*D51</f>
        <v>10.411058823529412</v>
      </c>
      <c r="G51" s="4">
        <f t="shared" si="0"/>
        <v>0</v>
      </c>
      <c r="H51" s="4">
        <f>IF(ABS(E51*E51)&lt;=Geometry!$E$10,SQRT(Geometry!$E$10-E51*E51),0)</f>
        <v>0</v>
      </c>
      <c r="I51" s="4">
        <f t="shared" si="1"/>
        <v>0</v>
      </c>
      <c r="J51" s="5">
        <f t="shared" si="6"/>
        <v>0</v>
      </c>
      <c r="K51" s="59">
        <f>IF(C51=1,J51*Geometry!$G$21,0)+IF(C51=2,J51*Geometry!$H$21,0)+IF(C51=3,J51*Geometry!$I$21,0)+IF(C51=4,J51*Geometry!$J$21,0)+IF(C51=5,J51*Geometry!$K$21,0)</f>
        <v>0</v>
      </c>
      <c r="L51" s="59">
        <f>IF(C51=1,J51*Geometry!$G$20,0)+IF(C51=2,J51*Geometry!$H$20,0)+IF(C51=3,J51*Geometry!$I$20,0)+IF(C51=4,J51*Geometry!$J$20,0)+IF(C51=5,J51*Geometry!$K$20,0)</f>
        <v>0</v>
      </c>
      <c r="M51" s="59">
        <f>IF(C51=1,J51*Geometry!$G$19,0)+IF(C51=2,J51*Geometry!$H$19,0)+IF(C51=3,J51*Geometry!$I$19,0)+IF(C51=4,J51*Geometry!$J$19,0)+IF(C51=5,J51*Geometry!$K$19,0)</f>
        <v>0</v>
      </c>
      <c r="N51" s="59">
        <f>IF(C51=1,J51*Geometry!$G$22,0)+IF(C51=2,J51*Geometry!$H$22,0)+IF(C51=3,J51*Geometry!$I$22,0)+IF(C51=4,J51*Geometry!$J$22,0)+IF(C51=5,J51*Geometry!$K$22,0)</f>
        <v>0</v>
      </c>
      <c r="O51" s="59">
        <f>IF(C51=1,J51*Geometry!$G$23,0)+IF(C51=2,J51*Geometry!$H$23,0)+IF(C51=3,J51*Geometry!$I$23,0)+IF(C51=4,J51*Geometry!$J$23,0)+IF(C51=5,J51*Geometry!$K$23,0)</f>
        <v>0</v>
      </c>
      <c r="P51">
        <f>IF(C51=1,J51*Geometry!$G$24,0)+IF(C51=2,J51*Geometry!$H$24,0)+IF(C51=3,J51*Geometry!$I$24,0)+IF(C51=4,J51*Geometry!$J$24,0)+IF(C51=5,J51*Geometry!$K$24,0)</f>
        <v>0</v>
      </c>
    </row>
    <row r="52" spans="1:16">
      <c r="A52">
        <f t="shared" si="7"/>
        <v>46</v>
      </c>
      <c r="C52" s="7">
        <f t="shared" si="4"/>
        <v>3</v>
      </c>
      <c r="D52" s="69">
        <f>D51+Geometry!$C$15</f>
        <v>435</v>
      </c>
      <c r="E52" s="59">
        <f t="shared" si="5"/>
        <v>-120</v>
      </c>
      <c r="F52" s="4">
        <f>Geometry!$D$12*D52</f>
        <v>10.532117647058826</v>
      </c>
      <c r="G52" s="4">
        <f t="shared" si="0"/>
        <v>0</v>
      </c>
      <c r="H52" s="4">
        <f>IF(ABS(E52*E52)&lt;=Geometry!$E$10,SQRT(Geometry!$E$10-E52*E52),0)</f>
        <v>0</v>
      </c>
      <c r="I52" s="4">
        <f t="shared" si="1"/>
        <v>0</v>
      </c>
      <c r="J52" s="5">
        <f t="shared" si="6"/>
        <v>0</v>
      </c>
      <c r="K52" s="59">
        <f>IF(C52=1,J52*Geometry!$G$21,0)+IF(C52=2,J52*Geometry!$H$21,0)+IF(C52=3,J52*Geometry!$I$21,0)+IF(C52=4,J52*Geometry!$J$21,0)+IF(C52=5,J52*Geometry!$K$21,0)</f>
        <v>0</v>
      </c>
      <c r="L52" s="59">
        <f>IF(C52=1,J52*Geometry!$G$20,0)+IF(C52=2,J52*Geometry!$H$20,0)+IF(C52=3,J52*Geometry!$I$20,0)+IF(C52=4,J52*Geometry!$J$20,0)+IF(C52=5,J52*Geometry!$K$20,0)</f>
        <v>0</v>
      </c>
      <c r="M52" s="59">
        <f>IF(C52=1,J52*Geometry!$G$19,0)+IF(C52=2,J52*Geometry!$H$19,0)+IF(C52=3,J52*Geometry!$I$19,0)+IF(C52=4,J52*Geometry!$J$19,0)+IF(C52=5,J52*Geometry!$K$19,0)</f>
        <v>0</v>
      </c>
      <c r="N52" s="59">
        <f>IF(C52=1,J52*Geometry!$G$22,0)+IF(C52=2,J52*Geometry!$H$22,0)+IF(C52=3,J52*Geometry!$I$22,0)+IF(C52=4,J52*Geometry!$J$22,0)+IF(C52=5,J52*Geometry!$K$22,0)</f>
        <v>0</v>
      </c>
      <c r="O52" s="59">
        <f>IF(C52=1,J52*Geometry!$G$23,0)+IF(C52=2,J52*Geometry!$H$23,0)+IF(C52=3,J52*Geometry!$I$23,0)+IF(C52=4,J52*Geometry!$J$23,0)+IF(C52=5,J52*Geometry!$K$23,0)</f>
        <v>0</v>
      </c>
      <c r="P52">
        <f>IF(C52=1,J52*Geometry!$G$24,0)+IF(C52=2,J52*Geometry!$H$24,0)+IF(C52=3,J52*Geometry!$I$24,0)+IF(C52=4,J52*Geometry!$J$24,0)+IF(C52=5,J52*Geometry!$K$24,0)</f>
        <v>0</v>
      </c>
    </row>
    <row r="53" spans="1:16">
      <c r="A53">
        <f t="shared" si="7"/>
        <v>47</v>
      </c>
      <c r="C53" s="7">
        <f t="shared" si="4"/>
        <v>3</v>
      </c>
      <c r="D53" s="69">
        <f>D52+Geometry!$C$15</f>
        <v>440</v>
      </c>
      <c r="E53" s="59">
        <f t="shared" si="5"/>
        <v>-125</v>
      </c>
      <c r="F53" s="4">
        <f>Geometry!$D$12*D53</f>
        <v>10.653176470588237</v>
      </c>
      <c r="G53" s="4">
        <f t="shared" si="0"/>
        <v>0</v>
      </c>
      <c r="H53" s="4">
        <f>IF(ABS(E53*E53)&lt;=Geometry!$E$10,SQRT(Geometry!$E$10-E53*E53),0)</f>
        <v>0</v>
      </c>
      <c r="I53" s="4">
        <f t="shared" si="1"/>
        <v>0</v>
      </c>
      <c r="J53" s="5">
        <f t="shared" si="6"/>
        <v>0</v>
      </c>
      <c r="K53" s="59">
        <f>IF(C53=1,J53*Geometry!$G$21,0)+IF(C53=2,J53*Geometry!$H$21,0)+IF(C53=3,J53*Geometry!$I$21,0)+IF(C53=4,J53*Geometry!$J$21,0)+IF(C53=5,J53*Geometry!$K$21,0)</f>
        <v>0</v>
      </c>
      <c r="L53" s="59">
        <f>IF(C53=1,J53*Geometry!$G$20,0)+IF(C53=2,J53*Geometry!$H$20,0)+IF(C53=3,J53*Geometry!$I$20,0)+IF(C53=4,J53*Geometry!$J$20,0)+IF(C53=5,J53*Geometry!$K$20,0)</f>
        <v>0</v>
      </c>
      <c r="M53" s="59">
        <f>IF(C53=1,J53*Geometry!$G$19,0)+IF(C53=2,J53*Geometry!$H$19,0)+IF(C53=3,J53*Geometry!$I$19,0)+IF(C53=4,J53*Geometry!$J$19,0)+IF(C53=5,J53*Geometry!$K$19,0)</f>
        <v>0</v>
      </c>
      <c r="N53" s="59">
        <f>IF(C53=1,J53*Geometry!$G$22,0)+IF(C53=2,J53*Geometry!$H$22,0)+IF(C53=3,J53*Geometry!$I$22,0)+IF(C53=4,J53*Geometry!$J$22,0)+IF(C53=5,J53*Geometry!$K$22,0)</f>
        <v>0</v>
      </c>
      <c r="O53" s="59">
        <f>IF(C53=1,J53*Geometry!$G$23,0)+IF(C53=2,J53*Geometry!$H$23,0)+IF(C53=3,J53*Geometry!$I$23,0)+IF(C53=4,J53*Geometry!$J$23,0)+IF(C53=5,J53*Geometry!$K$23,0)</f>
        <v>0</v>
      </c>
      <c r="P53">
        <f>IF(C53=1,J53*Geometry!$G$24,0)+IF(C53=2,J53*Geometry!$H$24,0)+IF(C53=3,J53*Geometry!$I$24,0)+IF(C53=4,J53*Geometry!$J$24,0)+IF(C53=5,J53*Geometry!$K$24,0)</f>
        <v>0</v>
      </c>
    </row>
    <row r="54" spans="1:16">
      <c r="A54">
        <f t="shared" si="7"/>
        <v>48</v>
      </c>
      <c r="C54" s="7">
        <f t="shared" si="4"/>
        <v>3</v>
      </c>
      <c r="D54" s="69">
        <f>D53+Geometry!$C$15</f>
        <v>445</v>
      </c>
      <c r="E54" s="59">
        <f t="shared" si="5"/>
        <v>-130</v>
      </c>
      <c r="F54" s="4">
        <f>Geometry!$D$12*D54</f>
        <v>10.774235294117648</v>
      </c>
      <c r="G54" s="4">
        <f t="shared" si="0"/>
        <v>0</v>
      </c>
      <c r="H54" s="4">
        <f>IF(ABS(E54*E54)&lt;=Geometry!$E$10,SQRT(Geometry!$E$10-E54*E54),0)</f>
        <v>0</v>
      </c>
      <c r="I54" s="4">
        <f t="shared" si="1"/>
        <v>0</v>
      </c>
      <c r="J54" s="5">
        <f t="shared" si="6"/>
        <v>0</v>
      </c>
      <c r="K54" s="59">
        <f>IF(C54=1,J54*Geometry!$G$21,0)+IF(C54=2,J54*Geometry!$H$21,0)+IF(C54=3,J54*Geometry!$I$21,0)+IF(C54=4,J54*Geometry!$J$21,0)+IF(C54=5,J54*Geometry!$K$21,0)</f>
        <v>0</v>
      </c>
      <c r="L54" s="59">
        <f>IF(C54=1,J54*Geometry!$G$20,0)+IF(C54=2,J54*Geometry!$H$20,0)+IF(C54=3,J54*Geometry!$I$20,0)+IF(C54=4,J54*Geometry!$J$20,0)+IF(C54=5,J54*Geometry!$K$20,0)</f>
        <v>0</v>
      </c>
      <c r="M54" s="59">
        <f>IF(C54=1,J54*Geometry!$G$19,0)+IF(C54=2,J54*Geometry!$H$19,0)+IF(C54=3,J54*Geometry!$I$19,0)+IF(C54=4,J54*Geometry!$J$19,0)+IF(C54=5,J54*Geometry!$K$19,0)</f>
        <v>0</v>
      </c>
      <c r="N54" s="59">
        <f>IF(C54=1,J54*Geometry!$G$22,0)+IF(C54=2,J54*Geometry!$H$22,0)+IF(C54=3,J54*Geometry!$I$22,0)+IF(C54=4,J54*Geometry!$J$22,0)+IF(C54=5,J54*Geometry!$K$22,0)</f>
        <v>0</v>
      </c>
      <c r="O54" s="59">
        <f>IF(C54=1,J54*Geometry!$G$23,0)+IF(C54=2,J54*Geometry!$H$23,0)+IF(C54=3,J54*Geometry!$I$23,0)+IF(C54=4,J54*Geometry!$J$23,0)+IF(C54=5,J54*Geometry!$K$23,0)</f>
        <v>0</v>
      </c>
      <c r="P54">
        <f>IF(C54=1,J54*Geometry!$G$24,0)+IF(C54=2,J54*Geometry!$H$24,0)+IF(C54=3,J54*Geometry!$I$24,0)+IF(C54=4,J54*Geometry!$J$24,0)+IF(C54=5,J54*Geometry!$K$24,0)</f>
        <v>0</v>
      </c>
    </row>
    <row r="55" spans="1:16">
      <c r="A55">
        <f t="shared" si="7"/>
        <v>49</v>
      </c>
      <c r="C55" s="7">
        <f t="shared" si="4"/>
        <v>3</v>
      </c>
      <c r="D55" s="69">
        <f>D54+Geometry!$C$15</f>
        <v>450</v>
      </c>
      <c r="E55" s="59">
        <f t="shared" si="5"/>
        <v>-135</v>
      </c>
      <c r="F55" s="4">
        <f>Geometry!$D$12*D55</f>
        <v>10.89529411764706</v>
      </c>
      <c r="G55" s="4">
        <f t="shared" si="0"/>
        <v>0</v>
      </c>
      <c r="H55" s="4">
        <f>IF(ABS(E55*E55)&lt;=Geometry!$E$10,SQRT(Geometry!$E$10-E55*E55),0)</f>
        <v>0</v>
      </c>
      <c r="I55" s="4">
        <f t="shared" si="1"/>
        <v>0</v>
      </c>
      <c r="J55" s="5">
        <f t="shared" si="6"/>
        <v>0</v>
      </c>
      <c r="K55" s="59">
        <f>IF(C55=1,J55*Geometry!$G$21,0)+IF(C55=2,J55*Geometry!$H$21,0)+IF(C55=3,J55*Geometry!$I$21,0)+IF(C55=4,J55*Geometry!$J$21,0)+IF(C55=5,J55*Geometry!$K$21,0)</f>
        <v>0</v>
      </c>
      <c r="L55" s="59">
        <f>IF(C55=1,J55*Geometry!$G$20,0)+IF(C55=2,J55*Geometry!$H$20,0)+IF(C55=3,J55*Geometry!$I$20,0)+IF(C55=4,J55*Geometry!$J$20,0)+IF(C55=5,J55*Geometry!$K$20,0)</f>
        <v>0</v>
      </c>
      <c r="M55" s="59">
        <f>IF(C55=1,J55*Geometry!$G$19,0)+IF(C55=2,J55*Geometry!$H$19,0)+IF(C55=3,J55*Geometry!$I$19,0)+IF(C55=4,J55*Geometry!$J$19,0)+IF(C55=5,J55*Geometry!$K$19,0)</f>
        <v>0</v>
      </c>
      <c r="N55" s="59">
        <f>IF(C55=1,J55*Geometry!$G$22,0)+IF(C55=2,J55*Geometry!$H$22,0)+IF(C55=3,J55*Geometry!$I$22,0)+IF(C55=4,J55*Geometry!$J$22,0)+IF(C55=5,J55*Geometry!$K$22,0)</f>
        <v>0</v>
      </c>
      <c r="O55" s="59">
        <f>IF(C55=1,J55*Geometry!$G$23,0)+IF(C55=2,J55*Geometry!$H$23,0)+IF(C55=3,J55*Geometry!$I$23,0)+IF(C55=4,J55*Geometry!$J$23,0)+IF(C55=5,J55*Geometry!$K$23,0)</f>
        <v>0</v>
      </c>
      <c r="P55">
        <f>IF(C55=1,J55*Geometry!$G$24,0)+IF(C55=2,J55*Geometry!$H$24,0)+IF(C55=3,J55*Geometry!$I$24,0)+IF(C55=4,J55*Geometry!$J$24,0)+IF(C55=5,J55*Geometry!$K$24,0)</f>
        <v>0</v>
      </c>
    </row>
    <row r="56" spans="1:16">
      <c r="A56">
        <f t="shared" si="7"/>
        <v>50</v>
      </c>
      <c r="C56" s="7">
        <f t="shared" si="4"/>
        <v>3</v>
      </c>
      <c r="D56" s="69">
        <f>D55+Geometry!$C$15</f>
        <v>455</v>
      </c>
      <c r="E56" s="59">
        <f t="shared" si="5"/>
        <v>-140</v>
      </c>
      <c r="F56" s="4">
        <f>Geometry!$D$12*D56</f>
        <v>11.016352941176471</v>
      </c>
      <c r="G56" s="4">
        <f t="shared" si="0"/>
        <v>0</v>
      </c>
      <c r="H56" s="4">
        <f>IF(ABS(E56*E56)&lt;=Geometry!$E$10,SQRT(Geometry!$E$10-E56*E56),0)</f>
        <v>0</v>
      </c>
      <c r="I56" s="4">
        <f t="shared" si="1"/>
        <v>0</v>
      </c>
      <c r="J56" s="5">
        <f t="shared" si="6"/>
        <v>0</v>
      </c>
      <c r="K56" s="59">
        <f>IF(C56=1,J56*Geometry!$G$21,0)+IF(C56=2,J56*Geometry!$H$21,0)+IF(C56=3,J56*Geometry!$I$21,0)+IF(C56=4,J56*Geometry!$J$21,0)+IF(C56=5,J56*Geometry!$K$21,0)</f>
        <v>0</v>
      </c>
      <c r="L56" s="59">
        <f>IF(C56=1,J56*Geometry!$G$20,0)+IF(C56=2,J56*Geometry!$H$20,0)+IF(C56=3,J56*Geometry!$I$20,0)+IF(C56=4,J56*Geometry!$J$20,0)+IF(C56=5,J56*Geometry!$K$20,0)</f>
        <v>0</v>
      </c>
      <c r="M56" s="59">
        <f>IF(C56=1,J56*Geometry!$G$19,0)+IF(C56=2,J56*Geometry!$H$19,0)+IF(C56=3,J56*Geometry!$I$19,0)+IF(C56=4,J56*Geometry!$J$19,0)+IF(C56=5,J56*Geometry!$K$19,0)</f>
        <v>0</v>
      </c>
      <c r="N56" s="59">
        <f>IF(C56=1,J56*Geometry!$G$22,0)+IF(C56=2,J56*Geometry!$H$22,0)+IF(C56=3,J56*Geometry!$I$22,0)+IF(C56=4,J56*Geometry!$J$22,0)+IF(C56=5,J56*Geometry!$K$22,0)</f>
        <v>0</v>
      </c>
      <c r="O56" s="59">
        <f>IF(C56=1,J56*Geometry!$G$23,0)+IF(C56=2,J56*Geometry!$H$23,0)+IF(C56=3,J56*Geometry!$I$23,0)+IF(C56=4,J56*Geometry!$J$23,0)+IF(C56=5,J56*Geometry!$K$23,0)</f>
        <v>0</v>
      </c>
      <c r="P56">
        <f>IF(C56=1,J56*Geometry!$G$24,0)+IF(C56=2,J56*Geometry!$H$24,0)+IF(C56=3,J56*Geometry!$I$24,0)+IF(C56=4,J56*Geometry!$J$24,0)+IF(C56=5,J56*Geometry!$K$24,0)</f>
        <v>0</v>
      </c>
    </row>
    <row r="57" spans="1:16">
      <c r="A57">
        <f t="shared" si="7"/>
        <v>51</v>
      </c>
      <c r="C57" s="7">
        <f t="shared" si="4"/>
        <v>3</v>
      </c>
      <c r="D57" s="69">
        <f>D56+Geometry!$C$15</f>
        <v>460</v>
      </c>
      <c r="E57" s="59">
        <f t="shared" si="5"/>
        <v>-145</v>
      </c>
      <c r="F57" s="4">
        <f>Geometry!$D$12*D57</f>
        <v>11.137411764705885</v>
      </c>
      <c r="G57" s="4">
        <f t="shared" si="0"/>
        <v>0</v>
      </c>
      <c r="H57" s="4">
        <f>IF(ABS(E57*E57)&lt;=Geometry!$E$10,SQRT(Geometry!$E$10-E57*E57),0)</f>
        <v>0</v>
      </c>
      <c r="I57" s="4">
        <f t="shared" si="1"/>
        <v>0</v>
      </c>
      <c r="J57" s="5">
        <f t="shared" si="6"/>
        <v>0</v>
      </c>
      <c r="K57" s="59">
        <f>IF(C57=1,J57*Geometry!$G$21,0)+IF(C57=2,J57*Geometry!$H$21,0)+IF(C57=3,J57*Geometry!$I$21,0)+IF(C57=4,J57*Geometry!$J$21,0)+IF(C57=5,J57*Geometry!$K$21,0)</f>
        <v>0</v>
      </c>
      <c r="L57" s="59">
        <f>IF(C57=1,J57*Geometry!$G$20,0)+IF(C57=2,J57*Geometry!$H$20,0)+IF(C57=3,J57*Geometry!$I$20,0)+IF(C57=4,J57*Geometry!$J$20,0)+IF(C57=5,J57*Geometry!$K$20,0)</f>
        <v>0</v>
      </c>
      <c r="M57" s="59">
        <f>IF(C57=1,J57*Geometry!$G$19,0)+IF(C57=2,J57*Geometry!$H$19,0)+IF(C57=3,J57*Geometry!$I$19,0)+IF(C57=4,J57*Geometry!$J$19,0)+IF(C57=5,J57*Geometry!$K$19,0)</f>
        <v>0</v>
      </c>
      <c r="N57" s="59">
        <f>IF(C57=1,J57*Geometry!$G$22,0)+IF(C57=2,J57*Geometry!$H$22,0)+IF(C57=3,J57*Geometry!$I$22,0)+IF(C57=4,J57*Geometry!$J$22,0)+IF(C57=5,J57*Geometry!$K$22,0)</f>
        <v>0</v>
      </c>
      <c r="O57" s="59">
        <f>IF(C57=1,J57*Geometry!$G$23,0)+IF(C57=2,J57*Geometry!$H$23,0)+IF(C57=3,J57*Geometry!$I$23,0)+IF(C57=4,J57*Geometry!$J$23,0)+IF(C57=5,J57*Geometry!$K$23,0)</f>
        <v>0</v>
      </c>
      <c r="P57">
        <f>IF(C57=1,J57*Geometry!$G$24,0)+IF(C57=2,J57*Geometry!$H$24,0)+IF(C57=3,J57*Geometry!$I$24,0)+IF(C57=4,J57*Geometry!$J$24,0)+IF(C57=5,J57*Geometry!$K$24,0)</f>
        <v>0</v>
      </c>
    </row>
    <row r="58" spans="1:16">
      <c r="A58">
        <f t="shared" si="7"/>
        <v>52</v>
      </c>
      <c r="C58" s="7">
        <f t="shared" si="4"/>
        <v>3</v>
      </c>
      <c r="D58" s="69">
        <f>D57+Geometry!$C$15</f>
        <v>465</v>
      </c>
      <c r="E58" s="59">
        <f t="shared" si="5"/>
        <v>-150</v>
      </c>
      <c r="F58" s="4">
        <f>Geometry!$D$12*D58</f>
        <v>11.258470588235296</v>
      </c>
      <c r="G58" s="4">
        <f t="shared" si="0"/>
        <v>0</v>
      </c>
      <c r="H58" s="4">
        <f>IF(ABS(E58*E58)&lt;=Geometry!$E$10,SQRT(Geometry!$E$10-E58*E58),0)</f>
        <v>0</v>
      </c>
      <c r="I58" s="4">
        <f t="shared" si="1"/>
        <v>0</v>
      </c>
      <c r="J58" s="5">
        <f t="shared" si="6"/>
        <v>0</v>
      </c>
      <c r="K58" s="59">
        <f>IF(C58=1,J58*Geometry!$G$21,0)+IF(C58=2,J58*Geometry!$H$21,0)+IF(C58=3,J58*Geometry!$I$21,0)+IF(C58=4,J58*Geometry!$J$21,0)+IF(C58=5,J58*Geometry!$K$21,0)</f>
        <v>0</v>
      </c>
      <c r="L58" s="59">
        <f>IF(C58=1,J58*Geometry!$G$20,0)+IF(C58=2,J58*Geometry!$H$20,0)+IF(C58=3,J58*Geometry!$I$20,0)+IF(C58=4,J58*Geometry!$J$20,0)+IF(C58=5,J58*Geometry!$K$20,0)</f>
        <v>0</v>
      </c>
      <c r="M58" s="59">
        <f>IF(C58=1,J58*Geometry!$G$19,0)+IF(C58=2,J58*Geometry!$H$19,0)+IF(C58=3,J58*Geometry!$I$19,0)+IF(C58=4,J58*Geometry!$J$19,0)+IF(C58=5,J58*Geometry!$K$19,0)</f>
        <v>0</v>
      </c>
      <c r="N58" s="59">
        <f>IF(C58=1,J58*Geometry!$G$22,0)+IF(C58=2,J58*Geometry!$H$22,0)+IF(C58=3,J58*Geometry!$I$22,0)+IF(C58=4,J58*Geometry!$J$22,0)+IF(C58=5,J58*Geometry!$K$22,0)</f>
        <v>0</v>
      </c>
      <c r="O58" s="59">
        <f>IF(C58=1,J58*Geometry!$G$23,0)+IF(C58=2,J58*Geometry!$H$23,0)+IF(C58=3,J58*Geometry!$I$23,0)+IF(C58=4,J58*Geometry!$J$23,0)+IF(C58=5,J58*Geometry!$K$23,0)</f>
        <v>0</v>
      </c>
      <c r="P58">
        <f>IF(C58=1,J58*Geometry!$G$24,0)+IF(C58=2,J58*Geometry!$H$24,0)+IF(C58=3,J58*Geometry!$I$24,0)+IF(C58=4,J58*Geometry!$J$24,0)+IF(C58=5,J58*Geometry!$K$24,0)</f>
        <v>0</v>
      </c>
    </row>
    <row r="59" spans="1:16">
      <c r="A59">
        <f t="shared" si="7"/>
        <v>53</v>
      </c>
      <c r="C59" s="7">
        <f t="shared" si="4"/>
        <v>3</v>
      </c>
      <c r="D59" s="69">
        <f>D58+Geometry!$C$15</f>
        <v>470</v>
      </c>
      <c r="E59" s="59">
        <f t="shared" si="5"/>
        <v>-155</v>
      </c>
      <c r="F59" s="4">
        <f>Geometry!$D$12*D59</f>
        <v>11.379529411764707</v>
      </c>
      <c r="G59" s="4">
        <f t="shared" si="0"/>
        <v>0</v>
      </c>
      <c r="H59" s="4">
        <f>IF(ABS(E59*E59)&lt;=Geometry!$E$10,SQRT(Geometry!$E$10-E59*E59),0)</f>
        <v>0</v>
      </c>
      <c r="I59" s="4">
        <f t="shared" si="1"/>
        <v>0</v>
      </c>
      <c r="J59" s="5">
        <f t="shared" si="6"/>
        <v>0</v>
      </c>
      <c r="K59" s="59">
        <f>IF(C59=1,J59*Geometry!$G$21,0)+IF(C59=2,J59*Geometry!$H$21,0)+IF(C59=3,J59*Geometry!$I$21,0)+IF(C59=4,J59*Geometry!$J$21,0)+IF(C59=5,J59*Geometry!$K$21,0)</f>
        <v>0</v>
      </c>
      <c r="L59" s="59">
        <f>IF(C59=1,J59*Geometry!$G$20,0)+IF(C59=2,J59*Geometry!$H$20,0)+IF(C59=3,J59*Geometry!$I$20,0)+IF(C59=4,J59*Geometry!$J$20,0)+IF(C59=5,J59*Geometry!$K$20,0)</f>
        <v>0</v>
      </c>
      <c r="M59" s="59">
        <f>IF(C59=1,J59*Geometry!$G$19,0)+IF(C59=2,J59*Geometry!$H$19,0)+IF(C59=3,J59*Geometry!$I$19,0)+IF(C59=4,J59*Geometry!$J$19,0)+IF(C59=5,J59*Geometry!$K$19,0)</f>
        <v>0</v>
      </c>
      <c r="N59" s="59">
        <f>IF(C59=1,J59*Geometry!$G$22,0)+IF(C59=2,J59*Geometry!$H$22,0)+IF(C59=3,J59*Geometry!$I$22,0)+IF(C59=4,J59*Geometry!$J$22,0)+IF(C59=5,J59*Geometry!$K$22,0)</f>
        <v>0</v>
      </c>
      <c r="O59" s="59">
        <f>IF(C59=1,J59*Geometry!$G$23,0)+IF(C59=2,J59*Geometry!$H$23,0)+IF(C59=3,J59*Geometry!$I$23,0)+IF(C59=4,J59*Geometry!$J$23,0)+IF(C59=5,J59*Geometry!$K$23,0)</f>
        <v>0</v>
      </c>
      <c r="P59">
        <f>IF(C59=1,J59*Geometry!$G$24,0)+IF(C59=2,J59*Geometry!$H$24,0)+IF(C59=3,J59*Geometry!$I$24,0)+IF(C59=4,J59*Geometry!$J$24,0)+IF(C59=5,J59*Geometry!$K$24,0)</f>
        <v>0</v>
      </c>
    </row>
    <row r="60" spans="1:16">
      <c r="A60">
        <f t="shared" si="7"/>
        <v>54</v>
      </c>
      <c r="C60" s="7">
        <f t="shared" si="4"/>
        <v>3</v>
      </c>
      <c r="D60" s="69">
        <f>D59+Geometry!$C$15</f>
        <v>475</v>
      </c>
      <c r="E60" s="59">
        <f t="shared" si="5"/>
        <v>-160</v>
      </c>
      <c r="F60" s="4">
        <f>Geometry!$D$12*D60</f>
        <v>11.500588235294119</v>
      </c>
      <c r="G60" s="4">
        <f t="shared" si="0"/>
        <v>0</v>
      </c>
      <c r="H60" s="4">
        <f>IF(ABS(E60*E60)&lt;=Geometry!$E$10,SQRT(Geometry!$E$10-E60*E60),0)</f>
        <v>0</v>
      </c>
      <c r="I60" s="4">
        <f t="shared" si="1"/>
        <v>0</v>
      </c>
      <c r="J60" s="5">
        <f t="shared" si="6"/>
        <v>0</v>
      </c>
      <c r="K60" s="59">
        <f>IF(C60=1,J60*Geometry!$G$21,0)+IF(C60=2,J60*Geometry!$H$21,0)+IF(C60=3,J60*Geometry!$I$21,0)+IF(C60=4,J60*Geometry!$J$21,0)+IF(C60=5,J60*Geometry!$K$21,0)</f>
        <v>0</v>
      </c>
      <c r="L60" s="59">
        <f>IF(C60=1,J60*Geometry!$G$20,0)+IF(C60=2,J60*Geometry!$H$20,0)+IF(C60=3,J60*Geometry!$I$20,0)+IF(C60=4,J60*Geometry!$J$20,0)+IF(C60=5,J60*Geometry!$K$20,0)</f>
        <v>0</v>
      </c>
      <c r="M60" s="59">
        <f>IF(C60=1,J60*Geometry!$G$19,0)+IF(C60=2,J60*Geometry!$H$19,0)+IF(C60=3,J60*Geometry!$I$19,0)+IF(C60=4,J60*Geometry!$J$19,0)+IF(C60=5,J60*Geometry!$K$19,0)</f>
        <v>0</v>
      </c>
      <c r="N60" s="59">
        <f>IF(C60=1,J60*Geometry!$G$22,0)+IF(C60=2,J60*Geometry!$H$22,0)+IF(C60=3,J60*Geometry!$I$22,0)+IF(C60=4,J60*Geometry!$J$22,0)+IF(C60=5,J60*Geometry!$K$22,0)</f>
        <v>0</v>
      </c>
      <c r="O60" s="59">
        <f>IF(C60=1,J60*Geometry!$G$23,0)+IF(C60=2,J60*Geometry!$H$23,0)+IF(C60=3,J60*Geometry!$I$23,0)+IF(C60=4,J60*Geometry!$J$23,0)+IF(C60=5,J60*Geometry!$K$23,0)</f>
        <v>0</v>
      </c>
      <c r="P60">
        <f>IF(C60=1,J60*Geometry!$G$24,0)+IF(C60=2,J60*Geometry!$H$24,0)+IF(C60=3,J60*Geometry!$I$24,0)+IF(C60=4,J60*Geometry!$J$24,0)+IF(C60=5,J60*Geometry!$K$24,0)</f>
        <v>0</v>
      </c>
    </row>
    <row r="61" spans="1:16">
      <c r="A61">
        <f t="shared" si="7"/>
        <v>55</v>
      </c>
      <c r="C61" s="7">
        <f t="shared" si="4"/>
        <v>3</v>
      </c>
      <c r="D61" s="69">
        <f>D60+Geometry!$C$15</f>
        <v>480</v>
      </c>
      <c r="E61" s="59">
        <f t="shared" si="5"/>
        <v>-165</v>
      </c>
      <c r="F61" s="4">
        <f>Geometry!$D$12*D61</f>
        <v>11.62164705882353</v>
      </c>
      <c r="G61" s="4">
        <f t="shared" si="0"/>
        <v>0</v>
      </c>
      <c r="H61" s="4">
        <f>IF(ABS(E61*E61)&lt;=Geometry!$E$10,SQRT(Geometry!$E$10-E61*E61),0)</f>
        <v>0</v>
      </c>
      <c r="I61" s="4">
        <f t="shared" si="1"/>
        <v>0</v>
      </c>
      <c r="J61" s="5">
        <f t="shared" si="6"/>
        <v>0</v>
      </c>
      <c r="K61" s="59">
        <f>IF(C61=1,J61*Geometry!$G$21,0)+IF(C61=2,J61*Geometry!$H$21,0)+IF(C61=3,J61*Geometry!$I$21,0)+IF(C61=4,J61*Geometry!$J$21,0)+IF(C61=5,J61*Geometry!$K$21,0)</f>
        <v>0</v>
      </c>
      <c r="L61" s="59">
        <f>IF(C61=1,J61*Geometry!$G$20,0)+IF(C61=2,J61*Geometry!$H$20,0)+IF(C61=3,J61*Geometry!$I$20,0)+IF(C61=4,J61*Geometry!$J$20,0)+IF(C61=5,J61*Geometry!$K$20,0)</f>
        <v>0</v>
      </c>
      <c r="M61" s="59">
        <f>IF(C61=1,J61*Geometry!$G$19,0)+IF(C61=2,J61*Geometry!$H$19,0)+IF(C61=3,J61*Geometry!$I$19,0)+IF(C61=4,J61*Geometry!$J$19,0)+IF(C61=5,J61*Geometry!$K$19,0)</f>
        <v>0</v>
      </c>
      <c r="N61" s="59">
        <f>IF(C61=1,J61*Geometry!$G$22,0)+IF(C61=2,J61*Geometry!$H$22,0)+IF(C61=3,J61*Geometry!$I$22,0)+IF(C61=4,J61*Geometry!$J$22,0)+IF(C61=5,J61*Geometry!$K$22,0)</f>
        <v>0</v>
      </c>
      <c r="O61" s="59">
        <f>IF(C61=1,J61*Geometry!$G$23,0)+IF(C61=2,J61*Geometry!$H$23,0)+IF(C61=3,J61*Geometry!$I$23,0)+IF(C61=4,J61*Geometry!$J$23,0)+IF(C61=5,J61*Geometry!$K$23,0)</f>
        <v>0</v>
      </c>
      <c r="P61">
        <f>IF(C61=1,J61*Geometry!$G$24,0)+IF(C61=2,J61*Geometry!$H$24,0)+IF(C61=3,J61*Geometry!$I$24,0)+IF(C61=4,J61*Geometry!$J$24,0)+IF(C61=5,J61*Geometry!$K$24,0)</f>
        <v>0</v>
      </c>
    </row>
    <row r="62" spans="1:16">
      <c r="A62">
        <f t="shared" si="7"/>
        <v>56</v>
      </c>
      <c r="C62" s="7">
        <f t="shared" si="4"/>
        <v>3</v>
      </c>
      <c r="D62" s="69">
        <f>D61+Geometry!$C$15</f>
        <v>485</v>
      </c>
      <c r="E62" s="59">
        <f t="shared" si="5"/>
        <v>-170</v>
      </c>
      <c r="F62" s="4">
        <f>Geometry!$D$12*D62</f>
        <v>11.742705882352944</v>
      </c>
      <c r="G62" s="4">
        <f t="shared" si="0"/>
        <v>0</v>
      </c>
      <c r="H62" s="4">
        <f>IF(ABS(E62*E62)&lt;=Geometry!$E$10,SQRT(Geometry!$E$10-E62*E62),0)</f>
        <v>0</v>
      </c>
      <c r="I62" s="4">
        <f t="shared" si="1"/>
        <v>0</v>
      </c>
      <c r="J62" s="5">
        <f t="shared" si="6"/>
        <v>0</v>
      </c>
      <c r="K62" s="59">
        <f>IF(C62=1,J62*Geometry!$G$21,0)+IF(C62=2,J62*Geometry!$H$21,0)+IF(C62=3,J62*Geometry!$I$21,0)+IF(C62=4,J62*Geometry!$J$21,0)+IF(C62=5,J62*Geometry!$K$21,0)</f>
        <v>0</v>
      </c>
      <c r="L62" s="59">
        <f>IF(C62=1,J62*Geometry!$G$20,0)+IF(C62=2,J62*Geometry!$H$20,0)+IF(C62=3,J62*Geometry!$I$20,0)+IF(C62=4,J62*Geometry!$J$20,0)+IF(C62=5,J62*Geometry!$K$20,0)</f>
        <v>0</v>
      </c>
      <c r="M62" s="59">
        <f>IF(C62=1,J62*Geometry!$G$19,0)+IF(C62=2,J62*Geometry!$H$19,0)+IF(C62=3,J62*Geometry!$I$19,0)+IF(C62=4,J62*Geometry!$J$19,0)+IF(C62=5,J62*Geometry!$K$19,0)</f>
        <v>0</v>
      </c>
      <c r="N62" s="59">
        <f>IF(C62=1,J62*Geometry!$G$22,0)+IF(C62=2,J62*Geometry!$H$22,0)+IF(C62=3,J62*Geometry!$I$22,0)+IF(C62=4,J62*Geometry!$J$22,0)+IF(C62=5,J62*Geometry!$K$22,0)</f>
        <v>0</v>
      </c>
      <c r="O62" s="59">
        <f>IF(C62=1,J62*Geometry!$G$23,0)+IF(C62=2,J62*Geometry!$H$23,0)+IF(C62=3,J62*Geometry!$I$23,0)+IF(C62=4,J62*Geometry!$J$23,0)+IF(C62=5,J62*Geometry!$K$23,0)</f>
        <v>0</v>
      </c>
      <c r="P62">
        <f>IF(C62=1,J62*Geometry!$G$24,0)+IF(C62=2,J62*Geometry!$H$24,0)+IF(C62=3,J62*Geometry!$I$24,0)+IF(C62=4,J62*Geometry!$J$24,0)+IF(C62=5,J62*Geometry!$K$24,0)</f>
        <v>0</v>
      </c>
    </row>
    <row r="63" spans="1:16">
      <c r="A63">
        <f t="shared" si="7"/>
        <v>57</v>
      </c>
      <c r="C63" s="7">
        <f t="shared" si="4"/>
        <v>3</v>
      </c>
      <c r="D63" s="69">
        <f>D62+Geometry!$C$15</f>
        <v>490</v>
      </c>
      <c r="E63" s="59">
        <f t="shared" si="5"/>
        <v>-175</v>
      </c>
      <c r="F63" s="4">
        <f>Geometry!$D$12*D63</f>
        <v>11.863764705882355</v>
      </c>
      <c r="G63" s="4">
        <f t="shared" si="0"/>
        <v>0</v>
      </c>
      <c r="H63" s="4">
        <f>IF(ABS(E63*E63)&lt;=Geometry!$E$10,SQRT(Geometry!$E$10-E63*E63),0)</f>
        <v>0</v>
      </c>
      <c r="I63" s="4">
        <f t="shared" si="1"/>
        <v>0</v>
      </c>
      <c r="J63" s="5">
        <f t="shared" si="6"/>
        <v>0</v>
      </c>
      <c r="K63" s="59">
        <f>IF(C63=1,J63*Geometry!$G$21,0)+IF(C63=2,J63*Geometry!$H$21,0)+IF(C63=3,J63*Geometry!$I$21,0)+IF(C63=4,J63*Geometry!$J$21,0)+IF(C63=5,J63*Geometry!$K$21,0)</f>
        <v>0</v>
      </c>
      <c r="L63" s="59">
        <f>IF(C63=1,J63*Geometry!$G$20,0)+IF(C63=2,J63*Geometry!$H$20,0)+IF(C63=3,J63*Geometry!$I$20,0)+IF(C63=4,J63*Geometry!$J$20,0)+IF(C63=5,J63*Geometry!$K$20,0)</f>
        <v>0</v>
      </c>
      <c r="M63" s="59">
        <f>IF(C63=1,J63*Geometry!$G$19,0)+IF(C63=2,J63*Geometry!$H$19,0)+IF(C63=3,J63*Geometry!$I$19,0)+IF(C63=4,J63*Geometry!$J$19,0)+IF(C63=5,J63*Geometry!$K$19,0)</f>
        <v>0</v>
      </c>
      <c r="N63" s="59">
        <f>IF(C63=1,J63*Geometry!$G$22,0)+IF(C63=2,J63*Geometry!$H$22,0)+IF(C63=3,J63*Geometry!$I$22,0)+IF(C63=4,J63*Geometry!$J$22,0)+IF(C63=5,J63*Geometry!$K$22,0)</f>
        <v>0</v>
      </c>
      <c r="O63" s="59">
        <f>IF(C63=1,J63*Geometry!$G$23,0)+IF(C63=2,J63*Geometry!$H$23,0)+IF(C63=3,J63*Geometry!$I$23,0)+IF(C63=4,J63*Geometry!$J$23,0)+IF(C63=5,J63*Geometry!$K$23,0)</f>
        <v>0</v>
      </c>
      <c r="P63">
        <f>IF(C63=1,J63*Geometry!$G$24,0)+IF(C63=2,J63*Geometry!$H$24,0)+IF(C63=3,J63*Geometry!$I$24,0)+IF(C63=4,J63*Geometry!$J$24,0)+IF(C63=5,J63*Geometry!$K$24,0)</f>
        <v>0</v>
      </c>
    </row>
    <row r="64" spans="1:16">
      <c r="A64">
        <f t="shared" si="7"/>
        <v>58</v>
      </c>
      <c r="C64" s="7">
        <f t="shared" si="4"/>
        <v>3</v>
      </c>
      <c r="D64" s="69">
        <f>D63+Geometry!$C$15</f>
        <v>495</v>
      </c>
      <c r="E64" s="59">
        <f t="shared" si="5"/>
        <v>-180</v>
      </c>
      <c r="F64" s="4">
        <f>Geometry!$D$12*D64</f>
        <v>11.984823529411766</v>
      </c>
      <c r="G64" s="4">
        <f t="shared" si="0"/>
        <v>0</v>
      </c>
      <c r="H64" s="4">
        <f>IF(ABS(E64*E64)&lt;=Geometry!$E$10,SQRT(Geometry!$E$10-E64*E64),0)</f>
        <v>0</v>
      </c>
      <c r="I64" s="4">
        <f t="shared" si="1"/>
        <v>0</v>
      </c>
      <c r="J64" s="5">
        <f t="shared" si="6"/>
        <v>0</v>
      </c>
      <c r="K64" s="59">
        <f>IF(C64=1,J64*Geometry!$G$21,0)+IF(C64=2,J64*Geometry!$H$21,0)+IF(C64=3,J64*Geometry!$I$21,0)+IF(C64=4,J64*Geometry!$J$21,0)+IF(C64=5,J64*Geometry!$K$21,0)</f>
        <v>0</v>
      </c>
      <c r="L64" s="59">
        <f>IF(C64=1,J64*Geometry!$G$20,0)+IF(C64=2,J64*Geometry!$H$20,0)+IF(C64=3,J64*Geometry!$I$20,0)+IF(C64=4,J64*Geometry!$J$20,0)+IF(C64=5,J64*Geometry!$K$20,0)</f>
        <v>0</v>
      </c>
      <c r="M64" s="59">
        <f>IF(C64=1,J64*Geometry!$G$19,0)+IF(C64=2,J64*Geometry!$H$19,0)+IF(C64=3,J64*Geometry!$I$19,0)+IF(C64=4,J64*Geometry!$J$19,0)+IF(C64=5,J64*Geometry!$K$19,0)</f>
        <v>0</v>
      </c>
      <c r="N64" s="59">
        <f>IF(C64=1,J64*Geometry!$G$22,0)+IF(C64=2,J64*Geometry!$H$22,0)+IF(C64=3,J64*Geometry!$I$22,0)+IF(C64=4,J64*Geometry!$J$22,0)+IF(C64=5,J64*Geometry!$K$22,0)</f>
        <v>0</v>
      </c>
      <c r="O64" s="59">
        <f>IF(C64=1,J64*Geometry!$G$23,0)+IF(C64=2,J64*Geometry!$H$23,0)+IF(C64=3,J64*Geometry!$I$23,0)+IF(C64=4,J64*Geometry!$J$23,0)+IF(C64=5,J64*Geometry!$K$23,0)</f>
        <v>0</v>
      </c>
      <c r="P64">
        <f>IF(C64=1,J64*Geometry!$G$24,0)+IF(C64=2,J64*Geometry!$H$24,0)+IF(C64=3,J64*Geometry!$I$24,0)+IF(C64=4,J64*Geometry!$J$24,0)+IF(C64=5,J64*Geometry!$K$24,0)</f>
        <v>0</v>
      </c>
    </row>
    <row r="65" spans="1:16">
      <c r="A65">
        <f t="shared" si="7"/>
        <v>59</v>
      </c>
      <c r="C65" s="7">
        <f t="shared" si="4"/>
        <v>3</v>
      </c>
      <c r="D65" s="69">
        <f>D64+Geometry!$C$15</f>
        <v>500</v>
      </c>
      <c r="E65" s="59">
        <f t="shared" si="5"/>
        <v>-185</v>
      </c>
      <c r="F65" s="4">
        <f>Geometry!$D$12*D65</f>
        <v>12.105882352941178</v>
      </c>
      <c r="G65" s="4">
        <f t="shared" si="0"/>
        <v>0</v>
      </c>
      <c r="H65" s="4">
        <f>IF(ABS(E65*E65)&lt;=Geometry!$E$10,SQRT(Geometry!$E$10-E65*E65),0)</f>
        <v>0</v>
      </c>
      <c r="I65" s="4">
        <f t="shared" si="1"/>
        <v>0</v>
      </c>
      <c r="J65" s="5">
        <f t="shared" si="6"/>
        <v>0</v>
      </c>
      <c r="K65" s="59">
        <f>IF(C65=1,J65*Geometry!$G$21,0)+IF(C65=2,J65*Geometry!$H$21,0)+IF(C65=3,J65*Geometry!$I$21,0)+IF(C65=4,J65*Geometry!$J$21,0)+IF(C65=5,J65*Geometry!$K$21,0)</f>
        <v>0</v>
      </c>
      <c r="L65" s="59">
        <f>IF(C65=1,J65*Geometry!$G$20,0)+IF(C65=2,J65*Geometry!$H$20,0)+IF(C65=3,J65*Geometry!$I$20,0)+IF(C65=4,J65*Geometry!$J$20,0)+IF(C65=5,J65*Geometry!$K$20,0)</f>
        <v>0</v>
      </c>
      <c r="M65" s="59">
        <f>IF(C65=1,J65*Geometry!$G$19,0)+IF(C65=2,J65*Geometry!$H$19,0)+IF(C65=3,J65*Geometry!$I$19,0)+IF(C65=4,J65*Geometry!$J$19,0)+IF(C65=5,J65*Geometry!$K$19,0)</f>
        <v>0</v>
      </c>
      <c r="N65" s="59">
        <f>IF(C65=1,J65*Geometry!$G$22,0)+IF(C65=2,J65*Geometry!$H$22,0)+IF(C65=3,J65*Geometry!$I$22,0)+IF(C65=4,J65*Geometry!$J$22,0)+IF(C65=5,J65*Geometry!$K$22,0)</f>
        <v>0</v>
      </c>
      <c r="O65" s="59">
        <f>IF(C65=1,J65*Geometry!$G$23,0)+IF(C65=2,J65*Geometry!$H$23,0)+IF(C65=3,J65*Geometry!$I$23,0)+IF(C65=4,J65*Geometry!$J$23,0)+IF(C65=5,J65*Geometry!$K$23,0)</f>
        <v>0</v>
      </c>
      <c r="P65">
        <f>IF(C65=1,J65*Geometry!$G$24,0)+IF(C65=2,J65*Geometry!$H$24,0)+IF(C65=3,J65*Geometry!$I$24,0)+IF(C65=4,J65*Geometry!$J$24,0)+IF(C65=5,J65*Geometry!$K$24,0)</f>
        <v>0</v>
      </c>
    </row>
    <row r="66" spans="1:16">
      <c r="A66">
        <f t="shared" si="7"/>
        <v>60</v>
      </c>
      <c r="C66" s="7">
        <f t="shared" si="4"/>
        <v>3</v>
      </c>
      <c r="D66" s="69">
        <f>D65+Geometry!$C$15</f>
        <v>505</v>
      </c>
      <c r="E66" s="59">
        <f t="shared" si="5"/>
        <v>-190</v>
      </c>
      <c r="F66" s="4">
        <f>Geometry!$D$12*D66</f>
        <v>12.226941176470589</v>
      </c>
      <c r="G66" s="4">
        <f t="shared" si="0"/>
        <v>0</v>
      </c>
      <c r="H66" s="4">
        <f>IF(ABS(E66*E66)&lt;=Geometry!$E$10,SQRT(Geometry!$E$10-E66*E66),0)</f>
        <v>0</v>
      </c>
      <c r="I66" s="4">
        <f t="shared" si="1"/>
        <v>0</v>
      </c>
      <c r="J66" s="5">
        <f t="shared" si="6"/>
        <v>0</v>
      </c>
      <c r="K66" s="59">
        <f>IF(C66=1,J66*Geometry!$G$21,0)+IF(C66=2,J66*Geometry!$H$21,0)+IF(C66=3,J66*Geometry!$I$21,0)+IF(C66=4,J66*Geometry!$J$21,0)+IF(C66=5,J66*Geometry!$K$21,0)</f>
        <v>0</v>
      </c>
      <c r="L66" s="59">
        <f>IF(C66=1,J66*Geometry!$G$20,0)+IF(C66=2,J66*Geometry!$H$20,0)+IF(C66=3,J66*Geometry!$I$20,0)+IF(C66=4,J66*Geometry!$J$20,0)+IF(C66=5,J66*Geometry!$K$20,0)</f>
        <v>0</v>
      </c>
      <c r="M66" s="59">
        <f>IF(C66=1,J66*Geometry!$G$19,0)+IF(C66=2,J66*Geometry!$H$19,0)+IF(C66=3,J66*Geometry!$I$19,0)+IF(C66=4,J66*Geometry!$J$19,0)+IF(C66=5,J66*Geometry!$K$19,0)</f>
        <v>0</v>
      </c>
      <c r="N66" s="59">
        <f>IF(C66=1,J66*Geometry!$G$22,0)+IF(C66=2,J66*Geometry!$H$22,0)+IF(C66=3,J66*Geometry!$I$22,0)+IF(C66=4,J66*Geometry!$J$22,0)+IF(C66=5,J66*Geometry!$K$22,0)</f>
        <v>0</v>
      </c>
      <c r="O66" s="59">
        <f>IF(C66=1,J66*Geometry!$G$23,0)+IF(C66=2,J66*Geometry!$H$23,0)+IF(C66=3,J66*Geometry!$I$23,0)+IF(C66=4,J66*Geometry!$J$23,0)+IF(C66=5,J66*Geometry!$K$23,0)</f>
        <v>0</v>
      </c>
      <c r="P66">
        <f>IF(C66=1,J66*Geometry!$G$24,0)+IF(C66=2,J66*Geometry!$H$24,0)+IF(C66=3,J66*Geometry!$I$24,0)+IF(C66=4,J66*Geometry!$J$24,0)+IF(C66=5,J66*Geometry!$K$24,0)</f>
        <v>0</v>
      </c>
    </row>
    <row r="67" spans="1:16">
      <c r="A67">
        <f t="shared" si="7"/>
        <v>61</v>
      </c>
      <c r="C67" s="7">
        <f t="shared" si="4"/>
        <v>3</v>
      </c>
      <c r="D67" s="69">
        <f>D66+Geometry!$C$15</f>
        <v>510</v>
      </c>
      <c r="E67" s="59">
        <f t="shared" si="5"/>
        <v>-195</v>
      </c>
      <c r="F67" s="4">
        <f>Geometry!$D$12*D67</f>
        <v>12.348000000000003</v>
      </c>
      <c r="G67" s="4">
        <f t="shared" si="0"/>
        <v>0</v>
      </c>
      <c r="H67" s="4">
        <f>IF(ABS(E67*E67)&lt;=Geometry!$E$10,SQRT(Geometry!$E$10-E67*E67),0)</f>
        <v>0</v>
      </c>
      <c r="I67" s="4">
        <f t="shared" si="1"/>
        <v>0</v>
      </c>
      <c r="J67" s="5">
        <f t="shared" si="6"/>
        <v>0</v>
      </c>
      <c r="K67" s="59">
        <f>IF(C67=1,J67*Geometry!$G$21,0)+IF(C67=2,J67*Geometry!$H$21,0)+IF(C67=3,J67*Geometry!$I$21,0)+IF(C67=4,J67*Geometry!$J$21,0)+IF(C67=5,J67*Geometry!$K$21,0)</f>
        <v>0</v>
      </c>
      <c r="L67" s="59">
        <f>IF(C67=1,J67*Geometry!$G$20,0)+IF(C67=2,J67*Geometry!$H$20,0)+IF(C67=3,J67*Geometry!$I$20,0)+IF(C67=4,J67*Geometry!$J$20,0)+IF(C67=5,J67*Geometry!$K$20,0)</f>
        <v>0</v>
      </c>
      <c r="M67" s="59">
        <f>IF(C67=1,J67*Geometry!$G$19,0)+IF(C67=2,J67*Geometry!$H$19,0)+IF(C67=3,J67*Geometry!$I$19,0)+IF(C67=4,J67*Geometry!$J$19,0)+IF(C67=5,J67*Geometry!$K$19,0)</f>
        <v>0</v>
      </c>
      <c r="N67" s="59">
        <f>IF(C67=1,J67*Geometry!$G$22,0)+IF(C67=2,J67*Geometry!$H$22,0)+IF(C67=3,J67*Geometry!$I$22,0)+IF(C67=4,J67*Geometry!$J$22,0)+IF(C67=5,J67*Geometry!$K$22,0)</f>
        <v>0</v>
      </c>
      <c r="O67" s="59">
        <f>IF(C67=1,J67*Geometry!$G$23,0)+IF(C67=2,J67*Geometry!$H$23,0)+IF(C67=3,J67*Geometry!$I$23,0)+IF(C67=4,J67*Geometry!$J$23,0)+IF(C67=5,J67*Geometry!$K$23,0)</f>
        <v>0</v>
      </c>
      <c r="P67">
        <f>IF(C67=1,J67*Geometry!$G$24,0)+IF(C67=2,J67*Geometry!$H$24,0)+IF(C67=3,J67*Geometry!$I$24,0)+IF(C67=4,J67*Geometry!$J$24,0)+IF(C67=5,J67*Geometry!$K$24,0)</f>
        <v>0</v>
      </c>
    </row>
    <row r="68" spans="1:16">
      <c r="A68">
        <f t="shared" si="7"/>
        <v>62</v>
      </c>
      <c r="C68" s="7">
        <f t="shared" si="4"/>
        <v>3</v>
      </c>
      <c r="D68" s="69">
        <f>D67+Geometry!$C$15</f>
        <v>515</v>
      </c>
      <c r="E68" s="59">
        <f t="shared" si="5"/>
        <v>-200</v>
      </c>
      <c r="F68" s="4">
        <f>Geometry!$D$12*D68</f>
        <v>12.469058823529414</v>
      </c>
      <c r="G68" s="4">
        <f t="shared" si="0"/>
        <v>0</v>
      </c>
      <c r="H68" s="4">
        <f>IF(ABS(E68*E68)&lt;=Geometry!$E$10,SQRT(Geometry!$E$10-E68*E68),0)</f>
        <v>0</v>
      </c>
      <c r="I68" s="4">
        <f t="shared" si="1"/>
        <v>0</v>
      </c>
      <c r="J68" s="5">
        <f t="shared" si="6"/>
        <v>0</v>
      </c>
      <c r="K68" s="59">
        <f>IF(C68=1,J68*Geometry!$G$21,0)+IF(C68=2,J68*Geometry!$H$21,0)+IF(C68=3,J68*Geometry!$I$21,0)+IF(C68=4,J68*Geometry!$J$21,0)+IF(C68=5,J68*Geometry!$K$21,0)</f>
        <v>0</v>
      </c>
      <c r="L68" s="59">
        <f>IF(C68=1,J68*Geometry!$G$20,0)+IF(C68=2,J68*Geometry!$H$20,0)+IF(C68=3,J68*Geometry!$I$20,0)+IF(C68=4,J68*Geometry!$J$20,0)+IF(C68=5,J68*Geometry!$K$20,0)</f>
        <v>0</v>
      </c>
      <c r="M68" s="59">
        <f>IF(C68=1,J68*Geometry!$G$19,0)+IF(C68=2,J68*Geometry!$H$19,0)+IF(C68=3,J68*Geometry!$I$19,0)+IF(C68=4,J68*Geometry!$J$19,0)+IF(C68=5,J68*Geometry!$K$19,0)</f>
        <v>0</v>
      </c>
      <c r="N68" s="59">
        <f>IF(C68=1,J68*Geometry!$G$22,0)+IF(C68=2,J68*Geometry!$H$22,0)+IF(C68=3,J68*Geometry!$I$22,0)+IF(C68=4,J68*Geometry!$J$22,0)+IF(C68=5,J68*Geometry!$K$22,0)</f>
        <v>0</v>
      </c>
      <c r="O68" s="59">
        <f>IF(C68=1,J68*Geometry!$G$23,0)+IF(C68=2,J68*Geometry!$H$23,0)+IF(C68=3,J68*Geometry!$I$23,0)+IF(C68=4,J68*Geometry!$J$23,0)+IF(C68=5,J68*Geometry!$K$23,0)</f>
        <v>0</v>
      </c>
      <c r="P68">
        <f>IF(C68=1,J68*Geometry!$G$24,0)+IF(C68=2,J68*Geometry!$H$24,0)+IF(C68=3,J68*Geometry!$I$24,0)+IF(C68=4,J68*Geometry!$J$24,0)+IF(C68=5,J68*Geometry!$K$24,0)</f>
        <v>0</v>
      </c>
    </row>
    <row r="69" spans="1:16">
      <c r="A69">
        <f t="shared" si="7"/>
        <v>63</v>
      </c>
      <c r="C69" s="7">
        <f t="shared" si="4"/>
        <v>3</v>
      </c>
      <c r="D69" s="69">
        <f>D68+Geometry!$C$15</f>
        <v>520</v>
      </c>
      <c r="E69" s="59">
        <f t="shared" si="5"/>
        <v>-205</v>
      </c>
      <c r="F69" s="4">
        <f>Geometry!$D$12*D69</f>
        <v>12.590117647058825</v>
      </c>
      <c r="G69" s="4">
        <f t="shared" si="0"/>
        <v>0</v>
      </c>
      <c r="H69" s="4">
        <f>IF(ABS(E69*E69)&lt;=Geometry!$E$10,SQRT(Geometry!$E$10-E69*E69),0)</f>
        <v>0</v>
      </c>
      <c r="I69" s="4">
        <f t="shared" si="1"/>
        <v>0</v>
      </c>
      <c r="J69" s="5">
        <f t="shared" si="6"/>
        <v>0</v>
      </c>
      <c r="K69" s="59">
        <f>IF(C69=1,J69*Geometry!$G$21,0)+IF(C69=2,J69*Geometry!$H$21,0)+IF(C69=3,J69*Geometry!$I$21,0)+IF(C69=4,J69*Geometry!$J$21,0)+IF(C69=5,J69*Geometry!$K$21,0)</f>
        <v>0</v>
      </c>
      <c r="L69" s="59">
        <f>IF(C69=1,J69*Geometry!$G$20,0)+IF(C69=2,J69*Geometry!$H$20,0)+IF(C69=3,J69*Geometry!$I$20,0)+IF(C69=4,J69*Geometry!$J$20,0)+IF(C69=5,J69*Geometry!$K$20,0)</f>
        <v>0</v>
      </c>
      <c r="M69" s="59">
        <f>IF(C69=1,J69*Geometry!$G$19,0)+IF(C69=2,J69*Geometry!$H$19,0)+IF(C69=3,J69*Geometry!$I$19,0)+IF(C69=4,J69*Geometry!$J$19,0)+IF(C69=5,J69*Geometry!$K$19,0)</f>
        <v>0</v>
      </c>
      <c r="N69" s="59">
        <f>IF(C69=1,J69*Geometry!$G$22,0)+IF(C69=2,J69*Geometry!$H$22,0)+IF(C69=3,J69*Geometry!$I$22,0)+IF(C69=4,J69*Geometry!$J$22,0)+IF(C69=5,J69*Geometry!$K$22,0)</f>
        <v>0</v>
      </c>
      <c r="O69" s="59">
        <f>IF(C69=1,J69*Geometry!$G$23,0)+IF(C69=2,J69*Geometry!$H$23,0)+IF(C69=3,J69*Geometry!$I$23,0)+IF(C69=4,J69*Geometry!$J$23,0)+IF(C69=5,J69*Geometry!$K$23,0)</f>
        <v>0</v>
      </c>
      <c r="P69">
        <f>IF(C69=1,J69*Geometry!$G$24,0)+IF(C69=2,J69*Geometry!$H$24,0)+IF(C69=3,J69*Geometry!$I$24,0)+IF(C69=4,J69*Geometry!$J$24,0)+IF(C69=5,J69*Geometry!$K$24,0)</f>
        <v>0</v>
      </c>
    </row>
    <row r="70" spans="1:16">
      <c r="A70">
        <f t="shared" si="7"/>
        <v>64</v>
      </c>
      <c r="C70" s="7">
        <f t="shared" si="4"/>
        <v>3</v>
      </c>
      <c r="D70" s="69">
        <f>D69+Geometry!$C$15</f>
        <v>525</v>
      </c>
      <c r="E70" s="59">
        <f t="shared" si="5"/>
        <v>-210</v>
      </c>
      <c r="F70" s="4">
        <f>Geometry!$D$12*D70</f>
        <v>12.711176470588237</v>
      </c>
      <c r="G70" s="4">
        <f t="shared" si="0"/>
        <v>0</v>
      </c>
      <c r="H70" s="4">
        <f>IF(ABS(E70*E70)&lt;=Geometry!$E$10,SQRT(Geometry!$E$10-E70*E70),0)</f>
        <v>0</v>
      </c>
      <c r="I70" s="4">
        <f t="shared" si="1"/>
        <v>0</v>
      </c>
      <c r="J70" s="5">
        <f t="shared" si="6"/>
        <v>0</v>
      </c>
      <c r="K70" s="59">
        <f>IF(C70=1,J70*Geometry!$G$21,0)+IF(C70=2,J70*Geometry!$H$21,0)+IF(C70=3,J70*Geometry!$I$21,0)+IF(C70=4,J70*Geometry!$J$21,0)+IF(C70=5,J70*Geometry!$K$21,0)</f>
        <v>0</v>
      </c>
      <c r="L70" s="59">
        <f>IF(C70=1,J70*Geometry!$G$20,0)+IF(C70=2,J70*Geometry!$H$20,0)+IF(C70=3,J70*Geometry!$I$20,0)+IF(C70=4,J70*Geometry!$J$20,0)+IF(C70=5,J70*Geometry!$K$20,0)</f>
        <v>0</v>
      </c>
      <c r="M70" s="59">
        <f>IF(C70=1,J70*Geometry!$G$19,0)+IF(C70=2,J70*Geometry!$H$19,0)+IF(C70=3,J70*Geometry!$I$19,0)+IF(C70=4,J70*Geometry!$J$19,0)+IF(C70=5,J70*Geometry!$K$19,0)</f>
        <v>0</v>
      </c>
      <c r="N70" s="59">
        <f>IF(C70=1,J70*Geometry!$G$22,0)+IF(C70=2,J70*Geometry!$H$22,0)+IF(C70=3,J70*Geometry!$I$22,0)+IF(C70=4,J70*Geometry!$J$22,0)+IF(C70=5,J70*Geometry!$K$22,0)</f>
        <v>0</v>
      </c>
      <c r="O70" s="59">
        <f>IF(C70=1,J70*Geometry!$G$23,0)+IF(C70=2,J70*Geometry!$H$23,0)+IF(C70=3,J70*Geometry!$I$23,0)+IF(C70=4,J70*Geometry!$J$23,0)+IF(C70=5,J70*Geometry!$K$23,0)</f>
        <v>0</v>
      </c>
      <c r="P70">
        <f>IF(C70=1,J70*Geometry!$G$24,0)+IF(C70=2,J70*Geometry!$H$24,0)+IF(C70=3,J70*Geometry!$I$24,0)+IF(C70=4,J70*Geometry!$J$24,0)+IF(C70=5,J70*Geometry!$K$24,0)</f>
        <v>0</v>
      </c>
    </row>
    <row r="71" spans="1:16">
      <c r="A71">
        <f t="shared" si="7"/>
        <v>65</v>
      </c>
      <c r="C71" s="7">
        <f t="shared" si="4"/>
        <v>3</v>
      </c>
      <c r="D71" s="69">
        <f>D70+Geometry!$C$15</f>
        <v>530</v>
      </c>
      <c r="E71" s="59">
        <f t="shared" si="5"/>
        <v>-215</v>
      </c>
      <c r="F71" s="4">
        <f>Geometry!$D$12*D71</f>
        <v>12.832235294117648</v>
      </c>
      <c r="G71" s="4">
        <f t="shared" ref="G71:G134" si="8">IF(H71&gt;0,F71/9.8,0)</f>
        <v>0</v>
      </c>
      <c r="H71" s="4">
        <f>IF(ABS(E71*E71)&lt;=Geometry!$E$10,SQRT(Geometry!$E$10-E71*E71),0)</f>
        <v>0</v>
      </c>
      <c r="I71" s="4">
        <f t="shared" ref="I71:I134" si="9">IF(H71&gt;0,1,0)</f>
        <v>0</v>
      </c>
      <c r="J71" s="5">
        <f t="shared" ref="J71:J95" si="10">PI()*H71*H71</f>
        <v>0</v>
      </c>
      <c r="K71" s="59">
        <f>IF(C71=1,J71*Geometry!$G$21,0)+IF(C71=2,J71*Geometry!$H$21,0)+IF(C71=3,J71*Geometry!$I$21,0)+IF(C71=4,J71*Geometry!$J$21,0)+IF(C71=5,J71*Geometry!$K$21,0)</f>
        <v>0</v>
      </c>
      <c r="L71" s="59">
        <f>IF(C71=1,J71*Geometry!$G$20,0)+IF(C71=2,J71*Geometry!$H$20,0)+IF(C71=3,J71*Geometry!$I$20,0)+IF(C71=4,J71*Geometry!$J$20,0)+IF(C71=5,J71*Geometry!$K$20,0)</f>
        <v>0</v>
      </c>
      <c r="M71" s="59">
        <f>IF(C71=1,J71*Geometry!$G$19,0)+IF(C71=2,J71*Geometry!$H$19,0)+IF(C71=3,J71*Geometry!$I$19,0)+IF(C71=4,J71*Geometry!$J$19,0)+IF(C71=5,J71*Geometry!$K$19,0)</f>
        <v>0</v>
      </c>
      <c r="N71" s="59">
        <f>IF(C71=1,J71*Geometry!$G$22,0)+IF(C71=2,J71*Geometry!$H$22,0)+IF(C71=3,J71*Geometry!$I$22,0)+IF(C71=4,J71*Geometry!$J$22,0)+IF(C71=5,J71*Geometry!$K$22,0)</f>
        <v>0</v>
      </c>
      <c r="O71" s="59">
        <f>IF(C71=1,J71*Geometry!$G$23,0)+IF(C71=2,J71*Geometry!$H$23,0)+IF(C71=3,J71*Geometry!$I$23,0)+IF(C71=4,J71*Geometry!$J$23,0)+IF(C71=5,J71*Geometry!$K$23,0)</f>
        <v>0</v>
      </c>
      <c r="P71">
        <f>IF(C71=1,J71*Geometry!$G$24,0)+IF(C71=2,J71*Geometry!$H$24,0)+IF(C71=3,J71*Geometry!$I$24,0)+IF(C71=4,J71*Geometry!$J$24,0)+IF(C71=5,J71*Geometry!$K$24,0)</f>
        <v>0</v>
      </c>
    </row>
    <row r="72" spans="1:16">
      <c r="A72">
        <f t="shared" ref="A72:A95" si="11">A71+1</f>
        <v>66</v>
      </c>
      <c r="C72" s="7">
        <f t="shared" ref="C72:C93" si="12">IF(A72&gt;$C$1-$C$4,3,IF(A72&lt;2,3,IF(A72&lt;=$D$3,1,IF(A72&gt;$E$3,1,2))))</f>
        <v>3</v>
      </c>
      <c r="D72" s="69">
        <f>D71+Geometry!$C$15</f>
        <v>535</v>
      </c>
      <c r="E72" s="59">
        <f t="shared" ref="E72:E135" si="13">E71-(D72-D71)</f>
        <v>-220</v>
      </c>
      <c r="F72" s="4">
        <f>Geometry!$D$12*D72</f>
        <v>12.95329411764706</v>
      </c>
      <c r="G72" s="4">
        <f t="shared" si="8"/>
        <v>0</v>
      </c>
      <c r="H72" s="4">
        <f>IF(ABS(E72*E72)&lt;=Geometry!$E$10,SQRT(Geometry!$E$10-E72*E72),0)</f>
        <v>0</v>
      </c>
      <c r="I72" s="4">
        <f t="shared" si="9"/>
        <v>0</v>
      </c>
      <c r="J72" s="5">
        <f t="shared" si="10"/>
        <v>0</v>
      </c>
      <c r="K72" s="59">
        <f>IF(C72=1,J72*Geometry!$G$21,0)+IF(C72=2,J72*Geometry!$H$21,0)+IF(C72=3,J72*Geometry!$I$21,0)+IF(C72=4,J72*Geometry!$J$21,0)+IF(C72=5,J72*Geometry!$K$21,0)</f>
        <v>0</v>
      </c>
      <c r="L72" s="59">
        <f>IF(C72=1,J72*Geometry!$G$20,0)+IF(C72=2,J72*Geometry!$H$20,0)+IF(C72=3,J72*Geometry!$I$20,0)+IF(C72=4,J72*Geometry!$J$20,0)+IF(C72=5,J72*Geometry!$K$20,0)</f>
        <v>0</v>
      </c>
      <c r="M72" s="59">
        <f>IF(C72=1,J72*Geometry!$G$19,0)+IF(C72=2,J72*Geometry!$H$19,0)+IF(C72=3,J72*Geometry!$I$19,0)+IF(C72=4,J72*Geometry!$J$19,0)+IF(C72=5,J72*Geometry!$K$19,0)</f>
        <v>0</v>
      </c>
      <c r="N72" s="59">
        <f>IF(C72=1,J72*Geometry!$G$22,0)+IF(C72=2,J72*Geometry!$H$22,0)+IF(C72=3,J72*Geometry!$I$22,0)+IF(C72=4,J72*Geometry!$J$22,0)+IF(C72=5,J72*Geometry!$K$22,0)</f>
        <v>0</v>
      </c>
      <c r="O72" s="59">
        <f>IF(C72=1,J72*Geometry!$G$23,0)+IF(C72=2,J72*Geometry!$H$23,0)+IF(C72=3,J72*Geometry!$I$23,0)+IF(C72=4,J72*Geometry!$J$23,0)+IF(C72=5,J72*Geometry!$K$23,0)</f>
        <v>0</v>
      </c>
      <c r="P72">
        <f>IF(C72=1,J72*Geometry!$G$24,0)+IF(C72=2,J72*Geometry!$H$24,0)+IF(C72=3,J72*Geometry!$I$24,0)+IF(C72=4,J72*Geometry!$J$24,0)+IF(C72=5,J72*Geometry!$K$24,0)</f>
        <v>0</v>
      </c>
    </row>
    <row r="73" spans="1:16">
      <c r="A73">
        <f t="shared" si="11"/>
        <v>67</v>
      </c>
      <c r="C73" s="7">
        <f t="shared" si="12"/>
        <v>3</v>
      </c>
      <c r="D73" s="69">
        <f>D72+Geometry!$C$15</f>
        <v>540</v>
      </c>
      <c r="E73" s="59">
        <f t="shared" si="13"/>
        <v>-225</v>
      </c>
      <c r="F73" s="4">
        <f>Geometry!$D$12*D73</f>
        <v>13.074352941176473</v>
      </c>
      <c r="G73" s="4">
        <f t="shared" si="8"/>
        <v>0</v>
      </c>
      <c r="H73" s="4">
        <f>IF(ABS(E73*E73)&lt;=Geometry!$E$10,SQRT(Geometry!$E$10-E73*E73),0)</f>
        <v>0</v>
      </c>
      <c r="I73" s="4">
        <f t="shared" si="9"/>
        <v>0</v>
      </c>
      <c r="J73" s="5">
        <f t="shared" si="10"/>
        <v>0</v>
      </c>
      <c r="K73" s="59">
        <f>IF(C73=1,J73*Geometry!$G$21,0)+IF(C73=2,J73*Geometry!$H$21,0)+IF(C73=3,J73*Geometry!$I$21,0)+IF(C73=4,J73*Geometry!$J$21,0)+IF(C73=5,J73*Geometry!$K$21,0)</f>
        <v>0</v>
      </c>
      <c r="L73" s="59">
        <f>IF(C73=1,J73*Geometry!$G$20,0)+IF(C73=2,J73*Geometry!$H$20,0)+IF(C73=3,J73*Geometry!$I$20,0)+IF(C73=4,J73*Geometry!$J$20,0)+IF(C73=5,J73*Geometry!$K$20,0)</f>
        <v>0</v>
      </c>
      <c r="M73" s="59">
        <f>IF(C73=1,J73*Geometry!$G$19,0)+IF(C73=2,J73*Geometry!$H$19,0)+IF(C73=3,J73*Geometry!$I$19,0)+IF(C73=4,J73*Geometry!$J$19,0)+IF(C73=5,J73*Geometry!$K$19,0)</f>
        <v>0</v>
      </c>
      <c r="N73" s="59">
        <f>IF(C73=1,J73*Geometry!$G$22,0)+IF(C73=2,J73*Geometry!$H$22,0)+IF(C73=3,J73*Geometry!$I$22,0)+IF(C73=4,J73*Geometry!$J$22,0)+IF(C73=5,J73*Geometry!$K$22,0)</f>
        <v>0</v>
      </c>
      <c r="O73" s="59">
        <f>IF(C73=1,J73*Geometry!$G$23,0)+IF(C73=2,J73*Geometry!$H$23,0)+IF(C73=3,J73*Geometry!$I$23,0)+IF(C73=4,J73*Geometry!$J$23,0)+IF(C73=5,J73*Geometry!$K$23,0)</f>
        <v>0</v>
      </c>
      <c r="P73">
        <f>IF(C73=1,J73*Geometry!$G$24,0)+IF(C73=2,J73*Geometry!$H$24,0)+IF(C73=3,J73*Geometry!$I$24,0)+IF(C73=4,J73*Geometry!$J$24,0)+IF(C73=5,J73*Geometry!$K$24,0)</f>
        <v>0</v>
      </c>
    </row>
    <row r="74" spans="1:16">
      <c r="A74">
        <f t="shared" si="11"/>
        <v>68</v>
      </c>
      <c r="C74" s="7">
        <f t="shared" si="12"/>
        <v>3</v>
      </c>
      <c r="D74" s="69">
        <f>D73+Geometry!$C$15</f>
        <v>545</v>
      </c>
      <c r="E74" s="59">
        <f t="shared" si="13"/>
        <v>-230</v>
      </c>
      <c r="F74" s="4">
        <f>Geometry!$D$12*D74</f>
        <v>13.195411764705884</v>
      </c>
      <c r="G74" s="4">
        <f t="shared" si="8"/>
        <v>0</v>
      </c>
      <c r="H74" s="4">
        <f>IF(ABS(E74*E74)&lt;=Geometry!$E$10,SQRT(Geometry!$E$10-E74*E74),0)</f>
        <v>0</v>
      </c>
      <c r="I74" s="4">
        <f t="shared" si="9"/>
        <v>0</v>
      </c>
      <c r="J74" s="5">
        <f t="shared" si="10"/>
        <v>0</v>
      </c>
      <c r="K74" s="59">
        <f>IF(C74=1,J74*Geometry!$G$21,0)+IF(C74=2,J74*Geometry!$H$21,0)+IF(C74=3,J74*Geometry!$I$21,0)+IF(C74=4,J74*Geometry!$J$21,0)+IF(C74=5,J74*Geometry!$K$21,0)</f>
        <v>0</v>
      </c>
      <c r="L74" s="59">
        <f>IF(C74=1,J74*Geometry!$G$20,0)+IF(C74=2,J74*Geometry!$H$20,0)+IF(C74=3,J74*Geometry!$I$20,0)+IF(C74=4,J74*Geometry!$J$20,0)+IF(C74=5,J74*Geometry!$K$20,0)</f>
        <v>0</v>
      </c>
      <c r="M74" s="59">
        <f>IF(C74=1,J74*Geometry!$G$19,0)+IF(C74=2,J74*Geometry!$H$19,0)+IF(C74=3,J74*Geometry!$I$19,0)+IF(C74=4,J74*Geometry!$J$19,0)+IF(C74=5,J74*Geometry!$K$19,0)</f>
        <v>0</v>
      </c>
      <c r="N74" s="59">
        <f>IF(C74=1,J74*Geometry!$G$22,0)+IF(C74=2,J74*Geometry!$H$22,0)+IF(C74=3,J74*Geometry!$I$22,0)+IF(C74=4,J74*Geometry!$J$22,0)+IF(C74=5,J74*Geometry!$K$22,0)</f>
        <v>0</v>
      </c>
      <c r="O74" s="59">
        <f>IF(C74=1,J74*Geometry!$G$23,0)+IF(C74=2,J74*Geometry!$H$23,0)+IF(C74=3,J74*Geometry!$I$23,0)+IF(C74=4,J74*Geometry!$J$23,0)+IF(C74=5,J74*Geometry!$K$23,0)</f>
        <v>0</v>
      </c>
      <c r="P74">
        <f>IF(C74=1,J74*Geometry!$G$24,0)+IF(C74=2,J74*Geometry!$H$24,0)+IF(C74=3,J74*Geometry!$I$24,0)+IF(C74=4,J74*Geometry!$J$24,0)+IF(C74=5,J74*Geometry!$K$24,0)</f>
        <v>0</v>
      </c>
    </row>
    <row r="75" spans="1:16">
      <c r="A75">
        <f t="shared" si="11"/>
        <v>69</v>
      </c>
      <c r="C75" s="7">
        <f t="shared" si="12"/>
        <v>3</v>
      </c>
      <c r="D75" s="69">
        <f>D74+Geometry!$C$15</f>
        <v>550</v>
      </c>
      <c r="E75" s="59">
        <f t="shared" si="13"/>
        <v>-235</v>
      </c>
      <c r="F75" s="4">
        <f>Geometry!$D$12*D75</f>
        <v>13.316470588235296</v>
      </c>
      <c r="G75" s="4">
        <f t="shared" si="8"/>
        <v>0</v>
      </c>
      <c r="H75" s="4">
        <f>IF(ABS(E75*E75)&lt;=Geometry!$E$10,SQRT(Geometry!$E$10-E75*E75),0)</f>
        <v>0</v>
      </c>
      <c r="I75" s="4">
        <f t="shared" si="9"/>
        <v>0</v>
      </c>
      <c r="J75" s="5">
        <f t="shared" si="10"/>
        <v>0</v>
      </c>
      <c r="K75" s="59">
        <f>IF(C75=1,J75*Geometry!$G$21,0)+IF(C75=2,J75*Geometry!$H$21,0)+IF(C75=3,J75*Geometry!$I$21,0)+IF(C75=4,J75*Geometry!$J$21,0)+IF(C75=5,J75*Geometry!$K$21,0)</f>
        <v>0</v>
      </c>
      <c r="L75" s="59">
        <f>IF(C75=1,J75*Geometry!$G$20,0)+IF(C75=2,J75*Geometry!$H$20,0)+IF(C75=3,J75*Geometry!$I$20,0)+IF(C75=4,J75*Geometry!$J$20,0)+IF(C75=5,J75*Geometry!$K$20,0)</f>
        <v>0</v>
      </c>
      <c r="M75" s="59">
        <f>IF(C75=1,J75*Geometry!$G$19,0)+IF(C75=2,J75*Geometry!$H$19,0)+IF(C75=3,J75*Geometry!$I$19,0)+IF(C75=4,J75*Geometry!$J$19,0)+IF(C75=5,J75*Geometry!$K$19,0)</f>
        <v>0</v>
      </c>
      <c r="N75" s="59">
        <f>IF(C75=1,J75*Geometry!$G$22,0)+IF(C75=2,J75*Geometry!$H$22,0)+IF(C75=3,J75*Geometry!$I$22,0)+IF(C75=4,J75*Geometry!$J$22,0)+IF(C75=5,J75*Geometry!$K$22,0)</f>
        <v>0</v>
      </c>
      <c r="O75" s="59">
        <f>IF(C75=1,J75*Geometry!$G$23,0)+IF(C75=2,J75*Geometry!$H$23,0)+IF(C75=3,J75*Geometry!$I$23,0)+IF(C75=4,J75*Geometry!$J$23,0)+IF(C75=5,J75*Geometry!$K$23,0)</f>
        <v>0</v>
      </c>
      <c r="P75">
        <f>IF(C75=1,J75*Geometry!$G$24,0)+IF(C75=2,J75*Geometry!$H$24,0)+IF(C75=3,J75*Geometry!$I$24,0)+IF(C75=4,J75*Geometry!$J$24,0)+IF(C75=5,J75*Geometry!$K$24,0)</f>
        <v>0</v>
      </c>
    </row>
    <row r="76" spans="1:16">
      <c r="A76">
        <f t="shared" si="11"/>
        <v>70</v>
      </c>
      <c r="C76" s="7">
        <f t="shared" si="12"/>
        <v>3</v>
      </c>
      <c r="D76" s="69">
        <f>D75+Geometry!$C$15</f>
        <v>555</v>
      </c>
      <c r="E76" s="59">
        <f t="shared" si="13"/>
        <v>-240</v>
      </c>
      <c r="F76" s="4">
        <f>Geometry!$D$12*D76</f>
        <v>13.437529411764707</v>
      </c>
      <c r="G76" s="4">
        <f t="shared" si="8"/>
        <v>0</v>
      </c>
      <c r="H76" s="4">
        <f>IF(ABS(E76*E76)&lt;=Geometry!$E$10,SQRT(Geometry!$E$10-E76*E76),0)</f>
        <v>0</v>
      </c>
      <c r="I76" s="4">
        <f t="shared" si="9"/>
        <v>0</v>
      </c>
      <c r="J76" s="5">
        <f t="shared" si="10"/>
        <v>0</v>
      </c>
      <c r="K76" s="59">
        <f>IF(C76=1,J76*Geometry!$G$21,0)+IF(C76=2,J76*Geometry!$H$21,0)+IF(C76=3,J76*Geometry!$I$21,0)+IF(C76=4,J76*Geometry!$J$21,0)+IF(C76=5,J76*Geometry!$K$21,0)</f>
        <v>0</v>
      </c>
      <c r="L76" s="59">
        <f>IF(C76=1,J76*Geometry!$G$20,0)+IF(C76=2,J76*Geometry!$H$20,0)+IF(C76=3,J76*Geometry!$I$20,0)+IF(C76=4,J76*Geometry!$J$20,0)+IF(C76=5,J76*Geometry!$K$20,0)</f>
        <v>0</v>
      </c>
      <c r="M76" s="59">
        <f>IF(C76=1,J76*Geometry!$G$19,0)+IF(C76=2,J76*Geometry!$H$19,0)+IF(C76=3,J76*Geometry!$I$19,0)+IF(C76=4,J76*Geometry!$J$19,0)+IF(C76=5,J76*Geometry!$K$19,0)</f>
        <v>0</v>
      </c>
      <c r="N76" s="59">
        <f>IF(C76=1,J76*Geometry!$G$22,0)+IF(C76=2,J76*Geometry!$H$22,0)+IF(C76=3,J76*Geometry!$I$22,0)+IF(C76=4,J76*Geometry!$J$22,0)+IF(C76=5,J76*Geometry!$K$22,0)</f>
        <v>0</v>
      </c>
      <c r="O76" s="59">
        <f>IF(C76=1,J76*Geometry!$G$23,0)+IF(C76=2,J76*Geometry!$H$23,0)+IF(C76=3,J76*Geometry!$I$23,0)+IF(C76=4,J76*Geometry!$J$23,0)+IF(C76=5,J76*Geometry!$K$23,0)</f>
        <v>0</v>
      </c>
      <c r="P76">
        <f>IF(C76=1,J76*Geometry!$G$24,0)+IF(C76=2,J76*Geometry!$H$24,0)+IF(C76=3,J76*Geometry!$I$24,0)+IF(C76=4,J76*Geometry!$J$24,0)+IF(C76=5,J76*Geometry!$K$24,0)</f>
        <v>0</v>
      </c>
    </row>
    <row r="77" spans="1:16">
      <c r="A77">
        <f t="shared" si="11"/>
        <v>71</v>
      </c>
      <c r="C77" s="7">
        <f t="shared" si="12"/>
        <v>3</v>
      </c>
      <c r="D77" s="69">
        <f>D76+Geometry!$C$15</f>
        <v>560</v>
      </c>
      <c r="E77" s="59">
        <f t="shared" si="13"/>
        <v>-245</v>
      </c>
      <c r="F77" s="4">
        <f>Geometry!$D$12*D77</f>
        <v>13.558588235294119</v>
      </c>
      <c r="G77" s="4">
        <f t="shared" si="8"/>
        <v>0</v>
      </c>
      <c r="H77" s="4">
        <f>IF(ABS(E77*E77)&lt;=Geometry!$E$10,SQRT(Geometry!$E$10-E77*E77),0)</f>
        <v>0</v>
      </c>
      <c r="I77" s="4">
        <f t="shared" si="9"/>
        <v>0</v>
      </c>
      <c r="J77" s="5">
        <f t="shared" si="10"/>
        <v>0</v>
      </c>
      <c r="K77" s="59">
        <f>IF(C77=1,J77*Geometry!$G$21,0)+IF(C77=2,J77*Geometry!$H$21,0)+IF(C77=3,J77*Geometry!$I$21,0)+IF(C77=4,J77*Geometry!$J$21,0)+IF(C77=5,J77*Geometry!$K$21,0)</f>
        <v>0</v>
      </c>
      <c r="L77" s="59">
        <f>IF(C77=1,J77*Geometry!$G$20,0)+IF(C77=2,J77*Geometry!$H$20,0)+IF(C77=3,J77*Geometry!$I$20,0)+IF(C77=4,J77*Geometry!$J$20,0)+IF(C77=5,J77*Geometry!$K$20,0)</f>
        <v>0</v>
      </c>
      <c r="M77" s="59">
        <f>IF(C77=1,J77*Geometry!$G$19,0)+IF(C77=2,J77*Geometry!$H$19,0)+IF(C77=3,J77*Geometry!$I$19,0)+IF(C77=4,J77*Geometry!$J$19,0)+IF(C77=5,J77*Geometry!$K$19,0)</f>
        <v>0</v>
      </c>
      <c r="N77" s="59">
        <f>IF(C77=1,J77*Geometry!$G$22,0)+IF(C77=2,J77*Geometry!$H$22,0)+IF(C77=3,J77*Geometry!$I$22,0)+IF(C77=4,J77*Geometry!$J$22,0)+IF(C77=5,J77*Geometry!$K$22,0)</f>
        <v>0</v>
      </c>
      <c r="O77" s="59">
        <f>IF(C77=1,J77*Geometry!$G$23,0)+IF(C77=2,J77*Geometry!$H$23,0)+IF(C77=3,J77*Geometry!$I$23,0)+IF(C77=4,J77*Geometry!$J$23,0)+IF(C77=5,J77*Geometry!$K$23,0)</f>
        <v>0</v>
      </c>
      <c r="P77">
        <f>IF(C77=1,J77*Geometry!$G$24,0)+IF(C77=2,J77*Geometry!$H$24,0)+IF(C77=3,J77*Geometry!$I$24,0)+IF(C77=4,J77*Geometry!$J$24,0)+IF(C77=5,J77*Geometry!$K$24,0)</f>
        <v>0</v>
      </c>
    </row>
    <row r="78" spans="1:16">
      <c r="A78">
        <f t="shared" si="11"/>
        <v>72</v>
      </c>
      <c r="C78" s="7">
        <f t="shared" si="12"/>
        <v>3</v>
      </c>
      <c r="D78" s="69">
        <f>D77+Geometry!$C$15</f>
        <v>565</v>
      </c>
      <c r="E78" s="59">
        <f t="shared" si="13"/>
        <v>-250</v>
      </c>
      <c r="F78" s="4">
        <f>Geometry!$D$12*D78</f>
        <v>13.679647058823532</v>
      </c>
      <c r="G78" s="4">
        <f t="shared" si="8"/>
        <v>0</v>
      </c>
      <c r="H78" s="4">
        <f>IF(ABS(E78*E78)&lt;=Geometry!$E$10,SQRT(Geometry!$E$10-E78*E78),0)</f>
        <v>0</v>
      </c>
      <c r="I78" s="4">
        <f t="shared" si="9"/>
        <v>0</v>
      </c>
      <c r="J78" s="5">
        <f t="shared" si="10"/>
        <v>0</v>
      </c>
      <c r="K78" s="59">
        <f>IF(C78=1,J78*Geometry!$G$21,0)+IF(C78=2,J78*Geometry!$H$21,0)+IF(C78=3,J78*Geometry!$I$21,0)+IF(C78=4,J78*Geometry!$J$21,0)+IF(C78=5,J78*Geometry!$K$21,0)</f>
        <v>0</v>
      </c>
      <c r="L78" s="59">
        <f>IF(C78=1,J78*Geometry!$G$20,0)+IF(C78=2,J78*Geometry!$H$20,0)+IF(C78=3,J78*Geometry!$I$20,0)+IF(C78=4,J78*Geometry!$J$20,0)+IF(C78=5,J78*Geometry!$K$20,0)</f>
        <v>0</v>
      </c>
      <c r="M78" s="59">
        <f>IF(C78=1,J78*Geometry!$G$19,0)+IF(C78=2,J78*Geometry!$H$19,0)+IF(C78=3,J78*Geometry!$I$19,0)+IF(C78=4,J78*Geometry!$J$19,0)+IF(C78=5,J78*Geometry!$K$19,0)</f>
        <v>0</v>
      </c>
      <c r="N78" s="59">
        <f>IF(C78=1,J78*Geometry!$G$22,0)+IF(C78=2,J78*Geometry!$H$22,0)+IF(C78=3,J78*Geometry!$I$22,0)+IF(C78=4,J78*Geometry!$J$22,0)+IF(C78=5,J78*Geometry!$K$22,0)</f>
        <v>0</v>
      </c>
      <c r="O78" s="59">
        <f>IF(C78=1,J78*Geometry!$G$23,0)+IF(C78=2,J78*Geometry!$H$23,0)+IF(C78=3,J78*Geometry!$I$23,0)+IF(C78=4,J78*Geometry!$J$23,0)+IF(C78=5,J78*Geometry!$K$23,0)</f>
        <v>0</v>
      </c>
      <c r="P78">
        <f>IF(C78=1,J78*Geometry!$G$24,0)+IF(C78=2,J78*Geometry!$H$24,0)+IF(C78=3,J78*Geometry!$I$24,0)+IF(C78=4,J78*Geometry!$J$24,0)+IF(C78=5,J78*Geometry!$K$24,0)</f>
        <v>0</v>
      </c>
    </row>
    <row r="79" spans="1:16">
      <c r="A79">
        <f t="shared" si="11"/>
        <v>73</v>
      </c>
      <c r="C79" s="7">
        <f t="shared" si="12"/>
        <v>3</v>
      </c>
      <c r="D79" s="69">
        <f>D78+Geometry!$C$15</f>
        <v>570</v>
      </c>
      <c r="E79" s="59">
        <f t="shared" si="13"/>
        <v>-255</v>
      </c>
      <c r="F79" s="4">
        <f>Geometry!$D$12*D79</f>
        <v>13.800705882352943</v>
      </c>
      <c r="G79" s="4">
        <f t="shared" si="8"/>
        <v>0</v>
      </c>
      <c r="H79" s="4">
        <f>IF(ABS(E79*E79)&lt;=Geometry!$E$10,SQRT(Geometry!$E$10-E79*E79),0)</f>
        <v>0</v>
      </c>
      <c r="I79" s="4">
        <f t="shared" si="9"/>
        <v>0</v>
      </c>
      <c r="J79" s="5">
        <f t="shared" si="10"/>
        <v>0</v>
      </c>
      <c r="K79" s="59">
        <f>IF(C79=1,J79*Geometry!$G$21,0)+IF(C79=2,J79*Geometry!$H$21,0)+IF(C79=3,J79*Geometry!$I$21,0)+IF(C79=4,J79*Geometry!$J$21,0)+IF(C79=5,J79*Geometry!$K$21,0)</f>
        <v>0</v>
      </c>
      <c r="L79" s="59">
        <f>IF(C79=1,J79*Geometry!$G$20,0)+IF(C79=2,J79*Geometry!$H$20,0)+IF(C79=3,J79*Geometry!$I$20,0)+IF(C79=4,J79*Geometry!$J$20,0)+IF(C79=5,J79*Geometry!$K$20,0)</f>
        <v>0</v>
      </c>
      <c r="M79" s="59">
        <f>IF(C79=1,J79*Geometry!$G$19,0)+IF(C79=2,J79*Geometry!$H$19,0)+IF(C79=3,J79*Geometry!$I$19,0)+IF(C79=4,J79*Geometry!$J$19,0)+IF(C79=5,J79*Geometry!$K$19,0)</f>
        <v>0</v>
      </c>
      <c r="N79" s="59">
        <f>IF(C79=1,J79*Geometry!$G$22,0)+IF(C79=2,J79*Geometry!$H$22,0)+IF(C79=3,J79*Geometry!$I$22,0)+IF(C79=4,J79*Geometry!$J$22,0)+IF(C79=5,J79*Geometry!$K$22,0)</f>
        <v>0</v>
      </c>
      <c r="O79" s="59">
        <f>IF(C79=1,J79*Geometry!$G$23,0)+IF(C79=2,J79*Geometry!$H$23,0)+IF(C79=3,J79*Geometry!$I$23,0)+IF(C79=4,J79*Geometry!$J$23,0)+IF(C79=5,J79*Geometry!$K$23,0)</f>
        <v>0</v>
      </c>
      <c r="P79">
        <f>IF(C79=1,J79*Geometry!$G$24,0)+IF(C79=2,J79*Geometry!$H$24,0)+IF(C79=3,J79*Geometry!$I$24,0)+IF(C79=4,J79*Geometry!$J$24,0)+IF(C79=5,J79*Geometry!$K$24,0)</f>
        <v>0</v>
      </c>
    </row>
    <row r="80" spans="1:16">
      <c r="A80">
        <f t="shared" si="11"/>
        <v>74</v>
      </c>
      <c r="C80" s="7">
        <f t="shared" si="12"/>
        <v>3</v>
      </c>
      <c r="D80" s="69">
        <f>D79+Geometry!$C$15</f>
        <v>575</v>
      </c>
      <c r="E80" s="59">
        <f t="shared" si="13"/>
        <v>-260</v>
      </c>
      <c r="F80" s="4">
        <f>Geometry!$D$12*D80</f>
        <v>13.921764705882355</v>
      </c>
      <c r="G80" s="4">
        <f t="shared" si="8"/>
        <v>0</v>
      </c>
      <c r="H80" s="4">
        <f>IF(ABS(E80*E80)&lt;=Geometry!$E$10,SQRT(Geometry!$E$10-E80*E80),0)</f>
        <v>0</v>
      </c>
      <c r="I80" s="4">
        <f t="shared" si="9"/>
        <v>0</v>
      </c>
      <c r="J80" s="5">
        <f t="shared" si="10"/>
        <v>0</v>
      </c>
      <c r="K80" s="59">
        <f>IF(C80=1,J80*Geometry!$G$21,0)+IF(C80=2,J80*Geometry!$H$21,0)+IF(C80=3,J80*Geometry!$I$21,0)+IF(C80=4,J80*Geometry!$J$21,0)+IF(C80=5,J80*Geometry!$K$21,0)</f>
        <v>0</v>
      </c>
      <c r="L80" s="59">
        <f>IF(C80=1,J80*Geometry!$G$20,0)+IF(C80=2,J80*Geometry!$H$20,0)+IF(C80=3,J80*Geometry!$I$20,0)+IF(C80=4,J80*Geometry!$J$20,0)+IF(C80=5,J80*Geometry!$K$20,0)</f>
        <v>0</v>
      </c>
      <c r="M80" s="59">
        <f>IF(C80=1,J80*Geometry!$G$19,0)+IF(C80=2,J80*Geometry!$H$19,0)+IF(C80=3,J80*Geometry!$I$19,0)+IF(C80=4,J80*Geometry!$J$19,0)+IF(C80=5,J80*Geometry!$K$19,0)</f>
        <v>0</v>
      </c>
      <c r="N80" s="59">
        <f>IF(C80=1,J80*Geometry!$G$22,0)+IF(C80=2,J80*Geometry!$H$22,0)+IF(C80=3,J80*Geometry!$I$22,0)+IF(C80=4,J80*Geometry!$J$22,0)+IF(C80=5,J80*Geometry!$K$22,0)</f>
        <v>0</v>
      </c>
      <c r="O80" s="59">
        <f>IF(C80=1,J80*Geometry!$G$23,0)+IF(C80=2,J80*Geometry!$H$23,0)+IF(C80=3,J80*Geometry!$I$23,0)+IF(C80=4,J80*Geometry!$J$23,0)+IF(C80=5,J80*Geometry!$K$23,0)</f>
        <v>0</v>
      </c>
      <c r="P80">
        <f>IF(C80=1,J80*Geometry!$G$24,0)+IF(C80=2,J80*Geometry!$H$24,0)+IF(C80=3,J80*Geometry!$I$24,0)+IF(C80=4,J80*Geometry!$J$24,0)+IF(C80=5,J80*Geometry!$K$24,0)</f>
        <v>0</v>
      </c>
    </row>
    <row r="81" spans="1:16">
      <c r="A81">
        <f t="shared" si="11"/>
        <v>75</v>
      </c>
      <c r="C81" s="7">
        <f t="shared" si="12"/>
        <v>3</v>
      </c>
      <c r="D81" s="69">
        <f>D80+Geometry!$C$15</f>
        <v>580</v>
      </c>
      <c r="E81" s="59">
        <f t="shared" si="13"/>
        <v>-265</v>
      </c>
      <c r="F81" s="4">
        <f>Geometry!$D$12*D81</f>
        <v>14.042823529411766</v>
      </c>
      <c r="G81" s="4">
        <f t="shared" si="8"/>
        <v>0</v>
      </c>
      <c r="H81" s="4">
        <f>IF(ABS(E81*E81)&lt;=Geometry!$E$10,SQRT(Geometry!$E$10-E81*E81),0)</f>
        <v>0</v>
      </c>
      <c r="I81" s="4">
        <f t="shared" si="9"/>
        <v>0</v>
      </c>
      <c r="J81" s="5">
        <f t="shared" si="10"/>
        <v>0</v>
      </c>
      <c r="K81" s="59">
        <f>IF(C81=1,J81*Geometry!$G$21,0)+IF(C81=2,J81*Geometry!$H$21,0)+IF(C81=3,J81*Geometry!$I$21,0)+IF(C81=4,J81*Geometry!$J$21,0)+IF(C81=5,J81*Geometry!$K$21,0)</f>
        <v>0</v>
      </c>
      <c r="L81" s="59">
        <f>IF(C81=1,J81*Geometry!$G$20,0)+IF(C81=2,J81*Geometry!$H$20,0)+IF(C81=3,J81*Geometry!$I$20,0)+IF(C81=4,J81*Geometry!$J$20,0)+IF(C81=5,J81*Geometry!$K$20,0)</f>
        <v>0</v>
      </c>
      <c r="M81" s="59">
        <f>IF(C81=1,J81*Geometry!$G$19,0)+IF(C81=2,J81*Geometry!$H$19,0)+IF(C81=3,J81*Geometry!$I$19,0)+IF(C81=4,J81*Geometry!$J$19,0)+IF(C81=5,J81*Geometry!$K$19,0)</f>
        <v>0</v>
      </c>
      <c r="N81" s="59">
        <f>IF(C81=1,J81*Geometry!$G$22,0)+IF(C81=2,J81*Geometry!$H$22,0)+IF(C81=3,J81*Geometry!$I$22,0)+IF(C81=4,J81*Geometry!$J$22,0)+IF(C81=5,J81*Geometry!$K$22,0)</f>
        <v>0</v>
      </c>
      <c r="O81" s="59">
        <f>IF(C81=1,J81*Geometry!$G$23,0)+IF(C81=2,J81*Geometry!$H$23,0)+IF(C81=3,J81*Geometry!$I$23,0)+IF(C81=4,J81*Geometry!$J$23,0)+IF(C81=5,J81*Geometry!$K$23,0)</f>
        <v>0</v>
      </c>
      <c r="P81">
        <f>IF(C81=1,J81*Geometry!$G$24,0)+IF(C81=2,J81*Geometry!$H$24,0)+IF(C81=3,J81*Geometry!$I$24,0)+IF(C81=4,J81*Geometry!$J$24,0)+IF(C81=5,J81*Geometry!$K$24,0)</f>
        <v>0</v>
      </c>
    </row>
    <row r="82" spans="1:16">
      <c r="A82">
        <f t="shared" si="11"/>
        <v>76</v>
      </c>
      <c r="C82" s="7">
        <f t="shared" si="12"/>
        <v>3</v>
      </c>
      <c r="D82" s="69">
        <f>D81+Geometry!$C$15</f>
        <v>585</v>
      </c>
      <c r="E82" s="59">
        <f t="shared" si="13"/>
        <v>-270</v>
      </c>
      <c r="F82" s="4">
        <f>Geometry!$D$12*D82</f>
        <v>14.163882352941178</v>
      </c>
      <c r="G82" s="4">
        <f t="shared" si="8"/>
        <v>0</v>
      </c>
      <c r="H82" s="4">
        <f>IF(ABS(E82*E82)&lt;=Geometry!$E$10,SQRT(Geometry!$E$10-E82*E82),0)</f>
        <v>0</v>
      </c>
      <c r="I82" s="4">
        <f t="shared" si="9"/>
        <v>0</v>
      </c>
      <c r="J82" s="5">
        <f t="shared" si="10"/>
        <v>0</v>
      </c>
      <c r="K82" s="59">
        <f>IF(C82=1,J82*Geometry!$G$21,0)+IF(C82=2,J82*Geometry!$H$21,0)+IF(C82=3,J82*Geometry!$I$21,0)+IF(C82=4,J82*Geometry!$J$21,0)+IF(C82=5,J82*Geometry!$K$21,0)</f>
        <v>0</v>
      </c>
      <c r="L82" s="59">
        <f>IF(C82=1,J82*Geometry!$G$20,0)+IF(C82=2,J82*Geometry!$H$20,0)+IF(C82=3,J82*Geometry!$I$20,0)+IF(C82=4,J82*Geometry!$J$20,0)+IF(C82=5,J82*Geometry!$K$20,0)</f>
        <v>0</v>
      </c>
      <c r="M82" s="59">
        <f>IF(C82=1,J82*Geometry!$G$19,0)+IF(C82=2,J82*Geometry!$H$19,0)+IF(C82=3,J82*Geometry!$I$19,0)+IF(C82=4,J82*Geometry!$J$19,0)+IF(C82=5,J82*Geometry!$K$19,0)</f>
        <v>0</v>
      </c>
      <c r="N82" s="59">
        <f>IF(C82=1,J82*Geometry!$G$22,0)+IF(C82=2,J82*Geometry!$H$22,0)+IF(C82=3,J82*Geometry!$I$22,0)+IF(C82=4,J82*Geometry!$J$22,0)+IF(C82=5,J82*Geometry!$K$22,0)</f>
        <v>0</v>
      </c>
      <c r="O82" s="59">
        <f>IF(C82=1,J82*Geometry!$G$23,0)+IF(C82=2,J82*Geometry!$H$23,0)+IF(C82=3,J82*Geometry!$I$23,0)+IF(C82=4,J82*Geometry!$J$23,0)+IF(C82=5,J82*Geometry!$K$23,0)</f>
        <v>0</v>
      </c>
      <c r="P82">
        <f>IF(C82=1,J82*Geometry!$G$24,0)+IF(C82=2,J82*Geometry!$H$24,0)+IF(C82=3,J82*Geometry!$I$24,0)+IF(C82=4,J82*Geometry!$J$24,0)+IF(C82=5,J82*Geometry!$K$24,0)</f>
        <v>0</v>
      </c>
    </row>
    <row r="83" spans="1:16">
      <c r="A83">
        <f t="shared" si="11"/>
        <v>77</v>
      </c>
      <c r="C83" s="7">
        <f t="shared" si="12"/>
        <v>3</v>
      </c>
      <c r="D83" s="69">
        <f>D82+Geometry!$C$15</f>
        <v>590</v>
      </c>
      <c r="E83" s="59">
        <f t="shared" si="13"/>
        <v>-275</v>
      </c>
      <c r="F83" s="4">
        <f>Geometry!$D$12*D83</f>
        <v>14.284941176470591</v>
      </c>
      <c r="G83" s="4">
        <f t="shared" si="8"/>
        <v>0</v>
      </c>
      <c r="H83" s="4">
        <f>IF(ABS(E83*E83)&lt;=Geometry!$E$10,SQRT(Geometry!$E$10-E83*E83),0)</f>
        <v>0</v>
      </c>
      <c r="I83" s="4">
        <f t="shared" si="9"/>
        <v>0</v>
      </c>
      <c r="J83" s="5">
        <f t="shared" si="10"/>
        <v>0</v>
      </c>
      <c r="K83" s="59">
        <f>IF(C83=1,J83*Geometry!$G$21,0)+IF(C83=2,J83*Geometry!$H$21,0)+IF(C83=3,J83*Geometry!$I$21,0)+IF(C83=4,J83*Geometry!$J$21,0)+IF(C83=5,J83*Geometry!$K$21,0)</f>
        <v>0</v>
      </c>
      <c r="L83" s="59">
        <f>IF(C83=1,J83*Geometry!$G$20,0)+IF(C83=2,J83*Geometry!$H$20,0)+IF(C83=3,J83*Geometry!$I$20,0)+IF(C83=4,J83*Geometry!$J$20,0)+IF(C83=5,J83*Geometry!$K$20,0)</f>
        <v>0</v>
      </c>
      <c r="M83" s="59">
        <f>IF(C83=1,J83*Geometry!$G$19,0)+IF(C83=2,J83*Geometry!$H$19,0)+IF(C83=3,J83*Geometry!$I$19,0)+IF(C83=4,J83*Geometry!$J$19,0)+IF(C83=5,J83*Geometry!$K$19,0)</f>
        <v>0</v>
      </c>
      <c r="N83" s="59">
        <f>IF(C83=1,J83*Geometry!$G$22,0)+IF(C83=2,J83*Geometry!$H$22,0)+IF(C83=3,J83*Geometry!$I$22,0)+IF(C83=4,J83*Geometry!$J$22,0)+IF(C83=5,J83*Geometry!$K$22,0)</f>
        <v>0</v>
      </c>
      <c r="O83" s="59">
        <f>IF(C83=1,J83*Geometry!$G$23,0)+IF(C83=2,J83*Geometry!$H$23,0)+IF(C83=3,J83*Geometry!$I$23,0)+IF(C83=4,J83*Geometry!$J$23,0)+IF(C83=5,J83*Geometry!$K$23,0)</f>
        <v>0</v>
      </c>
      <c r="P83">
        <f>IF(C83=1,J83*Geometry!$G$24,0)+IF(C83=2,J83*Geometry!$H$24,0)+IF(C83=3,J83*Geometry!$I$24,0)+IF(C83=4,J83*Geometry!$J$24,0)+IF(C83=5,J83*Geometry!$K$24,0)</f>
        <v>0</v>
      </c>
    </row>
    <row r="84" spans="1:16">
      <c r="A84">
        <f t="shared" si="11"/>
        <v>78</v>
      </c>
      <c r="C84" s="7">
        <f t="shared" si="12"/>
        <v>3</v>
      </c>
      <c r="D84" s="69">
        <f>D83+Geometry!$C$15</f>
        <v>595</v>
      </c>
      <c r="E84" s="59">
        <f t="shared" si="13"/>
        <v>-280</v>
      </c>
      <c r="F84" s="4">
        <f>Geometry!$D$12*D84</f>
        <v>14.406000000000002</v>
      </c>
      <c r="G84" s="4">
        <f t="shared" si="8"/>
        <v>0</v>
      </c>
      <c r="H84" s="4">
        <f>IF(ABS(E84*E84)&lt;=Geometry!$E$10,SQRT(Geometry!$E$10-E84*E84),0)</f>
        <v>0</v>
      </c>
      <c r="I84" s="4">
        <f t="shared" si="9"/>
        <v>0</v>
      </c>
      <c r="J84" s="5">
        <f t="shared" si="10"/>
        <v>0</v>
      </c>
      <c r="K84" s="59">
        <f>IF(C84=1,J84*Geometry!$G$21,0)+IF(C84=2,J84*Geometry!$H$21,0)+IF(C84=3,J84*Geometry!$I$21,0)+IF(C84=4,J84*Geometry!$J$21,0)+IF(C84=5,J84*Geometry!$K$21,0)</f>
        <v>0</v>
      </c>
      <c r="L84" s="59">
        <f>IF(C84=1,J84*Geometry!$G$20,0)+IF(C84=2,J84*Geometry!$H$20,0)+IF(C84=3,J84*Geometry!$I$20,0)+IF(C84=4,J84*Geometry!$J$20,0)+IF(C84=5,J84*Geometry!$K$20,0)</f>
        <v>0</v>
      </c>
      <c r="M84" s="59">
        <f>IF(C84=1,J84*Geometry!$G$19,0)+IF(C84=2,J84*Geometry!$H$19,0)+IF(C84=3,J84*Geometry!$I$19,0)+IF(C84=4,J84*Geometry!$J$19,0)+IF(C84=5,J84*Geometry!$K$19,0)</f>
        <v>0</v>
      </c>
      <c r="N84" s="59">
        <f>IF(C84=1,J84*Geometry!$G$22,0)+IF(C84=2,J84*Geometry!$H$22,0)+IF(C84=3,J84*Geometry!$I$22,0)+IF(C84=4,J84*Geometry!$J$22,0)+IF(C84=5,J84*Geometry!$K$22,0)</f>
        <v>0</v>
      </c>
      <c r="O84" s="59">
        <f>IF(C84=1,J84*Geometry!$G$23,0)+IF(C84=2,J84*Geometry!$H$23,0)+IF(C84=3,J84*Geometry!$I$23,0)+IF(C84=4,J84*Geometry!$J$23,0)+IF(C84=5,J84*Geometry!$K$23,0)</f>
        <v>0</v>
      </c>
      <c r="P84">
        <f>IF(C84=1,J84*Geometry!$G$24,0)+IF(C84=2,J84*Geometry!$H$24,0)+IF(C84=3,J84*Geometry!$I$24,0)+IF(C84=4,J84*Geometry!$J$24,0)+IF(C84=5,J84*Geometry!$K$24,0)</f>
        <v>0</v>
      </c>
    </row>
    <row r="85" spans="1:16">
      <c r="A85">
        <f t="shared" si="11"/>
        <v>79</v>
      </c>
      <c r="C85" s="7">
        <f t="shared" si="12"/>
        <v>3</v>
      </c>
      <c r="D85" s="69">
        <f>D84+Geometry!$C$15</f>
        <v>600</v>
      </c>
      <c r="E85" s="59">
        <f t="shared" si="13"/>
        <v>-285</v>
      </c>
      <c r="F85" s="4">
        <f>Geometry!$D$12*D85</f>
        <v>14.527058823529414</v>
      </c>
      <c r="G85" s="4">
        <f t="shared" si="8"/>
        <v>0</v>
      </c>
      <c r="H85" s="4">
        <f>IF(ABS(E85*E85)&lt;=Geometry!$E$10,SQRT(Geometry!$E$10-E85*E85),0)</f>
        <v>0</v>
      </c>
      <c r="I85" s="4">
        <f t="shared" si="9"/>
        <v>0</v>
      </c>
      <c r="J85" s="5">
        <f t="shared" si="10"/>
        <v>0</v>
      </c>
      <c r="K85" s="59">
        <f>IF(C85=1,J85*Geometry!$G$21,0)+IF(C85=2,J85*Geometry!$H$21,0)+IF(C85=3,J85*Geometry!$I$21,0)+IF(C85=4,J85*Geometry!$J$21,0)+IF(C85=5,J85*Geometry!$K$21,0)</f>
        <v>0</v>
      </c>
      <c r="L85" s="59">
        <f>IF(C85=1,J85*Geometry!$G$20,0)+IF(C85=2,J85*Geometry!$H$20,0)+IF(C85=3,J85*Geometry!$I$20,0)+IF(C85=4,J85*Geometry!$J$20,0)+IF(C85=5,J85*Geometry!$K$20,0)</f>
        <v>0</v>
      </c>
      <c r="M85" s="59">
        <f>IF(C85=1,J85*Geometry!$G$19,0)+IF(C85=2,J85*Geometry!$H$19,0)+IF(C85=3,J85*Geometry!$I$19,0)+IF(C85=4,J85*Geometry!$J$19,0)+IF(C85=5,J85*Geometry!$K$19,0)</f>
        <v>0</v>
      </c>
      <c r="N85" s="59">
        <f>IF(C85=1,J85*Geometry!$G$22,0)+IF(C85=2,J85*Geometry!$H$22,0)+IF(C85=3,J85*Geometry!$I$22,0)+IF(C85=4,J85*Geometry!$J$22,0)+IF(C85=5,J85*Geometry!$K$22,0)</f>
        <v>0</v>
      </c>
      <c r="O85" s="59">
        <f>IF(C85=1,J85*Geometry!$G$23,0)+IF(C85=2,J85*Geometry!$H$23,0)+IF(C85=3,J85*Geometry!$I$23,0)+IF(C85=4,J85*Geometry!$J$23,0)+IF(C85=5,J85*Geometry!$K$23,0)</f>
        <v>0</v>
      </c>
      <c r="P85">
        <f>IF(C85=1,J85*Geometry!$G$24,0)+IF(C85=2,J85*Geometry!$H$24,0)+IF(C85=3,J85*Geometry!$I$24,0)+IF(C85=4,J85*Geometry!$J$24,0)+IF(C85=5,J85*Geometry!$K$24,0)</f>
        <v>0</v>
      </c>
    </row>
    <row r="86" spans="1:16">
      <c r="A86">
        <f t="shared" si="11"/>
        <v>80</v>
      </c>
      <c r="C86" s="7">
        <f t="shared" si="12"/>
        <v>3</v>
      </c>
      <c r="D86" s="69">
        <f>D85+Geometry!$C$15</f>
        <v>605</v>
      </c>
      <c r="E86" s="59">
        <f t="shared" si="13"/>
        <v>-290</v>
      </c>
      <c r="F86" s="4">
        <f>Geometry!$D$12*D86</f>
        <v>14.648117647058825</v>
      </c>
      <c r="G86" s="4">
        <f t="shared" si="8"/>
        <v>0</v>
      </c>
      <c r="H86" s="4">
        <f>IF(ABS(E86*E86)&lt;=Geometry!$E$10,SQRT(Geometry!$E$10-E86*E86),0)</f>
        <v>0</v>
      </c>
      <c r="I86" s="4">
        <f t="shared" si="9"/>
        <v>0</v>
      </c>
      <c r="J86" s="5">
        <f t="shared" si="10"/>
        <v>0</v>
      </c>
      <c r="K86" s="59">
        <f>IF(C86=1,J86*Geometry!$G$21,0)+IF(C86=2,J86*Geometry!$H$21,0)+IF(C86=3,J86*Geometry!$I$21,0)+IF(C86=4,J86*Geometry!$J$21,0)+IF(C86=5,J86*Geometry!$K$21,0)</f>
        <v>0</v>
      </c>
      <c r="L86" s="59">
        <f>IF(C86=1,J86*Geometry!$G$20,0)+IF(C86=2,J86*Geometry!$H$20,0)+IF(C86=3,J86*Geometry!$I$20,0)+IF(C86=4,J86*Geometry!$J$20,0)+IF(C86=5,J86*Geometry!$K$20,0)</f>
        <v>0</v>
      </c>
      <c r="M86" s="59">
        <f>IF(C86=1,J86*Geometry!$G$19,0)+IF(C86=2,J86*Geometry!$H$19,0)+IF(C86=3,J86*Geometry!$I$19,0)+IF(C86=4,J86*Geometry!$J$19,0)+IF(C86=5,J86*Geometry!$K$19,0)</f>
        <v>0</v>
      </c>
      <c r="N86" s="59">
        <f>IF(C86=1,J86*Geometry!$G$22,0)+IF(C86=2,J86*Geometry!$H$22,0)+IF(C86=3,J86*Geometry!$I$22,0)+IF(C86=4,J86*Geometry!$J$22,0)+IF(C86=5,J86*Geometry!$K$22,0)</f>
        <v>0</v>
      </c>
      <c r="O86" s="59">
        <f>IF(C86=1,J86*Geometry!$G$23,0)+IF(C86=2,J86*Geometry!$H$23,0)+IF(C86=3,J86*Geometry!$I$23,0)+IF(C86=4,J86*Geometry!$J$23,0)+IF(C86=5,J86*Geometry!$K$23,0)</f>
        <v>0</v>
      </c>
      <c r="P86">
        <f>IF(C86=1,J86*Geometry!$G$24,0)+IF(C86=2,J86*Geometry!$H$24,0)+IF(C86=3,J86*Geometry!$I$24,0)+IF(C86=4,J86*Geometry!$J$24,0)+IF(C86=5,J86*Geometry!$K$24,0)</f>
        <v>0</v>
      </c>
    </row>
    <row r="87" spans="1:16">
      <c r="A87">
        <f t="shared" si="11"/>
        <v>81</v>
      </c>
      <c r="C87" s="7">
        <f t="shared" si="12"/>
        <v>3</v>
      </c>
      <c r="D87" s="69">
        <f>D86+Geometry!$C$15</f>
        <v>610</v>
      </c>
      <c r="E87" s="59">
        <f t="shared" si="13"/>
        <v>-295</v>
      </c>
      <c r="F87" s="4">
        <f>Geometry!$D$12*D87</f>
        <v>14.769176470588237</v>
      </c>
      <c r="G87" s="4">
        <f t="shared" si="8"/>
        <v>0</v>
      </c>
      <c r="H87" s="4">
        <f>IF(ABS(E87*E87)&lt;=Geometry!$E$10,SQRT(Geometry!$E$10-E87*E87),0)</f>
        <v>0</v>
      </c>
      <c r="I87" s="4">
        <f t="shared" si="9"/>
        <v>0</v>
      </c>
      <c r="J87" s="5">
        <f t="shared" si="10"/>
        <v>0</v>
      </c>
      <c r="K87" s="59">
        <f>IF(C87=1,J87*Geometry!$G$21,0)+IF(C87=2,J87*Geometry!$H$21,0)+IF(C87=3,J87*Geometry!$I$21,0)+IF(C87=4,J87*Geometry!$J$21,0)+IF(C87=5,J87*Geometry!$K$21,0)</f>
        <v>0</v>
      </c>
      <c r="L87" s="59">
        <f>IF(C87=1,J87*Geometry!$G$20,0)+IF(C87=2,J87*Geometry!$H$20,0)+IF(C87=3,J87*Geometry!$I$20,0)+IF(C87=4,J87*Geometry!$J$20,0)+IF(C87=5,J87*Geometry!$K$20,0)</f>
        <v>0</v>
      </c>
      <c r="M87" s="59">
        <f>IF(C87=1,J87*Geometry!$G$19,0)+IF(C87=2,J87*Geometry!$H$19,0)+IF(C87=3,J87*Geometry!$I$19,0)+IF(C87=4,J87*Geometry!$J$19,0)+IF(C87=5,J87*Geometry!$K$19,0)</f>
        <v>0</v>
      </c>
      <c r="N87" s="59">
        <f>IF(C87=1,J87*Geometry!$G$22,0)+IF(C87=2,J87*Geometry!$H$22,0)+IF(C87=3,J87*Geometry!$I$22,0)+IF(C87=4,J87*Geometry!$J$22,0)+IF(C87=5,J87*Geometry!$K$22,0)</f>
        <v>0</v>
      </c>
      <c r="O87" s="59">
        <f>IF(C87=1,J87*Geometry!$G$23,0)+IF(C87=2,J87*Geometry!$H$23,0)+IF(C87=3,J87*Geometry!$I$23,0)+IF(C87=4,J87*Geometry!$J$23,0)+IF(C87=5,J87*Geometry!$K$23,0)</f>
        <v>0</v>
      </c>
      <c r="P87">
        <f>IF(C87=1,J87*Geometry!$G$24,0)+IF(C87=2,J87*Geometry!$H$24,0)+IF(C87=3,J87*Geometry!$I$24,0)+IF(C87=4,J87*Geometry!$J$24,0)+IF(C87=5,J87*Geometry!$K$24,0)</f>
        <v>0</v>
      </c>
    </row>
    <row r="88" spans="1:16">
      <c r="A88">
        <f t="shared" si="11"/>
        <v>82</v>
      </c>
      <c r="C88" s="7">
        <f t="shared" si="12"/>
        <v>3</v>
      </c>
      <c r="D88" s="69">
        <f>D87+Geometry!$C$15</f>
        <v>615</v>
      </c>
      <c r="E88" s="59">
        <f t="shared" si="13"/>
        <v>-300</v>
      </c>
      <c r="F88" s="4">
        <f>Geometry!$D$12*D88</f>
        <v>14.89023529411765</v>
      </c>
      <c r="G88" s="4">
        <f t="shared" si="8"/>
        <v>0</v>
      </c>
      <c r="H88" s="4">
        <f>IF(ABS(E88*E88)&lt;=Geometry!$E$10,SQRT(Geometry!$E$10-E88*E88),0)</f>
        <v>0</v>
      </c>
      <c r="I88" s="4">
        <f t="shared" si="9"/>
        <v>0</v>
      </c>
      <c r="J88" s="5">
        <f t="shared" si="10"/>
        <v>0</v>
      </c>
      <c r="K88" s="59">
        <f>IF(C88=1,J88*Geometry!$G$21,0)+IF(C88=2,J88*Geometry!$H$21,0)+IF(C88=3,J88*Geometry!$I$21,0)+IF(C88=4,J88*Geometry!$J$21,0)+IF(C88=5,J88*Geometry!$K$21,0)</f>
        <v>0</v>
      </c>
      <c r="L88" s="59">
        <f>IF(C88=1,J88*Geometry!$G$20,0)+IF(C88=2,J88*Geometry!$H$20,0)+IF(C88=3,J88*Geometry!$I$20,0)+IF(C88=4,J88*Geometry!$J$20,0)+IF(C88=5,J88*Geometry!$K$20,0)</f>
        <v>0</v>
      </c>
      <c r="M88" s="59">
        <f>IF(C88=1,J88*Geometry!$G$19,0)+IF(C88=2,J88*Geometry!$H$19,0)+IF(C88=3,J88*Geometry!$I$19,0)+IF(C88=4,J88*Geometry!$J$19,0)+IF(C88=5,J88*Geometry!$K$19,0)</f>
        <v>0</v>
      </c>
      <c r="N88" s="59">
        <f>IF(C88=1,J88*Geometry!$G$22,0)+IF(C88=2,J88*Geometry!$H$22,0)+IF(C88=3,J88*Geometry!$I$22,0)+IF(C88=4,J88*Geometry!$J$22,0)+IF(C88=5,J88*Geometry!$K$22,0)</f>
        <v>0</v>
      </c>
      <c r="O88" s="59">
        <f>IF(C88=1,J88*Geometry!$G$23,0)+IF(C88=2,J88*Geometry!$H$23,0)+IF(C88=3,J88*Geometry!$I$23,0)+IF(C88=4,J88*Geometry!$J$23,0)+IF(C88=5,J88*Geometry!$K$23,0)</f>
        <v>0</v>
      </c>
      <c r="P88">
        <f>IF(C88=1,J88*Geometry!$G$24,0)+IF(C88=2,J88*Geometry!$H$24,0)+IF(C88=3,J88*Geometry!$I$24,0)+IF(C88=4,J88*Geometry!$J$24,0)+IF(C88=5,J88*Geometry!$K$24,0)</f>
        <v>0</v>
      </c>
    </row>
    <row r="89" spans="1:16">
      <c r="A89">
        <f t="shared" si="11"/>
        <v>83</v>
      </c>
      <c r="C89" s="7">
        <f t="shared" si="12"/>
        <v>3</v>
      </c>
      <c r="D89" s="69">
        <f>D88+Geometry!$C$15</f>
        <v>620</v>
      </c>
      <c r="E89" s="59">
        <f t="shared" si="13"/>
        <v>-305</v>
      </c>
      <c r="F89" s="4">
        <f>Geometry!$D$12*D89</f>
        <v>15.011294117647061</v>
      </c>
      <c r="G89" s="4">
        <f t="shared" si="8"/>
        <v>0</v>
      </c>
      <c r="H89" s="4">
        <f>IF(ABS(E89*E89)&lt;=Geometry!$E$10,SQRT(Geometry!$E$10-E89*E89),0)</f>
        <v>0</v>
      </c>
      <c r="I89" s="4">
        <f t="shared" si="9"/>
        <v>0</v>
      </c>
      <c r="J89" s="5">
        <f t="shared" si="10"/>
        <v>0</v>
      </c>
      <c r="K89" s="59">
        <f>IF(C89=1,J89*Geometry!$G$21,0)+IF(C89=2,J89*Geometry!$H$21,0)+IF(C89=3,J89*Geometry!$I$21,0)+IF(C89=4,J89*Geometry!$J$21,0)+IF(C89=5,J89*Geometry!$K$21,0)</f>
        <v>0</v>
      </c>
      <c r="L89" s="59">
        <f>IF(C89=1,J89*Geometry!$G$20,0)+IF(C89=2,J89*Geometry!$H$20,0)+IF(C89=3,J89*Geometry!$I$20,0)+IF(C89=4,J89*Geometry!$J$20,0)+IF(C89=5,J89*Geometry!$K$20,0)</f>
        <v>0</v>
      </c>
      <c r="M89" s="59">
        <f>IF(C89=1,J89*Geometry!$G$19,0)+IF(C89=2,J89*Geometry!$H$19,0)+IF(C89=3,J89*Geometry!$I$19,0)+IF(C89=4,J89*Geometry!$J$19,0)+IF(C89=5,J89*Geometry!$K$19,0)</f>
        <v>0</v>
      </c>
      <c r="N89" s="59">
        <f>IF(C89=1,J89*Geometry!$G$22,0)+IF(C89=2,J89*Geometry!$H$22,0)+IF(C89=3,J89*Geometry!$I$22,0)+IF(C89=4,J89*Geometry!$J$22,0)+IF(C89=5,J89*Geometry!$K$22,0)</f>
        <v>0</v>
      </c>
      <c r="O89" s="59">
        <f>IF(C89=1,J89*Geometry!$G$23,0)+IF(C89=2,J89*Geometry!$H$23,0)+IF(C89=3,J89*Geometry!$I$23,0)+IF(C89=4,J89*Geometry!$J$23,0)+IF(C89=5,J89*Geometry!$K$23,0)</f>
        <v>0</v>
      </c>
      <c r="P89">
        <f>IF(C89=1,J89*Geometry!$G$24,0)+IF(C89=2,J89*Geometry!$H$24,0)+IF(C89=3,J89*Geometry!$I$24,0)+IF(C89=4,J89*Geometry!$J$24,0)+IF(C89=5,J89*Geometry!$K$24,0)</f>
        <v>0</v>
      </c>
    </row>
    <row r="90" spans="1:16">
      <c r="A90">
        <f t="shared" si="11"/>
        <v>84</v>
      </c>
      <c r="C90" s="7">
        <f t="shared" si="12"/>
        <v>3</v>
      </c>
      <c r="D90" s="69">
        <f>D89+Geometry!$C$15</f>
        <v>625</v>
      </c>
      <c r="E90" s="59">
        <f t="shared" si="13"/>
        <v>-310</v>
      </c>
      <c r="F90" s="4">
        <f>Geometry!$D$12*D90</f>
        <v>15.132352941176473</v>
      </c>
      <c r="G90" s="4">
        <f t="shared" si="8"/>
        <v>0</v>
      </c>
      <c r="H90" s="4">
        <f>IF(ABS(E90*E90)&lt;=Geometry!$E$10,SQRT(Geometry!$E$10-E90*E90),0)</f>
        <v>0</v>
      </c>
      <c r="I90" s="4">
        <f t="shared" si="9"/>
        <v>0</v>
      </c>
      <c r="J90" s="5">
        <f t="shared" si="10"/>
        <v>0</v>
      </c>
      <c r="K90" s="59">
        <f>IF(C90=1,J90*Geometry!$G$21,0)+IF(C90=2,J90*Geometry!$H$21,0)+IF(C90=3,J90*Geometry!$I$21,0)+IF(C90=4,J90*Geometry!$J$21,0)+IF(C90=5,J90*Geometry!$K$21,0)</f>
        <v>0</v>
      </c>
      <c r="L90" s="59">
        <f>IF(C90=1,J90*Geometry!$G$20,0)+IF(C90=2,J90*Geometry!$H$20,0)+IF(C90=3,J90*Geometry!$I$20,0)+IF(C90=4,J90*Geometry!$J$20,0)+IF(C90=5,J90*Geometry!$K$20,0)</f>
        <v>0</v>
      </c>
      <c r="M90" s="59">
        <f>IF(C90=1,J90*Geometry!$G$19,0)+IF(C90=2,J90*Geometry!$H$19,0)+IF(C90=3,J90*Geometry!$I$19,0)+IF(C90=4,J90*Geometry!$J$19,0)+IF(C90=5,J90*Geometry!$K$19,0)</f>
        <v>0</v>
      </c>
      <c r="N90" s="59">
        <f>IF(C90=1,J90*Geometry!$G$22,0)+IF(C90=2,J90*Geometry!$H$22,0)+IF(C90=3,J90*Geometry!$I$22,0)+IF(C90=4,J90*Geometry!$J$22,0)+IF(C90=5,J90*Geometry!$K$22,0)</f>
        <v>0</v>
      </c>
      <c r="O90" s="59">
        <f>IF(C90=1,J90*Geometry!$G$23,0)+IF(C90=2,J90*Geometry!$H$23,0)+IF(C90=3,J90*Geometry!$I$23,0)+IF(C90=4,J90*Geometry!$J$23,0)+IF(C90=5,J90*Geometry!$K$23,0)</f>
        <v>0</v>
      </c>
      <c r="P90">
        <f>IF(C90=1,J90*Geometry!$G$24,0)+IF(C90=2,J90*Geometry!$H$24,0)+IF(C90=3,J90*Geometry!$I$24,0)+IF(C90=4,J90*Geometry!$J$24,0)+IF(C90=5,J90*Geometry!$K$24,0)</f>
        <v>0</v>
      </c>
    </row>
    <row r="91" spans="1:16">
      <c r="A91">
        <f t="shared" si="11"/>
        <v>85</v>
      </c>
      <c r="C91" s="7">
        <f t="shared" si="12"/>
        <v>3</v>
      </c>
      <c r="D91" s="69">
        <f>D90+Geometry!$C$15</f>
        <v>630</v>
      </c>
      <c r="E91" s="59">
        <f t="shared" si="13"/>
        <v>-315</v>
      </c>
      <c r="F91" s="4">
        <f>Geometry!$D$12*D91</f>
        <v>15.253411764705884</v>
      </c>
      <c r="G91" s="4">
        <f t="shared" si="8"/>
        <v>0</v>
      </c>
      <c r="H91" s="4">
        <f>IF(ABS(E91*E91)&lt;=Geometry!$E$10,SQRT(Geometry!$E$10-E91*E91),0)</f>
        <v>0</v>
      </c>
      <c r="I91" s="4">
        <f t="shared" si="9"/>
        <v>0</v>
      </c>
      <c r="J91" s="5">
        <f t="shared" si="10"/>
        <v>0</v>
      </c>
      <c r="K91" s="59">
        <f>IF(C91=1,J91*Geometry!$G$21,0)+IF(C91=2,J91*Geometry!$H$21,0)+IF(C91=3,J91*Geometry!$I$21,0)+IF(C91=4,J91*Geometry!$J$21,0)+IF(C91=5,J91*Geometry!$K$21,0)</f>
        <v>0</v>
      </c>
      <c r="L91" s="59">
        <f>IF(C91=1,J91*Geometry!$G$20,0)+IF(C91=2,J91*Geometry!$H$20,0)+IF(C91=3,J91*Geometry!$I$20,0)+IF(C91=4,J91*Geometry!$J$20,0)+IF(C91=5,J91*Geometry!$K$20,0)</f>
        <v>0</v>
      </c>
      <c r="M91" s="59">
        <f>IF(C91=1,J91*Geometry!$G$19,0)+IF(C91=2,J91*Geometry!$H$19,0)+IF(C91=3,J91*Geometry!$I$19,0)+IF(C91=4,J91*Geometry!$J$19,0)+IF(C91=5,J91*Geometry!$K$19,0)</f>
        <v>0</v>
      </c>
      <c r="N91" s="59">
        <f>IF(C91=1,J91*Geometry!$G$22,0)+IF(C91=2,J91*Geometry!$H$22,0)+IF(C91=3,J91*Geometry!$I$22,0)+IF(C91=4,J91*Geometry!$J$22,0)+IF(C91=5,J91*Geometry!$K$22,0)</f>
        <v>0</v>
      </c>
      <c r="O91" s="59">
        <f>IF(C91=1,J91*Geometry!$G$23,0)+IF(C91=2,J91*Geometry!$H$23,0)+IF(C91=3,J91*Geometry!$I$23,0)+IF(C91=4,J91*Geometry!$J$23,0)+IF(C91=5,J91*Geometry!$K$23,0)</f>
        <v>0</v>
      </c>
      <c r="P91">
        <f>IF(C91=1,J91*Geometry!$G$24,0)+IF(C91=2,J91*Geometry!$H$24,0)+IF(C91=3,J91*Geometry!$I$24,0)+IF(C91=4,J91*Geometry!$J$24,0)+IF(C91=5,J91*Geometry!$K$24,0)</f>
        <v>0</v>
      </c>
    </row>
    <row r="92" spans="1:16">
      <c r="A92">
        <f t="shared" si="11"/>
        <v>86</v>
      </c>
      <c r="C92" s="7">
        <f t="shared" si="12"/>
        <v>3</v>
      </c>
      <c r="D92" s="69">
        <f>D91+Geometry!$C$15</f>
        <v>635</v>
      </c>
      <c r="E92" s="59">
        <f t="shared" si="13"/>
        <v>-320</v>
      </c>
      <c r="F92" s="4">
        <f>Geometry!$D$12*D92</f>
        <v>15.374470588235296</v>
      </c>
      <c r="G92" s="4">
        <f t="shared" si="8"/>
        <v>0</v>
      </c>
      <c r="H92" s="4">
        <f>IF(ABS(E92*E92)&lt;=Geometry!$E$10,SQRT(Geometry!$E$10-E92*E92),0)</f>
        <v>0</v>
      </c>
      <c r="I92" s="4">
        <f t="shared" si="9"/>
        <v>0</v>
      </c>
      <c r="J92" s="5">
        <f t="shared" si="10"/>
        <v>0</v>
      </c>
      <c r="K92" s="59">
        <f>IF(C92=1,J92*Geometry!$G$21,0)+IF(C92=2,J92*Geometry!$H$21,0)+IF(C92=3,J92*Geometry!$I$21,0)+IF(C92=4,J92*Geometry!$J$21,0)+IF(C92=5,J92*Geometry!$K$21,0)</f>
        <v>0</v>
      </c>
      <c r="L92" s="59">
        <f>IF(C92=1,J92*Geometry!$G$20,0)+IF(C92=2,J92*Geometry!$H$20,0)+IF(C92=3,J92*Geometry!$I$20,0)+IF(C92=4,J92*Geometry!$J$20,0)+IF(C92=5,J92*Geometry!$K$20,0)</f>
        <v>0</v>
      </c>
      <c r="M92" s="59">
        <f>IF(C92=1,J92*Geometry!$G$19,0)+IF(C92=2,J92*Geometry!$H$19,0)+IF(C92=3,J92*Geometry!$I$19,0)+IF(C92=4,J92*Geometry!$J$19,0)+IF(C92=5,J92*Geometry!$K$19,0)</f>
        <v>0</v>
      </c>
      <c r="N92" s="59">
        <f>IF(C92=1,J92*Geometry!$G$22,0)+IF(C92=2,J92*Geometry!$H$22,0)+IF(C92=3,J92*Geometry!$I$22,0)+IF(C92=4,J92*Geometry!$J$22,0)+IF(C92=5,J92*Geometry!$K$22,0)</f>
        <v>0</v>
      </c>
      <c r="O92" s="59">
        <f>IF(C92=1,J92*Geometry!$G$23,0)+IF(C92=2,J92*Geometry!$H$23,0)+IF(C92=3,J92*Geometry!$I$23,0)+IF(C92=4,J92*Geometry!$J$23,0)+IF(C92=5,J92*Geometry!$K$23,0)</f>
        <v>0</v>
      </c>
      <c r="P92">
        <f>IF(C92=1,J92*Geometry!$G$24,0)+IF(C92=2,J92*Geometry!$H$24,0)+IF(C92=3,J92*Geometry!$I$24,0)+IF(C92=4,J92*Geometry!$J$24,0)+IF(C92=5,J92*Geometry!$K$24,0)</f>
        <v>0</v>
      </c>
    </row>
    <row r="93" spans="1:16">
      <c r="A93">
        <f t="shared" si="11"/>
        <v>87</v>
      </c>
      <c r="C93" s="7">
        <f t="shared" si="12"/>
        <v>3</v>
      </c>
      <c r="D93" s="69">
        <f>D92+Geometry!$C$15</f>
        <v>640</v>
      </c>
      <c r="E93" s="59">
        <f t="shared" si="13"/>
        <v>-325</v>
      </c>
      <c r="F93" s="4">
        <f>Geometry!$D$12*D93</f>
        <v>15.495529411764707</v>
      </c>
      <c r="G93" s="4">
        <f t="shared" si="8"/>
        <v>0</v>
      </c>
      <c r="H93" s="4">
        <f>IF(ABS(E93*E93)&lt;=Geometry!$E$10,SQRT(Geometry!$E$10-E93*E93),0)</f>
        <v>0</v>
      </c>
      <c r="I93" s="4">
        <f t="shared" si="9"/>
        <v>0</v>
      </c>
      <c r="J93" s="5">
        <f t="shared" si="10"/>
        <v>0</v>
      </c>
      <c r="K93" s="59">
        <f>IF(C93=1,J93*Geometry!$G$21,0)+IF(C93=2,J93*Geometry!$H$21,0)+IF(C93=3,J93*Geometry!$I$21,0)+IF(C93=4,J93*Geometry!$J$21,0)+IF(C93=5,J93*Geometry!$K$21,0)</f>
        <v>0</v>
      </c>
      <c r="L93" s="59">
        <f>IF(C93=1,J93*Geometry!$G$20,0)+IF(C93=2,J93*Geometry!$H$20,0)+IF(C93=3,J93*Geometry!$I$20,0)+IF(C93=4,J93*Geometry!$J$20,0)+IF(C93=5,J93*Geometry!$K$20,0)</f>
        <v>0</v>
      </c>
      <c r="M93" s="59">
        <f>IF(C93=1,J93*Geometry!$G$19,0)+IF(C93=2,J93*Geometry!$H$19,0)+IF(C93=3,J93*Geometry!$I$19,0)+IF(C93=4,J93*Geometry!$J$19,0)+IF(C93=5,J93*Geometry!$K$19,0)</f>
        <v>0</v>
      </c>
      <c r="N93" s="59">
        <f>IF(C93=1,J93*Geometry!$G$22,0)+IF(C93=2,J93*Geometry!$H$22,0)+IF(C93=3,J93*Geometry!$I$22,0)+IF(C93=4,J93*Geometry!$J$22,0)+IF(C93=5,J93*Geometry!$K$22,0)</f>
        <v>0</v>
      </c>
      <c r="O93" s="59">
        <f>IF(C93=1,J93*Geometry!$G$23,0)+IF(C93=2,J93*Geometry!$H$23,0)+IF(C93=3,J93*Geometry!$I$23,0)+IF(C93=4,J93*Geometry!$J$23,0)+IF(C93=5,J93*Geometry!$K$23,0)</f>
        <v>0</v>
      </c>
      <c r="P93">
        <f>IF(C93=1,J93*Geometry!$G$24,0)+IF(C93=2,J93*Geometry!$H$24,0)+IF(C93=3,J93*Geometry!$I$24,0)+IF(C93=4,J93*Geometry!$J$24,0)+IF(C93=5,J93*Geometry!$K$24,0)</f>
        <v>0</v>
      </c>
    </row>
    <row r="94" spans="1:16">
      <c r="A94">
        <f t="shared" si="11"/>
        <v>88</v>
      </c>
      <c r="C94" s="7">
        <f t="shared" ref="C72:C100" si="14">IF(A94&gt;$C$1-$C$4,3,IF(A94&lt;2,3,IF(A94&lt;=$C$2-$C$3/2,1,IF(A94&gt;$C$2+$C$3/2,1,2))))</f>
        <v>3</v>
      </c>
      <c r="D94" s="69">
        <f>D93+Geometry!$C$15</f>
        <v>645</v>
      </c>
      <c r="E94" s="59">
        <f t="shared" si="13"/>
        <v>-330</v>
      </c>
      <c r="F94" s="4">
        <f>Geometry!$D$12*D94</f>
        <v>15.61658823529412</v>
      </c>
      <c r="G94" s="4">
        <f t="shared" si="8"/>
        <v>0</v>
      </c>
      <c r="H94" s="4">
        <f>IF(ABS(E94*E94)&lt;=Geometry!$E$10,SQRT(Geometry!$E$10-E94*E94),0)</f>
        <v>0</v>
      </c>
      <c r="I94" s="4">
        <f t="shared" si="9"/>
        <v>0</v>
      </c>
      <c r="J94" s="5">
        <f t="shared" si="10"/>
        <v>0</v>
      </c>
      <c r="K94" s="59">
        <f>IF(C94=1,J94*Geometry!$G$21,0)+IF(C94=2,J94*Geometry!$H$21,0)+IF(C94=3,J94*Geometry!$I$21,0)+IF(C94=4,J94*Geometry!$J$21,0)+IF(C94=5,J94*Geometry!$K$21,0)</f>
        <v>0</v>
      </c>
      <c r="L94" s="59">
        <f>IF(C94=1,J94*Geometry!$G$20,0)+IF(C94=2,J94*Geometry!$H$20,0)+IF(C94=3,J94*Geometry!$I$20,0)+IF(C94=4,J94*Geometry!$J$20,0)+IF(C94=5,J94*Geometry!$K$20,0)</f>
        <v>0</v>
      </c>
      <c r="M94" s="59">
        <f>IF(C94=1,J94*Geometry!$G$19,0)+IF(C94=2,J94*Geometry!$H$19,0)+IF(C94=3,J94*Geometry!$I$19,0)+IF(C94=4,J94*Geometry!$J$19,0)+IF(C94=5,J94*Geometry!$K$19,0)</f>
        <v>0</v>
      </c>
      <c r="N94" s="59">
        <f>IF(C94=1,J94*Geometry!$G$22,0)+IF(C94=2,J94*Geometry!$H$22,0)+IF(C94=3,J94*Geometry!$I$22,0)+IF(C94=4,J94*Geometry!$J$22,0)+IF(C94=5,J94*Geometry!$K$22,0)</f>
        <v>0</v>
      </c>
      <c r="O94" s="59">
        <f>IF(C94=1,J94*Geometry!$G$23,0)+IF(C94=2,J94*Geometry!$H$23,0)+IF(C94=3,J94*Geometry!$I$23,0)+IF(C94=4,J94*Geometry!$J$23,0)+IF(C94=5,J94*Geometry!$K$23,0)</f>
        <v>0</v>
      </c>
      <c r="P94">
        <f>IF(C94=1,J94*Geometry!$G$24,0)+IF(C94=2,J94*Geometry!$H$24,0)+IF(C94=3,J94*Geometry!$I$24,0)+IF(C94=4,J94*Geometry!$J$24,0)+IF(C94=5,J94*Geometry!$K$24,0)</f>
        <v>0</v>
      </c>
    </row>
    <row r="95" spans="1:16">
      <c r="A95">
        <f t="shared" si="11"/>
        <v>89</v>
      </c>
      <c r="C95" s="7">
        <f t="shared" si="14"/>
        <v>3</v>
      </c>
      <c r="D95" s="69">
        <f>D94+Geometry!$C$15</f>
        <v>650</v>
      </c>
      <c r="E95" s="59">
        <f t="shared" si="13"/>
        <v>-335</v>
      </c>
      <c r="F95" s="4">
        <f>Geometry!$D$12*D95</f>
        <v>15.737647058823532</v>
      </c>
      <c r="G95" s="4">
        <f t="shared" si="8"/>
        <v>0</v>
      </c>
      <c r="H95" s="4">
        <f>IF(ABS(E95*E95)&lt;=Geometry!$E$10,SQRT(Geometry!$E$10-E95*E95),0)</f>
        <v>0</v>
      </c>
      <c r="I95" s="4">
        <f t="shared" si="9"/>
        <v>0</v>
      </c>
      <c r="J95" s="5">
        <f t="shared" si="10"/>
        <v>0</v>
      </c>
      <c r="K95" s="59">
        <f>IF(C95=1,J95*Geometry!$G$21,0)+IF(C95=2,J95*Geometry!$H$21,0)+IF(C95=3,J95*Geometry!$I$21,0)+IF(C95=4,J95*Geometry!$J$21,0)+IF(C95=5,J95*Geometry!$K$21,0)</f>
        <v>0</v>
      </c>
      <c r="L95" s="59">
        <f>IF(C95=1,J95*Geometry!$G$20,0)+IF(C95=2,J95*Geometry!$H$20,0)+IF(C95=3,J95*Geometry!$I$20,0)+IF(C95=4,J95*Geometry!$J$20,0)+IF(C95=5,J95*Geometry!$K$20,0)</f>
        <v>0</v>
      </c>
      <c r="M95" s="59">
        <f>IF(C95=1,J95*Geometry!$G$19,0)+IF(C95=2,J95*Geometry!$H$19,0)+IF(C95=3,J95*Geometry!$I$19,0)+IF(C95=4,J95*Geometry!$J$19,0)+IF(C95=5,J95*Geometry!$K$19,0)</f>
        <v>0</v>
      </c>
      <c r="N95" s="59">
        <f>IF(C95=1,J95*Geometry!$G$22,0)+IF(C95=2,J95*Geometry!$H$22,0)+IF(C95=3,J95*Geometry!$I$22,0)+IF(C95=4,J95*Geometry!$J$22,0)+IF(C95=5,J95*Geometry!$K$22,0)</f>
        <v>0</v>
      </c>
      <c r="O95" s="59">
        <f>IF(C95=1,J95*Geometry!$G$23,0)+IF(C95=2,J95*Geometry!$H$23,0)+IF(C95=3,J95*Geometry!$I$23,0)+IF(C95=4,J95*Geometry!$J$23,0)+IF(C95=5,J95*Geometry!$K$23,0)</f>
        <v>0</v>
      </c>
      <c r="P95">
        <f>IF(C95=1,J95*Geometry!$G$24,0)+IF(C95=2,J95*Geometry!$H$24,0)+IF(C95=3,J95*Geometry!$I$24,0)+IF(C95=4,J95*Geometry!$J$24,0)+IF(C95=5,J95*Geometry!$K$24,0)</f>
        <v>0</v>
      </c>
    </row>
    <row r="96" spans="1:16">
      <c r="A96">
        <f t="shared" ref="A96:A110" si="15">A95+1</f>
        <v>90</v>
      </c>
      <c r="C96" s="7">
        <f t="shared" si="14"/>
        <v>3</v>
      </c>
      <c r="D96" s="69">
        <f>D95+Geometry!$C$15</f>
        <v>655</v>
      </c>
      <c r="E96" s="59">
        <f t="shared" si="13"/>
        <v>-340</v>
      </c>
      <c r="F96" s="4">
        <f>Geometry!$D$12*D96</f>
        <v>15.858705882352943</v>
      </c>
      <c r="G96" s="4">
        <f t="shared" si="8"/>
        <v>0</v>
      </c>
      <c r="H96" s="4">
        <f>IF(ABS(E96*E96)&lt;=Geometry!$E$10,SQRT(Geometry!$E$10-E96*E96),0)</f>
        <v>0</v>
      </c>
      <c r="I96" s="4">
        <f t="shared" si="9"/>
        <v>0</v>
      </c>
      <c r="J96" s="5">
        <f t="shared" ref="J96:J116" si="16">PI()*H96*H96</f>
        <v>0</v>
      </c>
      <c r="K96" s="59">
        <f>IF(C96=1,J96*Geometry!$G$21,0)+IF(C96=2,J96*Geometry!$H$21,0)+IF(C96=3,J96*Geometry!$I$21,0)+IF(C96=4,J96*Geometry!$J$21,0)+IF(C96=5,J96*Geometry!$K$21,0)</f>
        <v>0</v>
      </c>
      <c r="L96" s="59">
        <f>IF(C96=1,J96*Geometry!$G$20,0)+IF(C96=2,J96*Geometry!$H$20,0)+IF(C96=3,J96*Geometry!$I$20,0)+IF(C96=4,J96*Geometry!$J$20,0)+IF(C96=5,J96*Geometry!$K$20,0)</f>
        <v>0</v>
      </c>
      <c r="M96" s="59">
        <f>IF(C96=1,J96*Geometry!$G$19,0)+IF(C96=2,J96*Geometry!$H$19,0)+IF(C96=3,J96*Geometry!$I$19,0)+IF(C96=4,J96*Geometry!$J$19,0)+IF(C96=5,J96*Geometry!$K$19,0)</f>
        <v>0</v>
      </c>
      <c r="N96" s="59">
        <f>IF(C96=1,J96*Geometry!$G$22,0)+IF(C96=2,J96*Geometry!$H$22,0)+IF(C96=3,J96*Geometry!$I$22,0)+IF(C96=4,J96*Geometry!$J$22,0)+IF(C96=5,J96*Geometry!$K$22,0)</f>
        <v>0</v>
      </c>
      <c r="O96" s="59">
        <f>IF(C96=1,J96*Geometry!$G$23,0)+IF(C96=2,J96*Geometry!$H$23,0)+IF(C96=3,J96*Geometry!$I$23,0)+IF(C96=4,J96*Geometry!$J$23,0)+IF(C96=5,J96*Geometry!$K$23,0)</f>
        <v>0</v>
      </c>
      <c r="P96">
        <f>IF(C96=1,J96*Geometry!$G$24,0)+IF(C96=2,J96*Geometry!$H$24,0)+IF(C96=3,J96*Geometry!$I$24,0)+IF(C96=4,J96*Geometry!$J$24,0)+IF(C96=5,J96*Geometry!$K$24,0)</f>
        <v>0</v>
      </c>
    </row>
    <row r="97" spans="1:16">
      <c r="A97">
        <f t="shared" si="15"/>
        <v>91</v>
      </c>
      <c r="C97" s="7">
        <f t="shared" si="14"/>
        <v>3</v>
      </c>
      <c r="D97" s="69">
        <f>D96+Geometry!$C$15</f>
        <v>660</v>
      </c>
      <c r="E97" s="59">
        <f t="shared" si="13"/>
        <v>-345</v>
      </c>
      <c r="F97" s="4">
        <f>Geometry!$D$12*D97</f>
        <v>15.979764705882355</v>
      </c>
      <c r="G97" s="4">
        <f t="shared" si="8"/>
        <v>0</v>
      </c>
      <c r="H97" s="4">
        <f>IF(ABS(E97*E97)&lt;=Geometry!$E$10,SQRT(Geometry!$E$10-E97*E97),0)</f>
        <v>0</v>
      </c>
      <c r="I97" s="4">
        <f t="shared" si="9"/>
        <v>0</v>
      </c>
      <c r="J97" s="5">
        <f t="shared" si="16"/>
        <v>0</v>
      </c>
      <c r="K97" s="59">
        <f>IF(C97=1,J97*Geometry!$G$21,0)+IF(C97=2,J97*Geometry!$H$21,0)+IF(C97=3,J97*Geometry!$I$21,0)+IF(C97=4,J97*Geometry!$J$21,0)+IF(C97=5,J97*Geometry!$K$21,0)</f>
        <v>0</v>
      </c>
      <c r="L97" s="59">
        <f>IF(C97=1,J97*Geometry!$G$20,0)+IF(C97=2,J97*Geometry!$H$20,0)+IF(C97=3,J97*Geometry!$I$20,0)+IF(C97=4,J97*Geometry!$J$20,0)+IF(C97=5,J97*Geometry!$K$20,0)</f>
        <v>0</v>
      </c>
      <c r="M97" s="59">
        <f>IF(C97=1,J97*Geometry!$G$19,0)+IF(C97=2,J97*Geometry!$H$19,0)+IF(C97=3,J97*Geometry!$I$19,0)+IF(C97=4,J97*Geometry!$J$19,0)+IF(C97=5,J97*Geometry!$K$19,0)</f>
        <v>0</v>
      </c>
      <c r="N97" s="59">
        <f>IF(C97=1,J97*Geometry!$G$22,0)+IF(C97=2,J97*Geometry!$H$22,0)+IF(C97=3,J97*Geometry!$I$22,0)+IF(C97=4,J97*Geometry!$J$22,0)+IF(C97=5,J97*Geometry!$K$22,0)</f>
        <v>0</v>
      </c>
      <c r="O97" s="59">
        <f>IF(C97=1,J97*Geometry!$G$23,0)+IF(C97=2,J97*Geometry!$H$23,0)+IF(C97=3,J97*Geometry!$I$23,0)+IF(C97=4,J97*Geometry!$J$23,0)+IF(C97=5,J97*Geometry!$K$23,0)</f>
        <v>0</v>
      </c>
      <c r="P97">
        <f>IF(C97=1,J97*Geometry!$G$24,0)+IF(C97=2,J97*Geometry!$H$24,0)+IF(C97=3,J97*Geometry!$I$24,0)+IF(C97=4,J97*Geometry!$J$24,0)+IF(C97=5,J97*Geometry!$K$24,0)</f>
        <v>0</v>
      </c>
    </row>
    <row r="98" spans="1:16">
      <c r="A98">
        <f t="shared" si="15"/>
        <v>92</v>
      </c>
      <c r="C98" s="7">
        <f t="shared" si="14"/>
        <v>3</v>
      </c>
      <c r="D98" s="69">
        <f>D97+Geometry!$C$15</f>
        <v>665</v>
      </c>
      <c r="E98" s="59">
        <f t="shared" si="13"/>
        <v>-350</v>
      </c>
      <c r="F98" s="4">
        <f>Geometry!$D$12*D98</f>
        <v>16.100823529411766</v>
      </c>
      <c r="G98" s="4">
        <f t="shared" si="8"/>
        <v>0</v>
      </c>
      <c r="H98" s="4">
        <f>IF(ABS(E98*E98)&lt;=Geometry!$E$10,SQRT(Geometry!$E$10-E98*E98),0)</f>
        <v>0</v>
      </c>
      <c r="I98" s="4">
        <f t="shared" si="9"/>
        <v>0</v>
      </c>
      <c r="J98" s="5">
        <f t="shared" si="16"/>
        <v>0</v>
      </c>
      <c r="K98" s="59">
        <f>IF(C98=1,J98*Geometry!$G$21,0)+IF(C98=2,J98*Geometry!$H$21,0)+IF(C98=3,J98*Geometry!$I$21,0)+IF(C98=4,J98*Geometry!$J$21,0)+IF(C98=5,J98*Geometry!$K$21,0)</f>
        <v>0</v>
      </c>
      <c r="L98" s="59">
        <f>IF(C98=1,J98*Geometry!$G$20,0)+IF(C98=2,J98*Geometry!$H$20,0)+IF(C98=3,J98*Geometry!$I$20,0)+IF(C98=4,J98*Geometry!$J$20,0)+IF(C98=5,J98*Geometry!$K$20,0)</f>
        <v>0</v>
      </c>
      <c r="M98" s="59">
        <f>IF(C98=1,J98*Geometry!$G$19,0)+IF(C98=2,J98*Geometry!$H$19,0)+IF(C98=3,J98*Geometry!$I$19,0)+IF(C98=4,J98*Geometry!$J$19,0)+IF(C98=5,J98*Geometry!$K$19,0)</f>
        <v>0</v>
      </c>
      <c r="N98" s="59">
        <f>IF(C98=1,J98*Geometry!$G$22,0)+IF(C98=2,J98*Geometry!$H$22,0)+IF(C98=3,J98*Geometry!$I$22,0)+IF(C98=4,J98*Geometry!$J$22,0)+IF(C98=5,J98*Geometry!$K$22,0)</f>
        <v>0</v>
      </c>
      <c r="O98" s="59">
        <f>IF(C98=1,J98*Geometry!$G$23,0)+IF(C98=2,J98*Geometry!$H$23,0)+IF(C98=3,J98*Geometry!$I$23,0)+IF(C98=4,J98*Geometry!$J$23,0)+IF(C98=5,J98*Geometry!$K$23,0)</f>
        <v>0</v>
      </c>
      <c r="P98">
        <f>IF(C98=1,J98*Geometry!$G$24,0)+IF(C98=2,J98*Geometry!$H$24,0)+IF(C98=3,J98*Geometry!$I$24,0)+IF(C98=4,J98*Geometry!$J$24,0)+IF(C98=5,J98*Geometry!$K$24,0)</f>
        <v>0</v>
      </c>
    </row>
    <row r="99" spans="1:16">
      <c r="A99">
        <f t="shared" si="15"/>
        <v>93</v>
      </c>
      <c r="C99" s="7">
        <f t="shared" si="14"/>
        <v>3</v>
      </c>
      <c r="D99" s="69">
        <f>D98+Geometry!$C$15</f>
        <v>670</v>
      </c>
      <c r="E99" s="59">
        <f t="shared" si="13"/>
        <v>-355</v>
      </c>
      <c r="F99" s="4">
        <f>Geometry!$D$12*D99</f>
        <v>16.221882352941179</v>
      </c>
      <c r="G99" s="4">
        <f t="shared" si="8"/>
        <v>0</v>
      </c>
      <c r="H99" s="4">
        <f>IF(ABS(E99*E99)&lt;=Geometry!$E$10,SQRT(Geometry!$E$10-E99*E99),0)</f>
        <v>0</v>
      </c>
      <c r="I99" s="4">
        <f t="shared" si="9"/>
        <v>0</v>
      </c>
      <c r="J99" s="5">
        <f t="shared" si="16"/>
        <v>0</v>
      </c>
      <c r="K99" s="59">
        <f>IF(C99=1,J99*Geometry!$G$21,0)+IF(C99=2,J99*Geometry!$H$21,0)+IF(C99=3,J99*Geometry!$I$21,0)+IF(C99=4,J99*Geometry!$J$21,0)+IF(C99=5,J99*Geometry!$K$21,0)</f>
        <v>0</v>
      </c>
      <c r="L99" s="59">
        <f>IF(C99=1,J99*Geometry!$G$20,0)+IF(C99=2,J99*Geometry!$H$20,0)+IF(C99=3,J99*Geometry!$I$20,0)+IF(C99=4,J99*Geometry!$J$20,0)+IF(C99=5,J99*Geometry!$K$20,0)</f>
        <v>0</v>
      </c>
      <c r="M99" s="59">
        <f>IF(C99=1,J99*Geometry!$G$19,0)+IF(C99=2,J99*Geometry!$H$19,0)+IF(C99=3,J99*Geometry!$I$19,0)+IF(C99=4,J99*Geometry!$J$19,0)+IF(C99=5,J99*Geometry!$K$19,0)</f>
        <v>0</v>
      </c>
      <c r="N99" s="59">
        <f>IF(C99=1,J99*Geometry!$G$22,0)+IF(C99=2,J99*Geometry!$H$22,0)+IF(C99=3,J99*Geometry!$I$22,0)+IF(C99=4,J99*Geometry!$J$22,0)+IF(C99=5,J99*Geometry!$K$22,0)</f>
        <v>0</v>
      </c>
      <c r="O99" s="59">
        <f>IF(C99=1,J99*Geometry!$G$23,0)+IF(C99=2,J99*Geometry!$H$23,0)+IF(C99=3,J99*Geometry!$I$23,0)+IF(C99=4,J99*Geometry!$J$23,0)+IF(C99=5,J99*Geometry!$K$23,0)</f>
        <v>0</v>
      </c>
      <c r="P99">
        <f>IF(C99=1,J99*Geometry!$G$24,0)+IF(C99=2,J99*Geometry!$H$24,0)+IF(C99=3,J99*Geometry!$I$24,0)+IF(C99=4,J99*Geometry!$J$24,0)+IF(C99=5,J99*Geometry!$K$24,0)</f>
        <v>0</v>
      </c>
    </row>
    <row r="100" spans="1:16">
      <c r="A100">
        <f t="shared" si="15"/>
        <v>94</v>
      </c>
      <c r="C100" s="7">
        <f t="shared" si="14"/>
        <v>3</v>
      </c>
      <c r="D100" s="69">
        <f>D99+Geometry!$C$15</f>
        <v>675</v>
      </c>
      <c r="E100" s="59">
        <f t="shared" si="13"/>
        <v>-360</v>
      </c>
      <c r="F100" s="4">
        <f>Geometry!$D$12*D100</f>
        <v>16.342941176470589</v>
      </c>
      <c r="G100" s="4">
        <f t="shared" si="8"/>
        <v>0</v>
      </c>
      <c r="H100" s="4">
        <f>IF(ABS(E100*E100)&lt;=Geometry!$E$10,SQRT(Geometry!$E$10-E100*E100),0)</f>
        <v>0</v>
      </c>
      <c r="I100" s="4">
        <f t="shared" si="9"/>
        <v>0</v>
      </c>
      <c r="J100" s="5">
        <f t="shared" si="16"/>
        <v>0</v>
      </c>
      <c r="K100" s="59">
        <f>IF(C100=1,J100*Geometry!$G$21,0)+IF(C100=2,J100*Geometry!$H$21,0)+IF(C100=3,J100*Geometry!$I$21,0)+IF(C100=4,J100*Geometry!$J$21,0)+IF(C100=5,J100*Geometry!$K$21,0)</f>
        <v>0</v>
      </c>
      <c r="L100" s="59">
        <f>IF(C100=1,J100*Geometry!$G$20,0)+IF(C100=2,J100*Geometry!$H$20,0)+IF(C100=3,J100*Geometry!$I$20,0)+IF(C100=4,J100*Geometry!$J$20,0)+IF(C100=5,J100*Geometry!$K$20,0)</f>
        <v>0</v>
      </c>
      <c r="M100" s="59">
        <f>IF(C100=1,J100*Geometry!$G$19,0)+IF(C100=2,J100*Geometry!$H$19,0)+IF(C100=3,J100*Geometry!$I$19,0)+IF(C100=4,J100*Geometry!$J$19,0)+IF(C100=5,J100*Geometry!$K$19,0)</f>
        <v>0</v>
      </c>
      <c r="N100" s="59">
        <f>IF(C100=1,J100*Geometry!$G$22,0)+IF(C100=2,J100*Geometry!$H$22,0)+IF(C100=3,J100*Geometry!$I$22,0)+IF(C100=4,J100*Geometry!$J$22,0)+IF(C100=5,J100*Geometry!$K$22,0)</f>
        <v>0</v>
      </c>
      <c r="O100" s="59">
        <f>IF(C100=1,J100*Geometry!$G$23,0)+IF(C100=2,J100*Geometry!$H$23,0)+IF(C100=3,J100*Geometry!$I$23,0)+IF(C100=4,J100*Geometry!$J$23,0)+IF(C100=5,J100*Geometry!$K$23,0)</f>
        <v>0</v>
      </c>
      <c r="P100">
        <f>IF(C100=1,J100*Geometry!$G$24,0)+IF(C100=2,J100*Geometry!$H$24,0)+IF(C100=3,J100*Geometry!$I$24,0)+IF(C100=4,J100*Geometry!$J$24,0)+IF(C100=5,J100*Geometry!$K$24,0)</f>
        <v>0</v>
      </c>
    </row>
    <row r="101" spans="1:16">
      <c r="A101">
        <f t="shared" si="15"/>
        <v>95</v>
      </c>
      <c r="C101" s="7">
        <f t="shared" ref="C72:C135" si="17">IF(A101&gt;$C$1-$C$4,3,IF(A101&lt;2,3,IF(A101&lt;=$C$2-$C$3,1,IF(A101&gt;$C$2,1,2))))</f>
        <v>3</v>
      </c>
      <c r="D101" s="69">
        <f>D100+Geometry!$C$15</f>
        <v>680</v>
      </c>
      <c r="E101" s="59">
        <f t="shared" si="13"/>
        <v>-365</v>
      </c>
      <c r="F101" s="4">
        <f>Geometry!$D$12*D101</f>
        <v>16.464000000000002</v>
      </c>
      <c r="G101" s="4">
        <f t="shared" si="8"/>
        <v>0</v>
      </c>
      <c r="H101" s="4">
        <f>IF(ABS(E101*E101)&lt;=Geometry!$E$10,SQRT(Geometry!$E$10-E101*E101),0)</f>
        <v>0</v>
      </c>
      <c r="I101" s="4">
        <f t="shared" si="9"/>
        <v>0</v>
      </c>
      <c r="J101" s="5">
        <f t="shared" si="16"/>
        <v>0</v>
      </c>
      <c r="K101" s="59">
        <f>IF(C101=1,J101*Geometry!$G$21,0)+IF(C101=2,J101*Geometry!$H$21,0)+IF(C101=3,J101*Geometry!$I$21,0)+IF(C101=4,J101*Geometry!$J$21,0)+IF(C101=5,J101*Geometry!$K$21,0)</f>
        <v>0</v>
      </c>
      <c r="L101" s="59">
        <f>IF(C101=1,J101*Geometry!$G$20,0)+IF(C101=2,J101*Geometry!$H$20,0)+IF(C101=3,J101*Geometry!$I$20,0)+IF(C101=4,J101*Geometry!$J$20,0)+IF(C101=5,J101*Geometry!$K$20,0)</f>
        <v>0</v>
      </c>
      <c r="M101" s="59">
        <f>IF(C101=1,J101*Geometry!$G$19,0)+IF(C101=2,J101*Geometry!$H$19,0)+IF(C101=3,J101*Geometry!$I$19,0)+IF(C101=4,J101*Geometry!$J$19,0)+IF(C101=5,J101*Geometry!$K$19,0)</f>
        <v>0</v>
      </c>
      <c r="N101" s="59">
        <f>IF(C101=1,J101*Geometry!$G$22,0)+IF(C101=2,J101*Geometry!$H$22,0)+IF(C101=3,J101*Geometry!$I$22,0)+IF(C101=4,J101*Geometry!$J$22,0)+IF(C101=5,J101*Geometry!$K$22,0)</f>
        <v>0</v>
      </c>
      <c r="O101" s="59">
        <f>IF(C101=1,J101*Geometry!$G$23,0)+IF(C101=2,J101*Geometry!$H$23,0)+IF(C101=3,J101*Geometry!$I$23,0)+IF(C101=4,J101*Geometry!$J$23,0)+IF(C101=5,J101*Geometry!$K$23,0)</f>
        <v>0</v>
      </c>
      <c r="P101">
        <f>IF(C101=1,J101*Geometry!$G$24,0)+IF(C101=2,J101*Geometry!$H$24,0)+IF(C101=3,J101*Geometry!$I$24,0)+IF(C101=4,J101*Geometry!$J$24,0)+IF(C101=5,J101*Geometry!$K$24,0)</f>
        <v>0</v>
      </c>
    </row>
    <row r="102" spans="1:16">
      <c r="A102">
        <f t="shared" si="15"/>
        <v>96</v>
      </c>
      <c r="C102" s="7">
        <f t="shared" si="17"/>
        <v>3</v>
      </c>
      <c r="D102" s="69">
        <f>D101+Geometry!$C$15</f>
        <v>685</v>
      </c>
      <c r="E102" s="59">
        <f t="shared" si="13"/>
        <v>-370</v>
      </c>
      <c r="F102" s="4">
        <f>Geometry!$D$12*D102</f>
        <v>16.585058823529415</v>
      </c>
      <c r="G102" s="4">
        <f t="shared" si="8"/>
        <v>0</v>
      </c>
      <c r="H102" s="4">
        <f>IF(ABS(E102*E102)&lt;=Geometry!$E$10,SQRT(Geometry!$E$10-E102*E102),0)</f>
        <v>0</v>
      </c>
      <c r="I102" s="4">
        <f t="shared" si="9"/>
        <v>0</v>
      </c>
      <c r="J102" s="5">
        <f t="shared" si="16"/>
        <v>0</v>
      </c>
      <c r="K102" s="59">
        <f>IF(C102=1,J102*Geometry!$G$21,0)+IF(C102=2,J102*Geometry!$H$21,0)+IF(C102=3,J102*Geometry!$I$21,0)+IF(C102=4,J102*Geometry!$J$21,0)+IF(C102=5,J102*Geometry!$K$21,0)</f>
        <v>0</v>
      </c>
      <c r="L102" s="59">
        <f>IF(C102=1,J102*Geometry!$G$20,0)+IF(C102=2,J102*Geometry!$H$20,0)+IF(C102=3,J102*Geometry!$I$20,0)+IF(C102=4,J102*Geometry!$J$20,0)+IF(C102=5,J102*Geometry!$K$20,0)</f>
        <v>0</v>
      </c>
      <c r="M102" s="59">
        <f>IF(C102=1,J102*Geometry!$G$19,0)+IF(C102=2,J102*Geometry!$H$19,0)+IF(C102=3,J102*Geometry!$I$19,0)+IF(C102=4,J102*Geometry!$J$19,0)+IF(C102=5,J102*Geometry!$K$19,0)</f>
        <v>0</v>
      </c>
      <c r="N102" s="59">
        <f>IF(C102=1,J102*Geometry!$G$22,0)+IF(C102=2,J102*Geometry!$H$22,0)+IF(C102=3,J102*Geometry!$I$22,0)+IF(C102=4,J102*Geometry!$J$22,0)+IF(C102=5,J102*Geometry!$K$22,0)</f>
        <v>0</v>
      </c>
      <c r="O102" s="59">
        <f>IF(C102=1,J102*Geometry!$G$23,0)+IF(C102=2,J102*Geometry!$H$23,0)+IF(C102=3,J102*Geometry!$I$23,0)+IF(C102=4,J102*Geometry!$J$23,0)+IF(C102=5,J102*Geometry!$K$23,0)</f>
        <v>0</v>
      </c>
      <c r="P102">
        <f>IF(C102=1,J102*Geometry!$G$24,0)+IF(C102=2,J102*Geometry!$H$24,0)+IF(C102=3,J102*Geometry!$I$24,0)+IF(C102=4,J102*Geometry!$J$24,0)+IF(C102=5,J102*Geometry!$K$24,0)</f>
        <v>0</v>
      </c>
    </row>
    <row r="103" spans="1:16">
      <c r="A103">
        <f t="shared" si="15"/>
        <v>97</v>
      </c>
      <c r="C103" s="7">
        <f t="shared" si="17"/>
        <v>3</v>
      </c>
      <c r="D103" s="69">
        <f>D102+Geometry!$C$15</f>
        <v>690</v>
      </c>
      <c r="E103" s="59">
        <f t="shared" si="13"/>
        <v>-375</v>
      </c>
      <c r="F103" s="4">
        <f>Geometry!$D$12*D103</f>
        <v>16.706117647058825</v>
      </c>
      <c r="G103" s="4">
        <f t="shared" si="8"/>
        <v>0</v>
      </c>
      <c r="H103" s="4">
        <f>IF(ABS(E103*E103)&lt;=Geometry!$E$10,SQRT(Geometry!$E$10-E103*E103),0)</f>
        <v>0</v>
      </c>
      <c r="I103" s="4">
        <f t="shared" si="9"/>
        <v>0</v>
      </c>
      <c r="J103" s="5">
        <f t="shared" si="16"/>
        <v>0</v>
      </c>
      <c r="K103" s="59">
        <f>IF(C103=1,J103*Geometry!$G$21,0)+IF(C103=2,J103*Geometry!$H$21,0)+IF(C103=3,J103*Geometry!$I$21,0)+IF(C103=4,J103*Geometry!$J$21,0)+IF(C103=5,J103*Geometry!$K$21,0)</f>
        <v>0</v>
      </c>
      <c r="L103" s="59">
        <f>IF(C103=1,J103*Geometry!$G$20,0)+IF(C103=2,J103*Geometry!$H$20,0)+IF(C103=3,J103*Geometry!$I$20,0)+IF(C103=4,J103*Geometry!$J$20,0)+IF(C103=5,J103*Geometry!$K$20,0)</f>
        <v>0</v>
      </c>
      <c r="M103" s="59">
        <f>IF(C103=1,J103*Geometry!$G$19,0)+IF(C103=2,J103*Geometry!$H$19,0)+IF(C103=3,J103*Geometry!$I$19,0)+IF(C103=4,J103*Geometry!$J$19,0)+IF(C103=5,J103*Geometry!$K$19,0)</f>
        <v>0</v>
      </c>
      <c r="N103" s="59">
        <f>IF(C103=1,J103*Geometry!$G$22,0)+IF(C103=2,J103*Geometry!$H$22,0)+IF(C103=3,J103*Geometry!$I$22,0)+IF(C103=4,J103*Geometry!$J$22,0)+IF(C103=5,J103*Geometry!$K$22,0)</f>
        <v>0</v>
      </c>
      <c r="O103" s="59">
        <f>IF(C103=1,J103*Geometry!$G$23,0)+IF(C103=2,J103*Geometry!$H$23,0)+IF(C103=3,J103*Geometry!$I$23,0)+IF(C103=4,J103*Geometry!$J$23,0)+IF(C103=5,J103*Geometry!$K$23,0)</f>
        <v>0</v>
      </c>
      <c r="P103">
        <f>IF(C103=1,J103*Geometry!$G$24,0)+IF(C103=2,J103*Geometry!$H$24,0)+IF(C103=3,J103*Geometry!$I$24,0)+IF(C103=4,J103*Geometry!$J$24,0)+IF(C103=5,J103*Geometry!$K$24,0)</f>
        <v>0</v>
      </c>
    </row>
    <row r="104" spans="1:16">
      <c r="A104">
        <f t="shared" si="15"/>
        <v>98</v>
      </c>
      <c r="C104" s="7">
        <f t="shared" si="17"/>
        <v>3</v>
      </c>
      <c r="D104" s="69">
        <f>D103+Geometry!$C$15</f>
        <v>695</v>
      </c>
      <c r="E104" s="59">
        <f t="shared" si="13"/>
        <v>-380</v>
      </c>
      <c r="F104" s="4">
        <f>Geometry!$D$12*D104</f>
        <v>16.827176470588238</v>
      </c>
      <c r="G104" s="4">
        <f t="shared" si="8"/>
        <v>0</v>
      </c>
      <c r="H104" s="4">
        <f>IF(ABS(E104*E104)&lt;=Geometry!$E$10,SQRT(Geometry!$E$10-E104*E104),0)</f>
        <v>0</v>
      </c>
      <c r="I104" s="4">
        <f t="shared" si="9"/>
        <v>0</v>
      </c>
      <c r="J104" s="5">
        <f t="shared" si="16"/>
        <v>0</v>
      </c>
      <c r="K104" s="59">
        <f>IF(C104=1,J104*Geometry!$G$21,0)+IF(C104=2,J104*Geometry!$H$21,0)+IF(C104=3,J104*Geometry!$I$21,0)+IF(C104=4,J104*Geometry!$J$21,0)+IF(C104=5,J104*Geometry!$K$21,0)</f>
        <v>0</v>
      </c>
      <c r="L104" s="59">
        <f>IF(C104=1,J104*Geometry!$G$20,0)+IF(C104=2,J104*Geometry!$H$20,0)+IF(C104=3,J104*Geometry!$I$20,0)+IF(C104=4,J104*Geometry!$J$20,0)+IF(C104=5,J104*Geometry!$K$20,0)</f>
        <v>0</v>
      </c>
      <c r="M104" s="59">
        <f>IF(C104=1,J104*Geometry!$G$19,0)+IF(C104=2,J104*Geometry!$H$19,0)+IF(C104=3,J104*Geometry!$I$19,0)+IF(C104=4,J104*Geometry!$J$19,0)+IF(C104=5,J104*Geometry!$K$19,0)</f>
        <v>0</v>
      </c>
      <c r="N104" s="59">
        <f>IF(C104=1,J104*Geometry!$G$22,0)+IF(C104=2,J104*Geometry!$H$22,0)+IF(C104=3,J104*Geometry!$I$22,0)+IF(C104=4,J104*Geometry!$J$22,0)+IF(C104=5,J104*Geometry!$K$22,0)</f>
        <v>0</v>
      </c>
      <c r="O104" s="59">
        <f>IF(C104=1,J104*Geometry!$G$23,0)+IF(C104=2,J104*Geometry!$H$23,0)+IF(C104=3,J104*Geometry!$I$23,0)+IF(C104=4,J104*Geometry!$J$23,0)+IF(C104=5,J104*Geometry!$K$23,0)</f>
        <v>0</v>
      </c>
      <c r="P104">
        <f>IF(C104=1,J104*Geometry!$G$24,0)+IF(C104=2,J104*Geometry!$H$24,0)+IF(C104=3,J104*Geometry!$I$24,0)+IF(C104=4,J104*Geometry!$J$24,0)+IF(C104=5,J104*Geometry!$K$24,0)</f>
        <v>0</v>
      </c>
    </row>
    <row r="105" spans="1:16">
      <c r="A105">
        <f t="shared" si="15"/>
        <v>99</v>
      </c>
      <c r="C105" s="7">
        <f t="shared" si="17"/>
        <v>3</v>
      </c>
      <c r="D105" s="69">
        <f>D104+Geometry!$C$15</f>
        <v>700</v>
      </c>
      <c r="E105" s="59">
        <f t="shared" si="13"/>
        <v>-385</v>
      </c>
      <c r="F105" s="4">
        <f>Geometry!$D$12*D105</f>
        <v>16.948235294117648</v>
      </c>
      <c r="G105" s="4">
        <f t="shared" si="8"/>
        <v>0</v>
      </c>
      <c r="H105" s="4">
        <f>IF(ABS(E105*E105)&lt;=Geometry!$E$10,SQRT(Geometry!$E$10-E105*E105),0)</f>
        <v>0</v>
      </c>
      <c r="I105" s="4">
        <f t="shared" si="9"/>
        <v>0</v>
      </c>
      <c r="J105" s="5">
        <f t="shared" si="16"/>
        <v>0</v>
      </c>
      <c r="K105" s="59">
        <f>IF(C105=1,J105*Geometry!$G$21,0)+IF(C105=2,J105*Geometry!$H$21,0)+IF(C105=3,J105*Geometry!$I$21,0)+IF(C105=4,J105*Geometry!$J$21,0)+IF(C105=5,J105*Geometry!$K$21,0)</f>
        <v>0</v>
      </c>
      <c r="L105" s="59">
        <f>IF(C105=1,J105*Geometry!$G$20,0)+IF(C105=2,J105*Geometry!$H$20,0)+IF(C105=3,J105*Geometry!$I$20,0)+IF(C105=4,J105*Geometry!$J$20,0)+IF(C105=5,J105*Geometry!$K$20,0)</f>
        <v>0</v>
      </c>
      <c r="M105" s="59">
        <f>IF(C105=1,J105*Geometry!$G$19,0)+IF(C105=2,J105*Geometry!$H$19,0)+IF(C105=3,J105*Geometry!$I$19,0)+IF(C105=4,J105*Geometry!$J$19,0)+IF(C105=5,J105*Geometry!$K$19,0)</f>
        <v>0</v>
      </c>
      <c r="N105" s="59">
        <f>IF(C105=1,J105*Geometry!$G$22,0)+IF(C105=2,J105*Geometry!$H$22,0)+IF(C105=3,J105*Geometry!$I$22,0)+IF(C105=4,J105*Geometry!$J$22,0)+IF(C105=5,J105*Geometry!$K$22,0)</f>
        <v>0</v>
      </c>
      <c r="O105" s="59">
        <f>IF(C105=1,J105*Geometry!$G$23,0)+IF(C105=2,J105*Geometry!$H$23,0)+IF(C105=3,J105*Geometry!$I$23,0)+IF(C105=4,J105*Geometry!$J$23,0)+IF(C105=5,J105*Geometry!$K$23,0)</f>
        <v>0</v>
      </c>
      <c r="P105">
        <f>IF(C105=1,J105*Geometry!$G$24,0)+IF(C105=2,J105*Geometry!$H$24,0)+IF(C105=3,J105*Geometry!$I$24,0)+IF(C105=4,J105*Geometry!$J$24,0)+IF(C105=5,J105*Geometry!$K$24,0)</f>
        <v>0</v>
      </c>
    </row>
    <row r="106" spans="1:16">
      <c r="A106">
        <f t="shared" si="15"/>
        <v>100</v>
      </c>
      <c r="C106" s="7">
        <f t="shared" si="17"/>
        <v>3</v>
      </c>
      <c r="D106" s="69">
        <f>D105+Geometry!$C$15</f>
        <v>705</v>
      </c>
      <c r="E106" s="59">
        <f t="shared" si="13"/>
        <v>-390</v>
      </c>
      <c r="F106" s="4">
        <f>Geometry!$D$12*D106</f>
        <v>17.069294117647061</v>
      </c>
      <c r="G106" s="4">
        <f t="shared" si="8"/>
        <v>0</v>
      </c>
      <c r="H106" s="4">
        <f>IF(ABS(E106*E106)&lt;=Geometry!$E$10,SQRT(Geometry!$E$10-E106*E106),0)</f>
        <v>0</v>
      </c>
      <c r="I106" s="4">
        <f t="shared" si="9"/>
        <v>0</v>
      </c>
      <c r="J106" s="5">
        <f t="shared" si="16"/>
        <v>0</v>
      </c>
      <c r="K106" s="59">
        <f>IF(C106=1,J106*Geometry!$G$21,0)+IF(C106=2,J106*Geometry!$H$21,0)+IF(C106=3,J106*Geometry!$I$21,0)+IF(C106=4,J106*Geometry!$J$21,0)+IF(C106=5,J106*Geometry!$K$21,0)</f>
        <v>0</v>
      </c>
      <c r="L106" s="59">
        <f>IF(C106=1,J106*Geometry!$G$20,0)+IF(C106=2,J106*Geometry!$H$20,0)+IF(C106=3,J106*Geometry!$I$20,0)+IF(C106=4,J106*Geometry!$J$20,0)+IF(C106=5,J106*Geometry!$K$20,0)</f>
        <v>0</v>
      </c>
      <c r="M106" s="59">
        <f>IF(C106=1,J106*Geometry!$G$19,0)+IF(C106=2,J106*Geometry!$H$19,0)+IF(C106=3,J106*Geometry!$I$19,0)+IF(C106=4,J106*Geometry!$J$19,0)+IF(C106=5,J106*Geometry!$K$19,0)</f>
        <v>0</v>
      </c>
      <c r="N106" s="59">
        <f>IF(C106=1,J106*Geometry!$G$22,0)+IF(C106=2,J106*Geometry!$H$22,0)+IF(C106=3,J106*Geometry!$I$22,0)+IF(C106=4,J106*Geometry!$J$22,0)+IF(C106=5,J106*Geometry!$K$22,0)</f>
        <v>0</v>
      </c>
      <c r="O106" s="59">
        <f>IF(C106=1,J106*Geometry!$G$23,0)+IF(C106=2,J106*Geometry!$H$23,0)+IF(C106=3,J106*Geometry!$I$23,0)+IF(C106=4,J106*Geometry!$J$23,0)+IF(C106=5,J106*Geometry!$K$23,0)</f>
        <v>0</v>
      </c>
      <c r="P106">
        <f>IF(C106=1,J106*Geometry!$G$24,0)+IF(C106=2,J106*Geometry!$H$24,0)+IF(C106=3,J106*Geometry!$I$24,0)+IF(C106=4,J106*Geometry!$J$24,0)+IF(C106=5,J106*Geometry!$K$24,0)</f>
        <v>0</v>
      </c>
    </row>
    <row r="107" spans="1:16">
      <c r="A107">
        <f t="shared" si="15"/>
        <v>101</v>
      </c>
      <c r="C107" s="7">
        <f t="shared" si="17"/>
        <v>3</v>
      </c>
      <c r="D107" s="69">
        <f>D106+Geometry!$C$15</f>
        <v>710</v>
      </c>
      <c r="E107" s="59">
        <f t="shared" si="13"/>
        <v>-395</v>
      </c>
      <c r="F107" s="4">
        <f>Geometry!$D$12*D107</f>
        <v>17.190352941176474</v>
      </c>
      <c r="G107" s="4">
        <f t="shared" si="8"/>
        <v>0</v>
      </c>
      <c r="H107" s="4">
        <f>IF(ABS(E107*E107)&lt;=Geometry!$E$10,SQRT(Geometry!$E$10-E107*E107),0)</f>
        <v>0</v>
      </c>
      <c r="I107" s="4">
        <f t="shared" si="9"/>
        <v>0</v>
      </c>
      <c r="J107" s="5">
        <f t="shared" si="16"/>
        <v>0</v>
      </c>
      <c r="K107" s="59">
        <f>IF(C107=1,J107*Geometry!$G$21,0)+IF(C107=2,J107*Geometry!$H$21,0)+IF(C107=3,J107*Geometry!$I$21,0)+IF(C107=4,J107*Geometry!$J$21,0)+IF(C107=5,J107*Geometry!$K$21,0)</f>
        <v>0</v>
      </c>
      <c r="L107" s="59">
        <f>IF(C107=1,J107*Geometry!$G$20,0)+IF(C107=2,J107*Geometry!$H$20,0)+IF(C107=3,J107*Geometry!$I$20,0)+IF(C107=4,J107*Geometry!$J$20,0)+IF(C107=5,J107*Geometry!$K$20,0)</f>
        <v>0</v>
      </c>
      <c r="M107" s="59">
        <f>IF(C107=1,J107*Geometry!$G$19,0)+IF(C107=2,J107*Geometry!$H$19,0)+IF(C107=3,J107*Geometry!$I$19,0)+IF(C107=4,J107*Geometry!$J$19,0)+IF(C107=5,J107*Geometry!$K$19,0)</f>
        <v>0</v>
      </c>
      <c r="N107" s="59">
        <f>IF(C107=1,J107*Geometry!$G$22,0)+IF(C107=2,J107*Geometry!$H$22,0)+IF(C107=3,J107*Geometry!$I$22,0)+IF(C107=4,J107*Geometry!$J$22,0)+IF(C107=5,J107*Geometry!$K$22,0)</f>
        <v>0</v>
      </c>
      <c r="O107" s="59">
        <f>IF(C107=1,J107*Geometry!$G$23,0)+IF(C107=2,J107*Geometry!$H$23,0)+IF(C107=3,J107*Geometry!$I$23,0)+IF(C107=4,J107*Geometry!$J$23,0)+IF(C107=5,J107*Geometry!$K$23,0)</f>
        <v>0</v>
      </c>
      <c r="P107">
        <f>IF(C107=1,J107*Geometry!$G$24,0)+IF(C107=2,J107*Geometry!$H$24,0)+IF(C107=3,J107*Geometry!$I$24,0)+IF(C107=4,J107*Geometry!$J$24,0)+IF(C107=5,J107*Geometry!$K$24,0)</f>
        <v>0</v>
      </c>
    </row>
    <row r="108" spans="1:16">
      <c r="A108">
        <f t="shared" si="15"/>
        <v>102</v>
      </c>
      <c r="C108" s="7">
        <f t="shared" si="17"/>
        <v>3</v>
      </c>
      <c r="D108" s="69">
        <f>D107+Geometry!$C$15</f>
        <v>715</v>
      </c>
      <c r="E108" s="59">
        <f t="shared" si="13"/>
        <v>-400</v>
      </c>
      <c r="F108" s="4">
        <f>Geometry!$D$12*D108</f>
        <v>17.311411764705884</v>
      </c>
      <c r="G108" s="4">
        <f t="shared" si="8"/>
        <v>0</v>
      </c>
      <c r="H108" s="4">
        <f>IF(ABS(E108*E108)&lt;=Geometry!$E$10,SQRT(Geometry!$E$10-E108*E108),0)</f>
        <v>0</v>
      </c>
      <c r="I108" s="4">
        <f t="shared" si="9"/>
        <v>0</v>
      </c>
      <c r="J108" s="5">
        <f t="shared" si="16"/>
        <v>0</v>
      </c>
      <c r="K108" s="59">
        <f>IF(C108=1,J108*Geometry!$G$21,0)+IF(C108=2,J108*Geometry!$H$21,0)+IF(C108=3,J108*Geometry!$I$21,0)+IF(C108=4,J108*Geometry!$J$21,0)+IF(C108=5,J108*Geometry!$K$21,0)</f>
        <v>0</v>
      </c>
      <c r="L108" s="59">
        <f>IF(C108=1,J108*Geometry!$G$20,0)+IF(C108=2,J108*Geometry!$H$20,0)+IF(C108=3,J108*Geometry!$I$20,0)+IF(C108=4,J108*Geometry!$J$20,0)+IF(C108=5,J108*Geometry!$K$20,0)</f>
        <v>0</v>
      </c>
      <c r="M108" s="59">
        <f>IF(C108=1,J108*Geometry!$G$19,0)+IF(C108=2,J108*Geometry!$H$19,0)+IF(C108=3,J108*Geometry!$I$19,0)+IF(C108=4,J108*Geometry!$J$19,0)+IF(C108=5,J108*Geometry!$K$19,0)</f>
        <v>0</v>
      </c>
      <c r="N108" s="59">
        <f>IF(C108=1,J108*Geometry!$G$22,0)+IF(C108=2,J108*Geometry!$H$22,0)+IF(C108=3,J108*Geometry!$I$22,0)+IF(C108=4,J108*Geometry!$J$22,0)+IF(C108=5,J108*Geometry!$K$22,0)</f>
        <v>0</v>
      </c>
      <c r="O108" s="59">
        <f>IF(C108=1,J108*Geometry!$G$23,0)+IF(C108=2,J108*Geometry!$H$23,0)+IF(C108=3,J108*Geometry!$I$23,0)+IF(C108=4,J108*Geometry!$J$23,0)+IF(C108=5,J108*Geometry!$K$23,0)</f>
        <v>0</v>
      </c>
      <c r="P108">
        <f>IF(C108=1,J108*Geometry!$G$24,0)+IF(C108=2,J108*Geometry!$H$24,0)+IF(C108=3,J108*Geometry!$I$24,0)+IF(C108=4,J108*Geometry!$J$24,0)+IF(C108=5,J108*Geometry!$K$24,0)</f>
        <v>0</v>
      </c>
    </row>
    <row r="109" spans="1:16">
      <c r="A109">
        <f t="shared" si="15"/>
        <v>103</v>
      </c>
      <c r="C109" s="7">
        <f t="shared" si="17"/>
        <v>3</v>
      </c>
      <c r="D109" s="69">
        <f>D108+Geometry!$C$15</f>
        <v>720</v>
      </c>
      <c r="E109" s="59">
        <f t="shared" si="13"/>
        <v>-405</v>
      </c>
      <c r="F109" s="4">
        <f>Geometry!$D$12*D109</f>
        <v>17.432470588235297</v>
      </c>
      <c r="G109" s="4">
        <f t="shared" si="8"/>
        <v>0</v>
      </c>
      <c r="H109" s="4">
        <f>IF(ABS(E109*E109)&lt;=Geometry!$E$10,SQRT(Geometry!$E$10-E109*E109),0)</f>
        <v>0</v>
      </c>
      <c r="I109" s="4">
        <f t="shared" si="9"/>
        <v>0</v>
      </c>
      <c r="J109" s="5">
        <f t="shared" si="16"/>
        <v>0</v>
      </c>
      <c r="K109" s="59">
        <f>IF(C109=1,J109*Geometry!$G$21,0)+IF(C109=2,J109*Geometry!$H$21,0)+IF(C109=3,J109*Geometry!$I$21,0)+IF(C109=4,J109*Geometry!$J$21,0)+IF(C109=5,J109*Geometry!$K$21,0)</f>
        <v>0</v>
      </c>
      <c r="L109" s="59">
        <f>IF(C109=1,J109*Geometry!$G$20,0)+IF(C109=2,J109*Geometry!$H$20,0)+IF(C109=3,J109*Geometry!$I$20,0)+IF(C109=4,J109*Geometry!$J$20,0)+IF(C109=5,J109*Geometry!$K$20,0)</f>
        <v>0</v>
      </c>
      <c r="M109" s="59">
        <f>IF(C109=1,J109*Geometry!$G$19,0)+IF(C109=2,J109*Geometry!$H$19,0)+IF(C109=3,J109*Geometry!$I$19,0)+IF(C109=4,J109*Geometry!$J$19,0)+IF(C109=5,J109*Geometry!$K$19,0)</f>
        <v>0</v>
      </c>
      <c r="N109" s="59">
        <f>IF(C109=1,J109*Geometry!$G$22,0)+IF(C109=2,J109*Geometry!$H$22,0)+IF(C109=3,J109*Geometry!$I$22,0)+IF(C109=4,J109*Geometry!$J$22,0)+IF(C109=5,J109*Geometry!$K$22,0)</f>
        <v>0</v>
      </c>
      <c r="O109" s="59">
        <f>IF(C109=1,J109*Geometry!$G$23,0)+IF(C109=2,J109*Geometry!$H$23,0)+IF(C109=3,J109*Geometry!$I$23,0)+IF(C109=4,J109*Geometry!$J$23,0)+IF(C109=5,J109*Geometry!$K$23,0)</f>
        <v>0</v>
      </c>
      <c r="P109">
        <f>IF(C109=1,J109*Geometry!$G$24,0)+IF(C109=2,J109*Geometry!$H$24,0)+IF(C109=3,J109*Geometry!$I$24,0)+IF(C109=4,J109*Geometry!$J$24,0)+IF(C109=5,J109*Geometry!$K$24,0)</f>
        <v>0</v>
      </c>
    </row>
    <row r="110" spans="1:16">
      <c r="A110">
        <f t="shared" si="15"/>
        <v>104</v>
      </c>
      <c r="C110" s="7">
        <f t="shared" si="17"/>
        <v>3</v>
      </c>
      <c r="D110" s="69">
        <f>D109+Geometry!$C$15</f>
        <v>725</v>
      </c>
      <c r="E110" s="59">
        <f t="shared" si="13"/>
        <v>-410</v>
      </c>
      <c r="F110" s="4">
        <f>Geometry!$D$12*D110</f>
        <v>17.553529411764707</v>
      </c>
      <c r="G110" s="4">
        <f t="shared" si="8"/>
        <v>0</v>
      </c>
      <c r="H110" s="4">
        <f>IF(ABS(E110*E110)&lt;=Geometry!$E$10,SQRT(Geometry!$E$10-E110*E110),0)</f>
        <v>0</v>
      </c>
      <c r="I110" s="4">
        <f t="shared" si="9"/>
        <v>0</v>
      </c>
      <c r="J110" s="5">
        <f t="shared" si="16"/>
        <v>0</v>
      </c>
      <c r="K110" s="59">
        <f>IF(C110=1,J110*Geometry!$G$21,0)+IF(C110=2,J110*Geometry!$H$21,0)+IF(C110=3,J110*Geometry!$I$21,0)+IF(C110=4,J110*Geometry!$J$21,0)+IF(C110=5,J110*Geometry!$K$21,0)</f>
        <v>0</v>
      </c>
      <c r="L110" s="59">
        <f>IF(C110=1,J110*Geometry!$G$20,0)+IF(C110=2,J110*Geometry!$H$20,0)+IF(C110=3,J110*Geometry!$I$20,0)+IF(C110=4,J110*Geometry!$J$20,0)+IF(C110=5,J110*Geometry!$K$20,0)</f>
        <v>0</v>
      </c>
      <c r="M110" s="59">
        <f>IF(C110=1,J110*Geometry!$G$19,0)+IF(C110=2,J110*Geometry!$H$19,0)+IF(C110=3,J110*Geometry!$I$19,0)+IF(C110=4,J110*Geometry!$J$19,0)+IF(C110=5,J110*Geometry!$K$19,0)</f>
        <v>0</v>
      </c>
      <c r="N110" s="59">
        <f>IF(C110=1,J110*Geometry!$G$22,0)+IF(C110=2,J110*Geometry!$H$22,0)+IF(C110=3,J110*Geometry!$I$22,0)+IF(C110=4,J110*Geometry!$J$22,0)+IF(C110=5,J110*Geometry!$K$22,0)</f>
        <v>0</v>
      </c>
      <c r="O110" s="59">
        <f>IF(C110=1,J110*Geometry!$G$23,0)+IF(C110=2,J110*Geometry!$H$23,0)+IF(C110=3,J110*Geometry!$I$23,0)+IF(C110=4,J110*Geometry!$J$23,0)+IF(C110=5,J110*Geometry!$K$23,0)</f>
        <v>0</v>
      </c>
      <c r="P110">
        <f>IF(C110=1,J110*Geometry!$G$24,0)+IF(C110=2,J110*Geometry!$H$24,0)+IF(C110=3,J110*Geometry!$I$24,0)+IF(C110=4,J110*Geometry!$J$24,0)+IF(C110=5,J110*Geometry!$K$24,0)</f>
        <v>0</v>
      </c>
    </row>
    <row r="111" spans="1:16">
      <c r="A111">
        <f t="shared" ref="A111:A124" si="18">A110+1</f>
        <v>105</v>
      </c>
      <c r="C111" s="7">
        <f t="shared" si="17"/>
        <v>3</v>
      </c>
      <c r="D111" s="69">
        <f>D110+Geometry!$C$15</f>
        <v>730</v>
      </c>
      <c r="E111" s="59">
        <f t="shared" si="13"/>
        <v>-415</v>
      </c>
      <c r="F111" s="4">
        <f>Geometry!$D$12*D111</f>
        <v>17.67458823529412</v>
      </c>
      <c r="G111" s="4">
        <f t="shared" si="8"/>
        <v>0</v>
      </c>
      <c r="H111" s="4">
        <f>IF(ABS(E111*E111)&lt;=Geometry!$E$10,SQRT(Geometry!$E$10-E111*E111),0)</f>
        <v>0</v>
      </c>
      <c r="I111" s="4">
        <f t="shared" si="9"/>
        <v>0</v>
      </c>
      <c r="J111" s="5">
        <f t="shared" si="16"/>
        <v>0</v>
      </c>
      <c r="K111" s="59">
        <f>IF(C111=1,J111*Geometry!$G$21,0)+IF(C111=2,J111*Geometry!$H$21,0)+IF(C111=3,J111*Geometry!$I$21,0)+IF(C111=4,J111*Geometry!$J$21,0)+IF(C111=5,J111*Geometry!$K$21,0)</f>
        <v>0</v>
      </c>
      <c r="L111" s="59">
        <f>IF(C111=1,J111*Geometry!$G$20,0)+IF(C111=2,J111*Geometry!$H$20,0)+IF(C111=3,J111*Geometry!$I$20,0)+IF(C111=4,J111*Geometry!$J$20,0)+IF(C111=5,J111*Geometry!$K$20,0)</f>
        <v>0</v>
      </c>
      <c r="M111" s="59">
        <f>IF(C111=1,J111*Geometry!$G$19,0)+IF(C111=2,J111*Geometry!$H$19,0)+IF(C111=3,J111*Geometry!$I$19,0)+IF(C111=4,J111*Geometry!$J$19,0)+IF(C111=5,J111*Geometry!$K$19,0)</f>
        <v>0</v>
      </c>
      <c r="N111" s="59">
        <f>IF(C111=1,J111*Geometry!$G$22,0)+IF(C111=2,J111*Geometry!$H$22,0)+IF(C111=3,J111*Geometry!$I$22,0)+IF(C111=4,J111*Geometry!$J$22,0)+IF(C111=5,J111*Geometry!$K$22,0)</f>
        <v>0</v>
      </c>
      <c r="O111" s="59">
        <f>IF(C111=1,J111*Geometry!$G$23,0)+IF(C111=2,J111*Geometry!$H$23,0)+IF(C111=3,J111*Geometry!$I$23,0)+IF(C111=4,J111*Geometry!$J$23,0)+IF(C111=5,J111*Geometry!$K$23,0)</f>
        <v>0</v>
      </c>
      <c r="P111">
        <f>IF(C111=1,J111*Geometry!$G$24,0)+IF(C111=2,J111*Geometry!$H$24,0)+IF(C111=3,J111*Geometry!$I$24,0)+IF(C111=4,J111*Geometry!$J$24,0)+IF(C111=5,J111*Geometry!$K$24,0)</f>
        <v>0</v>
      </c>
    </row>
    <row r="112" spans="1:16">
      <c r="A112">
        <f t="shared" si="18"/>
        <v>106</v>
      </c>
      <c r="C112" s="7">
        <f t="shared" si="17"/>
        <v>3</v>
      </c>
      <c r="D112" s="69">
        <f>D111+Geometry!$C$15</f>
        <v>735</v>
      </c>
      <c r="E112" s="59">
        <f t="shared" si="13"/>
        <v>-420</v>
      </c>
      <c r="F112" s="4">
        <f>Geometry!$D$12*D112</f>
        <v>17.795647058823533</v>
      </c>
      <c r="G112" s="4">
        <f t="shared" si="8"/>
        <v>0</v>
      </c>
      <c r="H112" s="4">
        <f>IF(ABS(E112*E112)&lt;=Geometry!$E$10,SQRT(Geometry!$E$10-E112*E112),0)</f>
        <v>0</v>
      </c>
      <c r="I112" s="4">
        <f t="shared" si="9"/>
        <v>0</v>
      </c>
      <c r="J112" s="5">
        <f t="shared" si="16"/>
        <v>0</v>
      </c>
      <c r="K112" s="59">
        <f>IF(C112=1,J112*Geometry!$G$21,0)+IF(C112=2,J112*Geometry!$H$21,0)+IF(C112=3,J112*Geometry!$I$21,0)+IF(C112=4,J112*Geometry!$J$21,0)+IF(C112=5,J112*Geometry!$K$21,0)</f>
        <v>0</v>
      </c>
      <c r="L112" s="59">
        <f>IF(C112=1,J112*Geometry!$G$20,0)+IF(C112=2,J112*Geometry!$H$20,0)+IF(C112=3,J112*Geometry!$I$20,0)+IF(C112=4,J112*Geometry!$J$20,0)+IF(C112=5,J112*Geometry!$K$20,0)</f>
        <v>0</v>
      </c>
      <c r="M112" s="59">
        <f>IF(C112=1,J112*Geometry!$G$19,0)+IF(C112=2,J112*Geometry!$H$19,0)+IF(C112=3,J112*Geometry!$I$19,0)+IF(C112=4,J112*Geometry!$J$19,0)+IF(C112=5,J112*Geometry!$K$19,0)</f>
        <v>0</v>
      </c>
      <c r="N112" s="59">
        <f>IF(C112=1,J112*Geometry!$G$22,0)+IF(C112=2,J112*Geometry!$H$22,0)+IF(C112=3,J112*Geometry!$I$22,0)+IF(C112=4,J112*Geometry!$J$22,0)+IF(C112=5,J112*Geometry!$K$22,0)</f>
        <v>0</v>
      </c>
      <c r="O112" s="59">
        <f>IF(C112=1,J112*Geometry!$G$23,0)+IF(C112=2,J112*Geometry!$H$23,0)+IF(C112=3,J112*Geometry!$I$23,0)+IF(C112=4,J112*Geometry!$J$23,0)+IF(C112=5,J112*Geometry!$K$23,0)</f>
        <v>0</v>
      </c>
      <c r="P112">
        <f>IF(C112=1,J112*Geometry!$G$24,0)+IF(C112=2,J112*Geometry!$H$24,0)+IF(C112=3,J112*Geometry!$I$24,0)+IF(C112=4,J112*Geometry!$J$24,0)+IF(C112=5,J112*Geometry!$K$24,0)</f>
        <v>0</v>
      </c>
    </row>
    <row r="113" spans="1:16">
      <c r="A113">
        <f t="shared" si="18"/>
        <v>107</v>
      </c>
      <c r="C113" s="7">
        <f t="shared" si="17"/>
        <v>3</v>
      </c>
      <c r="D113" s="69">
        <f>D112+Geometry!$C$15</f>
        <v>740</v>
      </c>
      <c r="E113" s="59">
        <f t="shared" si="13"/>
        <v>-425</v>
      </c>
      <c r="F113" s="4">
        <f>Geometry!$D$12*D113</f>
        <v>17.916705882352943</v>
      </c>
      <c r="G113" s="4">
        <f t="shared" si="8"/>
        <v>0</v>
      </c>
      <c r="H113" s="4">
        <f>IF(ABS(E113*E113)&lt;=Geometry!$E$10,SQRT(Geometry!$E$10-E113*E113),0)</f>
        <v>0</v>
      </c>
      <c r="I113" s="4">
        <f t="shared" si="9"/>
        <v>0</v>
      </c>
      <c r="J113" s="5">
        <f t="shared" si="16"/>
        <v>0</v>
      </c>
      <c r="K113" s="59">
        <f>IF(C113=1,J113*Geometry!$G$21,0)+IF(C113=2,J113*Geometry!$H$21,0)+IF(C113=3,J113*Geometry!$I$21,0)+IF(C113=4,J113*Geometry!$J$21,0)+IF(C113=5,J113*Geometry!$K$21,0)</f>
        <v>0</v>
      </c>
      <c r="L113" s="59">
        <f>IF(C113=1,J113*Geometry!$G$20,0)+IF(C113=2,J113*Geometry!$H$20,0)+IF(C113=3,J113*Geometry!$I$20,0)+IF(C113=4,J113*Geometry!$J$20,0)+IF(C113=5,J113*Geometry!$K$20,0)</f>
        <v>0</v>
      </c>
      <c r="M113" s="59">
        <f>IF(C113=1,J113*Geometry!$G$19,0)+IF(C113=2,J113*Geometry!$H$19,0)+IF(C113=3,J113*Geometry!$I$19,0)+IF(C113=4,J113*Geometry!$J$19,0)+IF(C113=5,J113*Geometry!$K$19,0)</f>
        <v>0</v>
      </c>
      <c r="N113" s="59">
        <f>IF(C113=1,J113*Geometry!$G$22,0)+IF(C113=2,J113*Geometry!$H$22,0)+IF(C113=3,J113*Geometry!$I$22,0)+IF(C113=4,J113*Geometry!$J$22,0)+IF(C113=5,J113*Geometry!$K$22,0)</f>
        <v>0</v>
      </c>
      <c r="O113" s="59">
        <f>IF(C113=1,J113*Geometry!$G$23,0)+IF(C113=2,J113*Geometry!$H$23,0)+IF(C113=3,J113*Geometry!$I$23,0)+IF(C113=4,J113*Geometry!$J$23,0)+IF(C113=5,J113*Geometry!$K$23,0)</f>
        <v>0</v>
      </c>
      <c r="P113">
        <f>IF(C113=1,J113*Geometry!$G$24,0)+IF(C113=2,J113*Geometry!$H$24,0)+IF(C113=3,J113*Geometry!$I$24,0)+IF(C113=4,J113*Geometry!$J$24,0)+IF(C113=5,J113*Geometry!$K$24,0)</f>
        <v>0</v>
      </c>
    </row>
    <row r="114" spans="1:16">
      <c r="A114">
        <f t="shared" si="18"/>
        <v>108</v>
      </c>
      <c r="C114" s="7">
        <f t="shared" si="17"/>
        <v>3</v>
      </c>
      <c r="D114" s="69">
        <f>D113+Geometry!$C$15</f>
        <v>745</v>
      </c>
      <c r="E114" s="59">
        <f t="shared" si="13"/>
        <v>-430</v>
      </c>
      <c r="F114" s="4">
        <f>Geometry!$D$12*D114</f>
        <v>18.037764705882356</v>
      </c>
      <c r="G114" s="4">
        <f t="shared" si="8"/>
        <v>0</v>
      </c>
      <c r="H114" s="4">
        <f>IF(ABS(E114*E114)&lt;=Geometry!$E$10,SQRT(Geometry!$E$10-E114*E114),0)</f>
        <v>0</v>
      </c>
      <c r="I114" s="4">
        <f t="shared" si="9"/>
        <v>0</v>
      </c>
      <c r="J114" s="5">
        <f t="shared" si="16"/>
        <v>0</v>
      </c>
      <c r="K114" s="59">
        <f>IF(C114=1,J114*Geometry!$G$21,0)+IF(C114=2,J114*Geometry!$H$21,0)+IF(C114=3,J114*Geometry!$I$21,0)+IF(C114=4,J114*Geometry!$J$21,0)+IF(C114=5,J114*Geometry!$K$21,0)</f>
        <v>0</v>
      </c>
      <c r="L114" s="59">
        <f>IF(C114=1,J114*Geometry!$G$20,0)+IF(C114=2,J114*Geometry!$H$20,0)+IF(C114=3,J114*Geometry!$I$20,0)+IF(C114=4,J114*Geometry!$J$20,0)+IF(C114=5,J114*Geometry!$K$20,0)</f>
        <v>0</v>
      </c>
      <c r="M114" s="59">
        <f>IF(C114=1,J114*Geometry!$G$19,0)+IF(C114=2,J114*Geometry!$H$19,0)+IF(C114=3,J114*Geometry!$I$19,0)+IF(C114=4,J114*Geometry!$J$19,0)+IF(C114=5,J114*Geometry!$K$19,0)</f>
        <v>0</v>
      </c>
      <c r="N114" s="59">
        <f>IF(C114=1,J114*Geometry!$G$22,0)+IF(C114=2,J114*Geometry!$H$22,0)+IF(C114=3,J114*Geometry!$I$22,0)+IF(C114=4,J114*Geometry!$J$22,0)+IF(C114=5,J114*Geometry!$K$22,0)</f>
        <v>0</v>
      </c>
      <c r="O114" s="59">
        <f>IF(C114=1,J114*Geometry!$G$23,0)+IF(C114=2,J114*Geometry!$H$23,0)+IF(C114=3,J114*Geometry!$I$23,0)+IF(C114=4,J114*Geometry!$J$23,0)+IF(C114=5,J114*Geometry!$K$23,0)</f>
        <v>0</v>
      </c>
      <c r="P114">
        <f>IF(C114=1,J114*Geometry!$G$24,0)+IF(C114=2,J114*Geometry!$H$24,0)+IF(C114=3,J114*Geometry!$I$24,0)+IF(C114=4,J114*Geometry!$J$24,0)+IF(C114=5,J114*Geometry!$K$24,0)</f>
        <v>0</v>
      </c>
    </row>
    <row r="115" spans="1:16">
      <c r="A115">
        <f t="shared" si="18"/>
        <v>109</v>
      </c>
      <c r="C115" s="7">
        <f t="shared" si="17"/>
        <v>3</v>
      </c>
      <c r="D115" s="69">
        <f>D114+Geometry!$C$15</f>
        <v>750</v>
      </c>
      <c r="E115" s="59">
        <f t="shared" si="13"/>
        <v>-435</v>
      </c>
      <c r="F115" s="4">
        <f>Geometry!$D$12*D115</f>
        <v>18.158823529411766</v>
      </c>
      <c r="G115" s="4">
        <f t="shared" si="8"/>
        <v>0</v>
      </c>
      <c r="H115" s="4">
        <f>IF(ABS(E115*E115)&lt;=Geometry!$E$10,SQRT(Geometry!$E$10-E115*E115),0)</f>
        <v>0</v>
      </c>
      <c r="I115" s="4">
        <f t="shared" si="9"/>
        <v>0</v>
      </c>
      <c r="J115" s="5">
        <f t="shared" si="16"/>
        <v>0</v>
      </c>
      <c r="K115" s="59">
        <f>IF(C115=1,J115*Geometry!$G$21,0)+IF(C115=2,J115*Geometry!$H$21,0)+IF(C115=3,J115*Geometry!$I$21,0)+IF(C115=4,J115*Geometry!$J$21,0)+IF(C115=5,J115*Geometry!$K$21,0)</f>
        <v>0</v>
      </c>
      <c r="L115" s="59">
        <f>IF(C115=1,J115*Geometry!$G$20,0)+IF(C115=2,J115*Geometry!$H$20,0)+IF(C115=3,J115*Geometry!$I$20,0)+IF(C115=4,J115*Geometry!$J$20,0)+IF(C115=5,J115*Geometry!$K$20,0)</f>
        <v>0</v>
      </c>
      <c r="M115" s="59">
        <f>IF(C115=1,J115*Geometry!$G$19,0)+IF(C115=2,J115*Geometry!$H$19,0)+IF(C115=3,J115*Geometry!$I$19,0)+IF(C115=4,J115*Geometry!$J$19,0)+IF(C115=5,J115*Geometry!$K$19,0)</f>
        <v>0</v>
      </c>
      <c r="N115" s="59">
        <f>IF(C115=1,J115*Geometry!$G$22,0)+IF(C115=2,J115*Geometry!$H$22,0)+IF(C115=3,J115*Geometry!$I$22,0)+IF(C115=4,J115*Geometry!$J$22,0)+IF(C115=5,J115*Geometry!$K$22,0)</f>
        <v>0</v>
      </c>
      <c r="O115" s="59">
        <f>IF(C115=1,J115*Geometry!$G$23,0)+IF(C115=2,J115*Geometry!$H$23,0)+IF(C115=3,J115*Geometry!$I$23,0)+IF(C115=4,J115*Geometry!$J$23,0)+IF(C115=5,J115*Geometry!$K$23,0)</f>
        <v>0</v>
      </c>
      <c r="P115">
        <f>IF(C115=1,J115*Geometry!$G$24,0)+IF(C115=2,J115*Geometry!$H$24,0)+IF(C115=3,J115*Geometry!$I$24,0)+IF(C115=4,J115*Geometry!$J$24,0)+IF(C115=5,J115*Geometry!$K$24,0)</f>
        <v>0</v>
      </c>
    </row>
    <row r="116" spans="1:16">
      <c r="A116">
        <f t="shared" si="18"/>
        <v>110</v>
      </c>
      <c r="C116" s="7">
        <f t="shared" si="17"/>
        <v>3</v>
      </c>
      <c r="D116" s="69">
        <f>D115+Geometry!$C$15</f>
        <v>755</v>
      </c>
      <c r="E116" s="59">
        <f t="shared" si="13"/>
        <v>-440</v>
      </c>
      <c r="F116" s="4">
        <f>Geometry!$D$12*D116</f>
        <v>18.279882352941179</v>
      </c>
      <c r="G116" s="4">
        <f t="shared" si="8"/>
        <v>0</v>
      </c>
      <c r="H116" s="4">
        <f>IF(ABS(E116*E116)&lt;=Geometry!$E$10,SQRT(Geometry!$E$10-E116*E116),0)</f>
        <v>0</v>
      </c>
      <c r="I116" s="4">
        <f t="shared" si="9"/>
        <v>0</v>
      </c>
      <c r="J116" s="5">
        <f t="shared" si="16"/>
        <v>0</v>
      </c>
      <c r="K116" s="59">
        <f>IF(C116=1,J116*Geometry!$G$21,0)+IF(C116=2,J116*Geometry!$H$21,0)+IF(C116=3,J116*Geometry!$I$21,0)+IF(C116=4,J116*Geometry!$J$21,0)+IF(C116=5,J116*Geometry!$K$21,0)</f>
        <v>0</v>
      </c>
      <c r="L116" s="59">
        <f>IF(C116=1,J116*Geometry!$G$20,0)+IF(C116=2,J116*Geometry!$H$20,0)+IF(C116=3,J116*Geometry!$I$20,0)+IF(C116=4,J116*Geometry!$J$20,0)+IF(C116=5,J116*Geometry!$K$20,0)</f>
        <v>0</v>
      </c>
      <c r="M116" s="59">
        <f>IF(C116=1,J116*Geometry!$G$19,0)+IF(C116=2,J116*Geometry!$H$19,0)+IF(C116=3,J116*Geometry!$I$19,0)+IF(C116=4,J116*Geometry!$J$19,0)+IF(C116=5,J116*Geometry!$K$19,0)</f>
        <v>0</v>
      </c>
      <c r="N116" s="59">
        <f>IF(C116=1,J116*Geometry!$G$22,0)+IF(C116=2,J116*Geometry!$H$22,0)+IF(C116=3,J116*Geometry!$I$22,0)+IF(C116=4,J116*Geometry!$J$22,0)+IF(C116=5,J116*Geometry!$K$22,0)</f>
        <v>0</v>
      </c>
      <c r="O116" s="59">
        <f>IF(C116=1,J116*Geometry!$G$23,0)+IF(C116=2,J116*Geometry!$H$23,0)+IF(C116=3,J116*Geometry!$I$23,0)+IF(C116=4,J116*Geometry!$J$23,0)+IF(C116=5,J116*Geometry!$K$23,0)</f>
        <v>0</v>
      </c>
      <c r="P116">
        <f>IF(C116=1,J116*Geometry!$G$24,0)+IF(C116=2,J116*Geometry!$H$24,0)+IF(C116=3,J116*Geometry!$I$24,0)+IF(C116=4,J116*Geometry!$J$24,0)+IF(C116=5,J116*Geometry!$K$24,0)</f>
        <v>0</v>
      </c>
    </row>
    <row r="117" spans="1:16">
      <c r="A117">
        <f t="shared" si="18"/>
        <v>111</v>
      </c>
      <c r="C117" s="7">
        <f t="shared" si="17"/>
        <v>3</v>
      </c>
      <c r="D117" s="69">
        <f>D116+Geometry!$C$15</f>
        <v>760</v>
      </c>
      <c r="E117" s="59">
        <f t="shared" si="13"/>
        <v>-445</v>
      </c>
      <c r="F117" s="4">
        <f>Geometry!$D$12*D117</f>
        <v>18.400941176470592</v>
      </c>
      <c r="G117" s="4">
        <f t="shared" si="8"/>
        <v>0</v>
      </c>
      <c r="H117" s="4">
        <f>IF(ABS(E117*E117)&lt;=Geometry!$E$10,SQRT(Geometry!$E$10-E117*E117),0)</f>
        <v>0</v>
      </c>
      <c r="I117" s="4">
        <f t="shared" si="9"/>
        <v>0</v>
      </c>
      <c r="J117">
        <f t="shared" ref="J117:J158" si="19">PI()*H117*H117</f>
        <v>0</v>
      </c>
      <c r="K117" s="59">
        <f>IF(C117=1,J117*Geometry!$G$21,0)+IF(C117=2,J117*Geometry!$H$21,0)+IF(C117=3,J117*Geometry!$I$21,0)+IF(C117=4,J117*Geometry!$J$21,0)+IF(C117=5,J117*Geometry!$K$21,0)</f>
        <v>0</v>
      </c>
      <c r="L117" s="59">
        <f>IF(C117=1,J117*Geometry!$G$20,0)+IF(C117=2,J117*Geometry!$H$20,0)+IF(C117=3,J117*Geometry!$I$20,0)+IF(C117=4,J117*Geometry!$J$20,0)+IF(C117=5,J117*Geometry!$K$20,0)</f>
        <v>0</v>
      </c>
      <c r="M117" s="59">
        <f>IF(C117=1,J117*Geometry!$G$19,0)+IF(C117=2,J117*Geometry!$H$19,0)+IF(C117=3,J117*Geometry!$I$19,0)+IF(C117=4,J117*Geometry!$J$19,0)+IF(C117=5,J117*Geometry!$K$19,0)</f>
        <v>0</v>
      </c>
      <c r="N117" s="59">
        <f>IF(C117=1,J117*Geometry!$G$22,0)+IF(C117=2,J117*Geometry!$H$22,0)+IF(C117=3,J117*Geometry!$I$22,0)+IF(C117=4,J117*Geometry!$J$22,0)+IF(C117=5,J117*Geometry!$K$22,0)</f>
        <v>0</v>
      </c>
      <c r="O117" s="59">
        <f>IF(C117=1,J117*Geometry!$G$23,0)+IF(C117=2,J117*Geometry!$H$23,0)+IF(C117=3,J117*Geometry!$I$23,0)+IF(C117=4,J117*Geometry!$J$23,0)+IF(C117=5,J117*Geometry!$K$23,0)</f>
        <v>0</v>
      </c>
      <c r="P117">
        <f>IF(C117=1,J117*Geometry!$G$24,0)+IF(C117=2,J117*Geometry!$H$24,0)+IF(C117=3,J117*Geometry!$I$24,0)+IF(C117=4,J117*Geometry!$J$24,0)+IF(C117=5,J117*Geometry!$K$24,0)</f>
        <v>0</v>
      </c>
    </row>
    <row r="118" spans="1:16">
      <c r="A118">
        <f t="shared" si="18"/>
        <v>112</v>
      </c>
      <c r="C118" s="7">
        <f t="shared" si="17"/>
        <v>3</v>
      </c>
      <c r="D118" s="69">
        <f>D117+Geometry!$C$15</f>
        <v>765</v>
      </c>
      <c r="E118" s="59">
        <f t="shared" si="13"/>
        <v>-450</v>
      </c>
      <c r="F118" s="4">
        <f>Geometry!$D$12*D118</f>
        <v>18.522000000000002</v>
      </c>
      <c r="G118" s="4">
        <f t="shared" si="8"/>
        <v>0</v>
      </c>
      <c r="H118" s="4">
        <f>IF(ABS(E118*E118)&lt;=Geometry!$E$10,SQRT(Geometry!$E$10-E118*E118),0)</f>
        <v>0</v>
      </c>
      <c r="I118" s="4">
        <f t="shared" si="9"/>
        <v>0</v>
      </c>
      <c r="J118">
        <f t="shared" si="19"/>
        <v>0</v>
      </c>
      <c r="K118" s="59">
        <f>IF(C118=1,J118*Geometry!$G$21,0)+IF(C118=2,J118*Geometry!$H$21,0)+IF(C118=3,J118*Geometry!$I$21,0)+IF(C118=4,J118*Geometry!$J$21,0)+IF(C118=5,J118*Geometry!$K$21,0)</f>
        <v>0</v>
      </c>
      <c r="L118" s="59">
        <f>IF(C118=1,J118*Geometry!$G$20,0)+IF(C118=2,J118*Geometry!$H$20,0)+IF(C118=3,J118*Geometry!$I$20,0)+IF(C118=4,J118*Geometry!$J$20,0)+IF(C118=5,J118*Geometry!$K$20,0)</f>
        <v>0</v>
      </c>
      <c r="M118" s="59">
        <f>IF(C118=1,J118*Geometry!$G$19,0)+IF(C118=2,J118*Geometry!$H$19,0)+IF(C118=3,J118*Geometry!$I$19,0)+IF(C118=4,J118*Geometry!$J$19,0)+IF(C118=5,J118*Geometry!$K$19,0)</f>
        <v>0</v>
      </c>
      <c r="N118" s="59">
        <f>IF(C118=1,J118*Geometry!$G$22,0)+IF(C118=2,J118*Geometry!$H$22,0)+IF(C118=3,J118*Geometry!$I$22,0)+IF(C118=4,J118*Geometry!$J$22,0)+IF(C118=5,J118*Geometry!$K$22,0)</f>
        <v>0</v>
      </c>
      <c r="O118" s="59">
        <f>IF(C118=1,J118*Geometry!$G$23,0)+IF(C118=2,J118*Geometry!$H$23,0)+IF(C118=3,J118*Geometry!$I$23,0)+IF(C118=4,J118*Geometry!$J$23,0)+IF(C118=5,J118*Geometry!$K$23,0)</f>
        <v>0</v>
      </c>
      <c r="P118">
        <f>IF(C118=1,J118*Geometry!$G$24,0)+IF(C118=2,J118*Geometry!$H$24,0)+IF(C118=3,J118*Geometry!$I$24,0)+IF(C118=4,J118*Geometry!$J$24,0)+IF(C118=5,J118*Geometry!$K$24,0)</f>
        <v>0</v>
      </c>
    </row>
    <row r="119" spans="1:16">
      <c r="A119">
        <f t="shared" si="18"/>
        <v>113</v>
      </c>
      <c r="C119" s="7">
        <f t="shared" si="17"/>
        <v>3</v>
      </c>
      <c r="D119" s="69">
        <f>D118+Geometry!$C$15</f>
        <v>770</v>
      </c>
      <c r="E119" s="59">
        <f t="shared" si="13"/>
        <v>-455</v>
      </c>
      <c r="F119" s="4">
        <f>Geometry!$D$12*D119</f>
        <v>18.643058823529415</v>
      </c>
      <c r="G119" s="4">
        <f t="shared" si="8"/>
        <v>0</v>
      </c>
      <c r="H119" s="4">
        <f>IF(ABS(E119*E119)&lt;=Geometry!$E$10,SQRT(Geometry!$E$10-E119*E119),0)</f>
        <v>0</v>
      </c>
      <c r="I119" s="4">
        <f t="shared" si="9"/>
        <v>0</v>
      </c>
      <c r="J119">
        <f t="shared" si="19"/>
        <v>0</v>
      </c>
      <c r="K119" s="59">
        <f>IF(C119=1,J119*Geometry!$G$21,0)+IF(C119=2,J119*Geometry!$H$21,0)+IF(C119=3,J119*Geometry!$I$21,0)+IF(C119=4,J119*Geometry!$J$21,0)+IF(C119=5,J119*Geometry!$K$21,0)</f>
        <v>0</v>
      </c>
      <c r="L119" s="59">
        <f>IF(C119=1,J119*Geometry!$G$20,0)+IF(C119=2,J119*Geometry!$H$20,0)+IF(C119=3,J119*Geometry!$I$20,0)+IF(C119=4,J119*Geometry!$J$20,0)+IF(C119=5,J119*Geometry!$K$20,0)</f>
        <v>0</v>
      </c>
      <c r="M119" s="59">
        <f>IF(C119=1,J119*Geometry!$G$19,0)+IF(C119=2,J119*Geometry!$H$19,0)+IF(C119=3,J119*Geometry!$I$19,0)+IF(C119=4,J119*Geometry!$J$19,0)+IF(C119=5,J119*Geometry!$K$19,0)</f>
        <v>0</v>
      </c>
      <c r="N119" s="59">
        <f>IF(C119=1,J119*Geometry!$G$22,0)+IF(C119=2,J119*Geometry!$H$22,0)+IF(C119=3,J119*Geometry!$I$22,0)+IF(C119=4,J119*Geometry!$J$22,0)+IF(C119=5,J119*Geometry!$K$22,0)</f>
        <v>0</v>
      </c>
      <c r="O119" s="59">
        <f>IF(C119=1,J119*Geometry!$G$23,0)+IF(C119=2,J119*Geometry!$H$23,0)+IF(C119=3,J119*Geometry!$I$23,0)+IF(C119=4,J119*Geometry!$J$23,0)+IF(C119=5,J119*Geometry!$K$23,0)</f>
        <v>0</v>
      </c>
      <c r="P119">
        <f>IF(C119=1,J119*Geometry!$G$24,0)+IF(C119=2,J119*Geometry!$H$24,0)+IF(C119=3,J119*Geometry!$I$24,0)+IF(C119=4,J119*Geometry!$J$24,0)+IF(C119=5,J119*Geometry!$K$24,0)</f>
        <v>0</v>
      </c>
    </row>
    <row r="120" spans="1:16">
      <c r="A120">
        <f t="shared" si="18"/>
        <v>114</v>
      </c>
      <c r="C120" s="7">
        <f t="shared" si="17"/>
        <v>3</v>
      </c>
      <c r="D120" s="69">
        <f>D119+Geometry!$C$15</f>
        <v>775</v>
      </c>
      <c r="E120" s="59">
        <f t="shared" si="13"/>
        <v>-460</v>
      </c>
      <c r="F120" s="4">
        <f>Geometry!$D$12*D120</f>
        <v>18.764117647058825</v>
      </c>
      <c r="G120" s="4">
        <f t="shared" si="8"/>
        <v>0</v>
      </c>
      <c r="H120" s="4">
        <f>IF(ABS(E120*E120)&lt;=Geometry!$E$10,SQRT(Geometry!$E$10-E120*E120),0)</f>
        <v>0</v>
      </c>
      <c r="I120" s="4">
        <f t="shared" si="9"/>
        <v>0</v>
      </c>
      <c r="J120">
        <f t="shared" si="19"/>
        <v>0</v>
      </c>
      <c r="K120" s="59">
        <f>IF(C120=1,J120*Geometry!$G$21,0)+IF(C120=2,J120*Geometry!$H$21,0)+IF(C120=3,J120*Geometry!$I$21,0)+IF(C120=4,J120*Geometry!$J$21,0)+IF(C120=5,J120*Geometry!$K$21,0)</f>
        <v>0</v>
      </c>
      <c r="L120" s="59">
        <f>IF(C120=1,J120*Geometry!$G$20,0)+IF(C120=2,J120*Geometry!$H$20,0)+IF(C120=3,J120*Geometry!$I$20,0)+IF(C120=4,J120*Geometry!$J$20,0)+IF(C120=5,J120*Geometry!$K$20,0)</f>
        <v>0</v>
      </c>
      <c r="M120" s="59">
        <f>IF(C120=1,J120*Geometry!$G$19,0)+IF(C120=2,J120*Geometry!$H$19,0)+IF(C120=3,J120*Geometry!$I$19,0)+IF(C120=4,J120*Geometry!$J$19,0)+IF(C120=5,J120*Geometry!$K$19,0)</f>
        <v>0</v>
      </c>
      <c r="N120" s="59">
        <f>IF(C120=1,J120*Geometry!$G$22,0)+IF(C120=2,J120*Geometry!$H$22,0)+IF(C120=3,J120*Geometry!$I$22,0)+IF(C120=4,J120*Geometry!$J$22,0)+IF(C120=5,J120*Geometry!$K$22,0)</f>
        <v>0</v>
      </c>
      <c r="O120" s="59">
        <f>IF(C120=1,J120*Geometry!$G$23,0)+IF(C120=2,J120*Geometry!$H$23,0)+IF(C120=3,J120*Geometry!$I$23,0)+IF(C120=4,J120*Geometry!$J$23,0)+IF(C120=5,J120*Geometry!$K$23,0)</f>
        <v>0</v>
      </c>
      <c r="P120">
        <f>IF(C120=1,J120*Geometry!$G$24,0)+IF(C120=2,J120*Geometry!$H$24,0)+IF(C120=3,J120*Geometry!$I$24,0)+IF(C120=4,J120*Geometry!$J$24,0)+IF(C120=5,J120*Geometry!$K$24,0)</f>
        <v>0</v>
      </c>
    </row>
    <row r="121" spans="1:16">
      <c r="A121">
        <f t="shared" si="18"/>
        <v>115</v>
      </c>
      <c r="C121" s="7">
        <f t="shared" si="17"/>
        <v>3</v>
      </c>
      <c r="D121" s="69">
        <f>D120+Geometry!$C$15</f>
        <v>780</v>
      </c>
      <c r="E121" s="59">
        <f t="shared" si="13"/>
        <v>-465</v>
      </c>
      <c r="F121" s="4">
        <f>Geometry!$D$12*D121</f>
        <v>18.885176470588238</v>
      </c>
      <c r="G121" s="4">
        <f t="shared" si="8"/>
        <v>0</v>
      </c>
      <c r="H121" s="4">
        <f>IF(ABS(E121*E121)&lt;=Geometry!$E$10,SQRT(Geometry!$E$10-E121*E121),0)</f>
        <v>0</v>
      </c>
      <c r="I121" s="4">
        <f t="shared" si="9"/>
        <v>0</v>
      </c>
      <c r="J121">
        <f t="shared" si="19"/>
        <v>0</v>
      </c>
      <c r="K121" s="59">
        <f>IF(C121=1,J121*Geometry!$G$21,0)+IF(C121=2,J121*Geometry!$H$21,0)+IF(C121=3,J121*Geometry!$I$21,0)+IF(C121=4,J121*Geometry!$J$21,0)+IF(C121=5,J121*Geometry!$K$21,0)</f>
        <v>0</v>
      </c>
      <c r="L121" s="59">
        <f>IF(C121=1,J121*Geometry!$G$20,0)+IF(C121=2,J121*Geometry!$H$20,0)+IF(C121=3,J121*Geometry!$I$20,0)+IF(C121=4,J121*Geometry!$J$20,0)+IF(C121=5,J121*Geometry!$K$20,0)</f>
        <v>0</v>
      </c>
      <c r="M121" s="59">
        <f>IF(C121=1,J121*Geometry!$G$19,0)+IF(C121=2,J121*Geometry!$H$19,0)+IF(C121=3,J121*Geometry!$I$19,0)+IF(C121=4,J121*Geometry!$J$19,0)+IF(C121=5,J121*Geometry!$K$19,0)</f>
        <v>0</v>
      </c>
      <c r="N121" s="59">
        <f>IF(C121=1,J121*Geometry!$G$22,0)+IF(C121=2,J121*Geometry!$H$22,0)+IF(C121=3,J121*Geometry!$I$22,0)+IF(C121=4,J121*Geometry!$J$22,0)+IF(C121=5,J121*Geometry!$K$22,0)</f>
        <v>0</v>
      </c>
      <c r="O121" s="59">
        <f>IF(C121=1,J121*Geometry!$G$23,0)+IF(C121=2,J121*Geometry!$H$23,0)+IF(C121=3,J121*Geometry!$I$23,0)+IF(C121=4,J121*Geometry!$J$23,0)+IF(C121=5,J121*Geometry!$K$23,0)</f>
        <v>0</v>
      </c>
      <c r="P121">
        <f>IF(C121=1,J121*Geometry!$G$24,0)+IF(C121=2,J121*Geometry!$H$24,0)+IF(C121=3,J121*Geometry!$I$24,0)+IF(C121=4,J121*Geometry!$J$24,0)+IF(C121=5,J121*Geometry!$K$24,0)</f>
        <v>0</v>
      </c>
    </row>
    <row r="122" spans="1:16">
      <c r="A122">
        <f t="shared" si="18"/>
        <v>116</v>
      </c>
      <c r="C122" s="7">
        <f t="shared" si="17"/>
        <v>3</v>
      </c>
      <c r="D122" s="69">
        <f>D121+Geometry!$C$15</f>
        <v>785</v>
      </c>
      <c r="E122" s="59">
        <f t="shared" si="13"/>
        <v>-470</v>
      </c>
      <c r="F122" s="4">
        <f>Geometry!$D$12*D122</f>
        <v>19.006235294117651</v>
      </c>
      <c r="G122" s="4">
        <f t="shared" si="8"/>
        <v>0</v>
      </c>
      <c r="H122" s="4">
        <f>IF(ABS(E122*E122)&lt;=Geometry!$E$10,SQRT(Geometry!$E$10-E122*E122),0)</f>
        <v>0</v>
      </c>
      <c r="I122" s="4">
        <f t="shared" si="9"/>
        <v>0</v>
      </c>
      <c r="J122">
        <f t="shared" si="19"/>
        <v>0</v>
      </c>
      <c r="K122" s="59">
        <f>IF(C122=1,J122*Geometry!$G$21,0)+IF(C122=2,J122*Geometry!$H$21,0)+IF(C122=3,J122*Geometry!$I$21,0)+IF(C122=4,J122*Geometry!$J$21,0)+IF(C122=5,J122*Geometry!$K$21,0)</f>
        <v>0</v>
      </c>
      <c r="L122" s="59">
        <f>IF(C122=1,J122*Geometry!$G$20,0)+IF(C122=2,J122*Geometry!$H$20,0)+IF(C122=3,J122*Geometry!$I$20,0)+IF(C122=4,J122*Geometry!$J$20,0)+IF(C122=5,J122*Geometry!$K$20,0)</f>
        <v>0</v>
      </c>
      <c r="M122" s="59">
        <f>IF(C122=1,J122*Geometry!$G$19,0)+IF(C122=2,J122*Geometry!$H$19,0)+IF(C122=3,J122*Geometry!$I$19,0)+IF(C122=4,J122*Geometry!$J$19,0)+IF(C122=5,J122*Geometry!$K$19,0)</f>
        <v>0</v>
      </c>
      <c r="N122" s="59">
        <f>IF(C122=1,J122*Geometry!$G$22,0)+IF(C122=2,J122*Geometry!$H$22,0)+IF(C122=3,J122*Geometry!$I$22,0)+IF(C122=4,J122*Geometry!$J$22,0)+IF(C122=5,J122*Geometry!$K$22,0)</f>
        <v>0</v>
      </c>
      <c r="O122" s="59">
        <f>IF(C122=1,J122*Geometry!$G$23,0)+IF(C122=2,J122*Geometry!$H$23,0)+IF(C122=3,J122*Geometry!$I$23,0)+IF(C122=4,J122*Geometry!$J$23,0)+IF(C122=5,J122*Geometry!$K$23,0)</f>
        <v>0</v>
      </c>
      <c r="P122">
        <f>IF(C122=1,J122*Geometry!$G$24,0)+IF(C122=2,J122*Geometry!$H$24,0)+IF(C122=3,J122*Geometry!$I$24,0)+IF(C122=4,J122*Geometry!$J$24,0)+IF(C122=5,J122*Geometry!$K$24,0)</f>
        <v>0</v>
      </c>
    </row>
    <row r="123" spans="1:16">
      <c r="A123">
        <f t="shared" si="18"/>
        <v>117</v>
      </c>
      <c r="C123" s="7">
        <f t="shared" si="17"/>
        <v>3</v>
      </c>
      <c r="D123" s="69">
        <f>D122+Geometry!$C$15</f>
        <v>790</v>
      </c>
      <c r="E123" s="59">
        <f t="shared" si="13"/>
        <v>-475</v>
      </c>
      <c r="F123" s="4">
        <f>Geometry!$D$12*D123</f>
        <v>19.127294117647061</v>
      </c>
      <c r="G123" s="4">
        <f t="shared" si="8"/>
        <v>0</v>
      </c>
      <c r="H123" s="4">
        <f>IF(ABS(E123*E123)&lt;=Geometry!$E$10,SQRT(Geometry!$E$10-E123*E123),0)</f>
        <v>0</v>
      </c>
      <c r="I123" s="4">
        <f t="shared" si="9"/>
        <v>0</v>
      </c>
      <c r="J123">
        <f t="shared" si="19"/>
        <v>0</v>
      </c>
      <c r="K123" s="59">
        <f>IF(C123=1,J123*Geometry!$G$21,0)+IF(C123=2,J123*Geometry!$H$21,0)+IF(C123=3,J123*Geometry!$I$21,0)+IF(C123=4,J123*Geometry!$J$21,0)+IF(C123=5,J123*Geometry!$K$21,0)</f>
        <v>0</v>
      </c>
      <c r="L123" s="59">
        <f>IF(C123=1,J123*Geometry!$G$20,0)+IF(C123=2,J123*Geometry!$H$20,0)+IF(C123=3,J123*Geometry!$I$20,0)+IF(C123=4,J123*Geometry!$J$20,0)+IF(C123=5,J123*Geometry!$K$20,0)</f>
        <v>0</v>
      </c>
      <c r="M123" s="59">
        <f>IF(C123=1,J123*Geometry!$G$19,0)+IF(C123=2,J123*Geometry!$H$19,0)+IF(C123=3,J123*Geometry!$I$19,0)+IF(C123=4,J123*Geometry!$J$19,0)+IF(C123=5,J123*Geometry!$K$19,0)</f>
        <v>0</v>
      </c>
      <c r="N123" s="59">
        <f>IF(C123=1,J123*Geometry!$G$22,0)+IF(C123=2,J123*Geometry!$H$22,0)+IF(C123=3,J123*Geometry!$I$22,0)+IF(C123=4,J123*Geometry!$J$22,0)+IF(C123=5,J123*Geometry!$K$22,0)</f>
        <v>0</v>
      </c>
      <c r="O123" s="59">
        <f>IF(C123=1,J123*Geometry!$G$23,0)+IF(C123=2,J123*Geometry!$H$23,0)+IF(C123=3,J123*Geometry!$I$23,0)+IF(C123=4,J123*Geometry!$J$23,0)+IF(C123=5,J123*Geometry!$K$23,0)</f>
        <v>0</v>
      </c>
      <c r="P123">
        <f>IF(C123=1,J123*Geometry!$G$24,0)+IF(C123=2,J123*Geometry!$H$24,0)+IF(C123=3,J123*Geometry!$I$24,0)+IF(C123=4,J123*Geometry!$J$24,0)+IF(C123=5,J123*Geometry!$K$24,0)</f>
        <v>0</v>
      </c>
    </row>
    <row r="124" spans="1:16">
      <c r="A124">
        <f t="shared" si="18"/>
        <v>118</v>
      </c>
      <c r="C124" s="7">
        <f t="shared" si="17"/>
        <v>3</v>
      </c>
      <c r="D124" s="69">
        <f>D123+Geometry!$C$15</f>
        <v>795</v>
      </c>
      <c r="E124" s="59">
        <f t="shared" si="13"/>
        <v>-480</v>
      </c>
      <c r="F124" s="4">
        <f>Geometry!$D$12*D124</f>
        <v>19.248352941176474</v>
      </c>
      <c r="G124" s="4">
        <f t="shared" si="8"/>
        <v>0</v>
      </c>
      <c r="H124" s="4">
        <f>IF(ABS(E124*E124)&lt;=Geometry!$E$10,SQRT(Geometry!$E$10-E124*E124),0)</f>
        <v>0</v>
      </c>
      <c r="I124" s="4">
        <f t="shared" si="9"/>
        <v>0</v>
      </c>
      <c r="J124">
        <f t="shared" si="19"/>
        <v>0</v>
      </c>
      <c r="K124" s="59">
        <f>IF(C124=1,J124*Geometry!$G$21,0)+IF(C124=2,J124*Geometry!$H$21,0)+IF(C124=3,J124*Geometry!$I$21,0)+IF(C124=4,J124*Geometry!$J$21,0)+IF(C124=5,J124*Geometry!$K$21,0)</f>
        <v>0</v>
      </c>
      <c r="L124" s="59">
        <f>IF(C124=1,J124*Geometry!$G$20,0)+IF(C124=2,J124*Geometry!$H$20,0)+IF(C124=3,J124*Geometry!$I$20,0)+IF(C124=4,J124*Geometry!$J$20,0)+IF(C124=5,J124*Geometry!$K$20,0)</f>
        <v>0</v>
      </c>
      <c r="M124" s="59">
        <f>IF(C124=1,J124*Geometry!$G$19,0)+IF(C124=2,J124*Geometry!$H$19,0)+IF(C124=3,J124*Geometry!$I$19,0)+IF(C124=4,J124*Geometry!$J$19,0)+IF(C124=5,J124*Geometry!$K$19,0)</f>
        <v>0</v>
      </c>
      <c r="N124" s="59">
        <f>IF(C124=1,J124*Geometry!$G$22,0)+IF(C124=2,J124*Geometry!$H$22,0)+IF(C124=3,J124*Geometry!$I$22,0)+IF(C124=4,J124*Geometry!$J$22,0)+IF(C124=5,J124*Geometry!$K$22,0)</f>
        <v>0</v>
      </c>
      <c r="O124" s="59">
        <f>IF(C124=1,J124*Geometry!$G$23,0)+IF(C124=2,J124*Geometry!$H$23,0)+IF(C124=3,J124*Geometry!$I$23,0)+IF(C124=4,J124*Geometry!$J$23,0)+IF(C124=5,J124*Geometry!$K$23,0)</f>
        <v>0</v>
      </c>
      <c r="P124">
        <f>IF(C124=1,J124*Geometry!$G$24,0)+IF(C124=2,J124*Geometry!$H$24,0)+IF(C124=3,J124*Geometry!$I$24,0)+IF(C124=4,J124*Geometry!$J$24,0)+IF(C124=5,J124*Geometry!$K$24,0)</f>
        <v>0</v>
      </c>
    </row>
    <row r="125" spans="1:16">
      <c r="A125">
        <f t="shared" ref="A125:A133" si="20">A124+1</f>
        <v>119</v>
      </c>
      <c r="C125" s="7">
        <f t="shared" si="17"/>
        <v>3</v>
      </c>
      <c r="D125" s="69">
        <f>D124+Geometry!$C$15</f>
        <v>800</v>
      </c>
      <c r="E125" s="59">
        <f t="shared" si="13"/>
        <v>-485</v>
      </c>
      <c r="F125" s="4">
        <f>Geometry!$D$12*D125</f>
        <v>19.369411764705884</v>
      </c>
      <c r="G125" s="4">
        <f t="shared" si="8"/>
        <v>0</v>
      </c>
      <c r="H125" s="4">
        <f>IF(ABS(E125*E125)&lt;=Geometry!$E$10,SQRT(Geometry!$E$10-E125*E125),0)</f>
        <v>0</v>
      </c>
      <c r="I125" s="4">
        <f t="shared" si="9"/>
        <v>0</v>
      </c>
      <c r="J125">
        <f t="shared" si="19"/>
        <v>0</v>
      </c>
      <c r="K125" s="59">
        <f>IF(C125=1,J125*Geometry!$G$21,0)+IF(C125=2,J125*Geometry!$H$21,0)+IF(C125=3,J125*Geometry!$I$21,0)+IF(C125=4,J125*Geometry!$J$21,0)+IF(C125=5,J125*Geometry!$K$21,0)</f>
        <v>0</v>
      </c>
      <c r="L125" s="59">
        <f>IF(C125=1,J125*Geometry!$G$20,0)+IF(C125=2,J125*Geometry!$H$20,0)+IF(C125=3,J125*Geometry!$I$20,0)+IF(C125=4,J125*Geometry!$J$20,0)+IF(C125=5,J125*Geometry!$K$20,0)</f>
        <v>0</v>
      </c>
      <c r="M125" s="59">
        <f>IF(C125=1,J125*Geometry!$G$19,0)+IF(C125=2,J125*Geometry!$H$19,0)+IF(C125=3,J125*Geometry!$I$19,0)+IF(C125=4,J125*Geometry!$J$19,0)+IF(C125=5,J125*Geometry!$K$19,0)</f>
        <v>0</v>
      </c>
      <c r="N125" s="59">
        <f>IF(C125=1,J125*Geometry!$G$22,0)+IF(C125=2,J125*Geometry!$H$22,0)+IF(C125=3,J125*Geometry!$I$22,0)+IF(C125=4,J125*Geometry!$J$22,0)+IF(C125=5,J125*Geometry!$K$22,0)</f>
        <v>0</v>
      </c>
      <c r="O125" s="59">
        <f>IF(C125=1,J125*Geometry!$G$23,0)+IF(C125=2,J125*Geometry!$H$23,0)+IF(C125=3,J125*Geometry!$I$23,0)+IF(C125=4,J125*Geometry!$J$23,0)+IF(C125=5,J125*Geometry!$K$23,0)</f>
        <v>0</v>
      </c>
      <c r="P125">
        <f>IF(C125=1,J125*Geometry!$G$24,0)+IF(C125=2,J125*Geometry!$H$24,0)+IF(C125=3,J125*Geometry!$I$24,0)+IF(C125=4,J125*Geometry!$J$24,0)+IF(C125=5,J125*Geometry!$K$24,0)</f>
        <v>0</v>
      </c>
    </row>
    <row r="126" spans="1:16">
      <c r="A126">
        <f t="shared" si="20"/>
        <v>120</v>
      </c>
      <c r="C126" s="7">
        <f t="shared" si="17"/>
        <v>3</v>
      </c>
      <c r="D126" s="69">
        <f>D125+Geometry!$C$15</f>
        <v>805</v>
      </c>
      <c r="E126" s="59">
        <f t="shared" si="13"/>
        <v>-490</v>
      </c>
      <c r="F126" s="4">
        <f>Geometry!$D$12*D126</f>
        <v>19.490470588235297</v>
      </c>
      <c r="G126" s="4">
        <f t="shared" si="8"/>
        <v>0</v>
      </c>
      <c r="H126" s="4">
        <f>IF(ABS(E126*E126)&lt;=Geometry!$E$10,SQRT(Geometry!$E$10-E126*E126),0)</f>
        <v>0</v>
      </c>
      <c r="I126" s="4">
        <f t="shared" si="9"/>
        <v>0</v>
      </c>
      <c r="J126">
        <f t="shared" si="19"/>
        <v>0</v>
      </c>
      <c r="K126" s="59">
        <f>IF(C126=1,J126*Geometry!$G$21,0)+IF(C126=2,J126*Geometry!$H$21,0)+IF(C126=3,J126*Geometry!$I$21,0)+IF(C126=4,J126*Geometry!$J$21,0)+IF(C126=5,J126*Geometry!$K$21,0)</f>
        <v>0</v>
      </c>
      <c r="L126" s="59">
        <f>IF(C126=1,J126*Geometry!$G$20,0)+IF(C126=2,J126*Geometry!$H$20,0)+IF(C126=3,J126*Geometry!$I$20,0)+IF(C126=4,J126*Geometry!$J$20,0)+IF(C126=5,J126*Geometry!$K$20,0)</f>
        <v>0</v>
      </c>
      <c r="M126" s="59">
        <f>IF(C126=1,J126*Geometry!$G$19,0)+IF(C126=2,J126*Geometry!$H$19,0)+IF(C126=3,J126*Geometry!$I$19,0)+IF(C126=4,J126*Geometry!$J$19,0)+IF(C126=5,J126*Geometry!$K$19,0)</f>
        <v>0</v>
      </c>
      <c r="N126" s="59">
        <f>IF(C126=1,J126*Geometry!$G$22,0)+IF(C126=2,J126*Geometry!$H$22,0)+IF(C126=3,J126*Geometry!$I$22,0)+IF(C126=4,J126*Geometry!$J$22,0)+IF(C126=5,J126*Geometry!$K$22,0)</f>
        <v>0</v>
      </c>
      <c r="O126" s="59">
        <f>IF(C126=1,J126*Geometry!$G$23,0)+IF(C126=2,J126*Geometry!$H$23,0)+IF(C126=3,J126*Geometry!$I$23,0)+IF(C126=4,J126*Geometry!$J$23,0)+IF(C126=5,J126*Geometry!$K$23,0)</f>
        <v>0</v>
      </c>
      <c r="P126">
        <f>IF(C126=1,J126*Geometry!$G$24,0)+IF(C126=2,J126*Geometry!$H$24,0)+IF(C126=3,J126*Geometry!$I$24,0)+IF(C126=4,J126*Geometry!$J$24,0)+IF(C126=5,J126*Geometry!$K$24,0)</f>
        <v>0</v>
      </c>
    </row>
    <row r="127" spans="1:16">
      <c r="A127">
        <f t="shared" si="20"/>
        <v>121</v>
      </c>
      <c r="C127" s="7">
        <f t="shared" si="17"/>
        <v>3</v>
      </c>
      <c r="D127" s="69">
        <f>D126+Geometry!$C$15</f>
        <v>810</v>
      </c>
      <c r="E127" s="59">
        <f t="shared" si="13"/>
        <v>-495</v>
      </c>
      <c r="F127" s="4">
        <f>Geometry!$D$12*D127</f>
        <v>19.61152941176471</v>
      </c>
      <c r="G127" s="4">
        <f t="shared" si="8"/>
        <v>0</v>
      </c>
      <c r="H127" s="4">
        <f>IF(ABS(E127*E127)&lt;=Geometry!$E$10,SQRT(Geometry!$E$10-E127*E127),0)</f>
        <v>0</v>
      </c>
      <c r="I127" s="4">
        <f t="shared" si="9"/>
        <v>0</v>
      </c>
      <c r="J127">
        <f t="shared" si="19"/>
        <v>0</v>
      </c>
      <c r="K127" s="59">
        <f>IF(C127=1,J127*Geometry!$G$21,0)+IF(C127=2,J127*Geometry!$H$21,0)+IF(C127=3,J127*Geometry!$I$21,0)+IF(C127=4,J127*Geometry!$J$21,0)+IF(C127=5,J127*Geometry!$K$21,0)</f>
        <v>0</v>
      </c>
      <c r="L127" s="59">
        <f>IF(C127=1,J127*Geometry!$G$20,0)+IF(C127=2,J127*Geometry!$H$20,0)+IF(C127=3,J127*Geometry!$I$20,0)+IF(C127=4,J127*Geometry!$J$20,0)+IF(C127=5,J127*Geometry!$K$20,0)</f>
        <v>0</v>
      </c>
      <c r="M127" s="59">
        <f>IF(C127=1,J127*Geometry!$G$19,0)+IF(C127=2,J127*Geometry!$H$19,0)+IF(C127=3,J127*Geometry!$I$19,0)+IF(C127=4,J127*Geometry!$J$19,0)+IF(C127=5,J127*Geometry!$K$19,0)</f>
        <v>0</v>
      </c>
      <c r="N127" s="59">
        <f>IF(C127=1,J127*Geometry!$G$22,0)+IF(C127=2,J127*Geometry!$H$22,0)+IF(C127=3,J127*Geometry!$I$22,0)+IF(C127=4,J127*Geometry!$J$22,0)+IF(C127=5,J127*Geometry!$K$22,0)</f>
        <v>0</v>
      </c>
      <c r="O127" s="59">
        <f>IF(C127=1,J127*Geometry!$G$23,0)+IF(C127=2,J127*Geometry!$H$23,0)+IF(C127=3,J127*Geometry!$I$23,0)+IF(C127=4,J127*Geometry!$J$23,0)+IF(C127=5,J127*Geometry!$K$23,0)</f>
        <v>0</v>
      </c>
      <c r="P127">
        <f>IF(C127=1,J127*Geometry!$G$24,0)+IF(C127=2,J127*Geometry!$H$24,0)+IF(C127=3,J127*Geometry!$I$24,0)+IF(C127=4,J127*Geometry!$J$24,0)+IF(C127=5,J127*Geometry!$K$24,0)</f>
        <v>0</v>
      </c>
    </row>
    <row r="128" spans="1:16">
      <c r="A128">
        <f t="shared" si="20"/>
        <v>122</v>
      </c>
      <c r="C128" s="7">
        <f t="shared" si="17"/>
        <v>3</v>
      </c>
      <c r="D128" s="69">
        <f>D127+Geometry!$C$15</f>
        <v>815</v>
      </c>
      <c r="E128" s="59">
        <f t="shared" si="13"/>
        <v>-500</v>
      </c>
      <c r="F128" s="4">
        <f>Geometry!$D$12*D128</f>
        <v>19.73258823529412</v>
      </c>
      <c r="G128" s="4">
        <f t="shared" si="8"/>
        <v>0</v>
      </c>
      <c r="H128" s="4">
        <f>IF(ABS(E128*E128)&lt;=Geometry!$E$10,SQRT(Geometry!$E$10-E128*E128),0)</f>
        <v>0</v>
      </c>
      <c r="I128" s="4">
        <f t="shared" si="9"/>
        <v>0</v>
      </c>
      <c r="J128">
        <f t="shared" si="19"/>
        <v>0</v>
      </c>
      <c r="K128" s="59">
        <f>IF(C128=1,J128*Geometry!$G$21,0)+IF(C128=2,J128*Geometry!$H$21,0)+IF(C128=3,J128*Geometry!$I$21,0)+IF(C128=4,J128*Geometry!$J$21,0)+IF(C128=5,J128*Geometry!$K$21,0)</f>
        <v>0</v>
      </c>
      <c r="L128" s="59">
        <f>IF(C128=1,J128*Geometry!$G$20,0)+IF(C128=2,J128*Geometry!$H$20,0)+IF(C128=3,J128*Geometry!$I$20,0)+IF(C128=4,J128*Geometry!$J$20,0)+IF(C128=5,J128*Geometry!$K$20,0)</f>
        <v>0</v>
      </c>
      <c r="M128" s="59">
        <f>IF(C128=1,J128*Geometry!$G$19,0)+IF(C128=2,J128*Geometry!$H$19,0)+IF(C128=3,J128*Geometry!$I$19,0)+IF(C128=4,J128*Geometry!$J$19,0)+IF(C128=5,J128*Geometry!$K$19,0)</f>
        <v>0</v>
      </c>
      <c r="N128" s="59">
        <f>IF(C128=1,J128*Geometry!$G$22,0)+IF(C128=2,J128*Geometry!$H$22,0)+IF(C128=3,J128*Geometry!$I$22,0)+IF(C128=4,J128*Geometry!$J$22,0)+IF(C128=5,J128*Geometry!$K$22,0)</f>
        <v>0</v>
      </c>
      <c r="O128" s="59">
        <f>IF(C128=1,J128*Geometry!$G$23,0)+IF(C128=2,J128*Geometry!$H$23,0)+IF(C128=3,J128*Geometry!$I$23,0)+IF(C128=4,J128*Geometry!$J$23,0)+IF(C128=5,J128*Geometry!$K$23,0)</f>
        <v>0</v>
      </c>
      <c r="P128">
        <f>IF(C128=1,J128*Geometry!$G$24,0)+IF(C128=2,J128*Geometry!$H$24,0)+IF(C128=3,J128*Geometry!$I$24,0)+IF(C128=4,J128*Geometry!$J$24,0)+IF(C128=5,J128*Geometry!$K$24,0)</f>
        <v>0</v>
      </c>
    </row>
    <row r="129" spans="1:16">
      <c r="A129">
        <f t="shared" si="20"/>
        <v>123</v>
      </c>
      <c r="C129" s="7">
        <f t="shared" si="17"/>
        <v>3</v>
      </c>
      <c r="D129" s="69">
        <f>D128+Geometry!$C$15</f>
        <v>820</v>
      </c>
      <c r="E129" s="59">
        <f t="shared" si="13"/>
        <v>-505</v>
      </c>
      <c r="F129" s="4">
        <f>Geometry!$D$12*D129</f>
        <v>19.853647058823533</v>
      </c>
      <c r="G129" s="4">
        <f t="shared" si="8"/>
        <v>0</v>
      </c>
      <c r="H129" s="4">
        <f>IF(ABS(E129*E129)&lt;=Geometry!$E$10,SQRT(Geometry!$E$10-E129*E129),0)</f>
        <v>0</v>
      </c>
      <c r="I129" s="4">
        <f t="shared" si="9"/>
        <v>0</v>
      </c>
      <c r="J129">
        <f t="shared" si="19"/>
        <v>0</v>
      </c>
      <c r="K129" s="59">
        <f>IF(C129=1,J129*Geometry!$G$21,0)+IF(C129=2,J129*Geometry!$H$21,0)+IF(C129=3,J129*Geometry!$I$21,0)+IF(C129=4,J129*Geometry!$J$21,0)+IF(C129=5,J129*Geometry!$K$21,0)</f>
        <v>0</v>
      </c>
      <c r="L129" s="59">
        <f>IF(C129=1,J129*Geometry!$G$20,0)+IF(C129=2,J129*Geometry!$H$20,0)+IF(C129=3,J129*Geometry!$I$20,0)+IF(C129=4,J129*Geometry!$J$20,0)+IF(C129=5,J129*Geometry!$K$20,0)</f>
        <v>0</v>
      </c>
      <c r="M129" s="59">
        <f>IF(C129=1,J129*Geometry!$G$19,0)+IF(C129=2,J129*Geometry!$H$19,0)+IF(C129=3,J129*Geometry!$I$19,0)+IF(C129=4,J129*Geometry!$J$19,0)+IF(C129=5,J129*Geometry!$K$19,0)</f>
        <v>0</v>
      </c>
      <c r="N129" s="59">
        <f>IF(C129=1,J129*Geometry!$G$22,0)+IF(C129=2,J129*Geometry!$H$22,0)+IF(C129=3,J129*Geometry!$I$22,0)+IF(C129=4,J129*Geometry!$J$22,0)+IF(C129=5,J129*Geometry!$K$22,0)</f>
        <v>0</v>
      </c>
      <c r="O129" s="59">
        <f>IF(C129=1,J129*Geometry!$G$23,0)+IF(C129=2,J129*Geometry!$H$23,0)+IF(C129=3,J129*Geometry!$I$23,0)+IF(C129=4,J129*Geometry!$J$23,0)+IF(C129=5,J129*Geometry!$K$23,0)</f>
        <v>0</v>
      </c>
      <c r="P129">
        <f>IF(C129=1,J129*Geometry!$G$24,0)+IF(C129=2,J129*Geometry!$H$24,0)+IF(C129=3,J129*Geometry!$I$24,0)+IF(C129=4,J129*Geometry!$J$24,0)+IF(C129=5,J129*Geometry!$K$24,0)</f>
        <v>0</v>
      </c>
    </row>
    <row r="130" spans="1:16">
      <c r="A130">
        <f t="shared" si="20"/>
        <v>124</v>
      </c>
      <c r="C130" s="7">
        <f t="shared" si="17"/>
        <v>3</v>
      </c>
      <c r="D130" s="69">
        <f>D129+Geometry!$C$15</f>
        <v>825</v>
      </c>
      <c r="E130" s="59">
        <f t="shared" si="13"/>
        <v>-510</v>
      </c>
      <c r="F130" s="4">
        <f>Geometry!$D$12*D130</f>
        <v>19.974705882352943</v>
      </c>
      <c r="G130" s="4">
        <f t="shared" si="8"/>
        <v>0</v>
      </c>
      <c r="H130" s="4">
        <f>IF(ABS(E130*E130)&lt;=Geometry!$E$10,SQRT(Geometry!$E$10-E130*E130),0)</f>
        <v>0</v>
      </c>
      <c r="I130" s="4">
        <f t="shared" si="9"/>
        <v>0</v>
      </c>
      <c r="J130">
        <f t="shared" si="19"/>
        <v>0</v>
      </c>
      <c r="K130" s="59">
        <f>IF(C130=1,J130*Geometry!$G$21,0)+IF(C130=2,J130*Geometry!$H$21,0)+IF(C130=3,J130*Geometry!$I$21,0)+IF(C130=4,J130*Geometry!$J$21,0)+IF(C130=5,J130*Geometry!$K$21,0)</f>
        <v>0</v>
      </c>
      <c r="L130" s="59">
        <f>IF(C130=1,J130*Geometry!$G$20,0)+IF(C130=2,J130*Geometry!$H$20,0)+IF(C130=3,J130*Geometry!$I$20,0)+IF(C130=4,J130*Geometry!$J$20,0)+IF(C130=5,J130*Geometry!$K$20,0)</f>
        <v>0</v>
      </c>
      <c r="M130" s="59">
        <f>IF(C130=1,J130*Geometry!$G$19,0)+IF(C130=2,J130*Geometry!$H$19,0)+IF(C130=3,J130*Geometry!$I$19,0)+IF(C130=4,J130*Geometry!$J$19,0)+IF(C130=5,J130*Geometry!$K$19,0)</f>
        <v>0</v>
      </c>
      <c r="N130" s="59">
        <f>IF(C130=1,J130*Geometry!$G$22,0)+IF(C130=2,J130*Geometry!$H$22,0)+IF(C130=3,J130*Geometry!$I$22,0)+IF(C130=4,J130*Geometry!$J$22,0)+IF(C130=5,J130*Geometry!$K$22,0)</f>
        <v>0</v>
      </c>
      <c r="O130" s="59">
        <f>IF(C130=1,J130*Geometry!$G$23,0)+IF(C130=2,J130*Geometry!$H$23,0)+IF(C130=3,J130*Geometry!$I$23,0)+IF(C130=4,J130*Geometry!$J$23,0)+IF(C130=5,J130*Geometry!$K$23,0)</f>
        <v>0</v>
      </c>
      <c r="P130">
        <f>IF(C130=1,J130*Geometry!$G$24,0)+IF(C130=2,J130*Geometry!$H$24,0)+IF(C130=3,J130*Geometry!$I$24,0)+IF(C130=4,J130*Geometry!$J$24,0)+IF(C130=5,J130*Geometry!$K$24,0)</f>
        <v>0</v>
      </c>
    </row>
    <row r="131" spans="1:16">
      <c r="A131">
        <f t="shared" si="20"/>
        <v>125</v>
      </c>
      <c r="C131" s="7">
        <f t="shared" si="17"/>
        <v>3</v>
      </c>
      <c r="D131" s="69">
        <f>D130+Geometry!$C$15</f>
        <v>830</v>
      </c>
      <c r="E131" s="59">
        <f t="shared" si="13"/>
        <v>-515</v>
      </c>
      <c r="F131" s="4">
        <f>Geometry!$D$12*D131</f>
        <v>20.095764705882356</v>
      </c>
      <c r="G131" s="4">
        <f t="shared" si="8"/>
        <v>0</v>
      </c>
      <c r="H131" s="4">
        <f>IF(ABS(E131*E131)&lt;=Geometry!$E$10,SQRT(Geometry!$E$10-E131*E131),0)</f>
        <v>0</v>
      </c>
      <c r="I131" s="4">
        <f t="shared" si="9"/>
        <v>0</v>
      </c>
      <c r="J131">
        <f t="shared" si="19"/>
        <v>0</v>
      </c>
      <c r="K131" s="59">
        <f>IF(C131=1,J131*Geometry!$G$21,0)+IF(C131=2,J131*Geometry!$H$21,0)+IF(C131=3,J131*Geometry!$I$21,0)+IF(C131=4,J131*Geometry!$J$21,0)+IF(C131=5,J131*Geometry!$K$21,0)</f>
        <v>0</v>
      </c>
      <c r="L131" s="59">
        <f>IF(C131=1,J131*Geometry!$G$20,0)+IF(C131=2,J131*Geometry!$H$20,0)+IF(C131=3,J131*Geometry!$I$20,0)+IF(C131=4,J131*Geometry!$J$20,0)+IF(C131=5,J131*Geometry!$K$20,0)</f>
        <v>0</v>
      </c>
      <c r="M131" s="59">
        <f>IF(C131=1,J131*Geometry!$G$19,0)+IF(C131=2,J131*Geometry!$H$19,0)+IF(C131=3,J131*Geometry!$I$19,0)+IF(C131=4,J131*Geometry!$J$19,0)+IF(C131=5,J131*Geometry!$K$19,0)</f>
        <v>0</v>
      </c>
      <c r="N131" s="59">
        <f>IF(C131=1,J131*Geometry!$G$22,0)+IF(C131=2,J131*Geometry!$H$22,0)+IF(C131=3,J131*Geometry!$I$22,0)+IF(C131=4,J131*Geometry!$J$22,0)+IF(C131=5,J131*Geometry!$K$22,0)</f>
        <v>0</v>
      </c>
      <c r="O131" s="59">
        <f>IF(C131=1,J131*Geometry!$G$23,0)+IF(C131=2,J131*Geometry!$H$23,0)+IF(C131=3,J131*Geometry!$I$23,0)+IF(C131=4,J131*Geometry!$J$23,0)+IF(C131=5,J131*Geometry!$K$23,0)</f>
        <v>0</v>
      </c>
      <c r="P131">
        <f>IF(C131=1,J131*Geometry!$G$24,0)+IF(C131=2,J131*Geometry!$H$24,0)+IF(C131=3,J131*Geometry!$I$24,0)+IF(C131=4,J131*Geometry!$J$24,0)+IF(C131=5,J131*Geometry!$K$24,0)</f>
        <v>0</v>
      </c>
    </row>
    <row r="132" spans="1:16">
      <c r="A132">
        <f t="shared" si="20"/>
        <v>126</v>
      </c>
      <c r="C132" s="7">
        <f t="shared" si="17"/>
        <v>3</v>
      </c>
      <c r="D132" s="69">
        <f>D131+Geometry!$C$15</f>
        <v>835</v>
      </c>
      <c r="E132" s="59">
        <f t="shared" si="13"/>
        <v>-520</v>
      </c>
      <c r="F132" s="4">
        <f>Geometry!$D$12*D132</f>
        <v>20.216823529411766</v>
      </c>
      <c r="G132" s="4">
        <f t="shared" si="8"/>
        <v>0</v>
      </c>
      <c r="H132" s="4">
        <f>IF(ABS(E132*E132)&lt;=Geometry!$E$10,SQRT(Geometry!$E$10-E132*E132),0)</f>
        <v>0</v>
      </c>
      <c r="I132" s="4">
        <f t="shared" si="9"/>
        <v>0</v>
      </c>
      <c r="J132">
        <f t="shared" si="19"/>
        <v>0</v>
      </c>
      <c r="K132" s="59">
        <f>IF(C132=1,J132*Geometry!$G$21,0)+IF(C132=2,J132*Geometry!$H$21,0)+IF(C132=3,J132*Geometry!$I$21,0)+IF(C132=4,J132*Geometry!$J$21,0)+IF(C132=5,J132*Geometry!$K$21,0)</f>
        <v>0</v>
      </c>
      <c r="L132" s="59">
        <f>IF(C132=1,J132*Geometry!$G$20,0)+IF(C132=2,J132*Geometry!$H$20,0)+IF(C132=3,J132*Geometry!$I$20,0)+IF(C132=4,J132*Geometry!$J$20,0)+IF(C132=5,J132*Geometry!$K$20,0)</f>
        <v>0</v>
      </c>
      <c r="M132" s="59">
        <f>IF(C132=1,J132*Geometry!$G$19,0)+IF(C132=2,J132*Geometry!$H$19,0)+IF(C132=3,J132*Geometry!$I$19,0)+IF(C132=4,J132*Geometry!$J$19,0)+IF(C132=5,J132*Geometry!$K$19,0)</f>
        <v>0</v>
      </c>
      <c r="N132" s="59">
        <f>IF(C132=1,J132*Geometry!$G$22,0)+IF(C132=2,J132*Geometry!$H$22,0)+IF(C132=3,J132*Geometry!$I$22,0)+IF(C132=4,J132*Geometry!$J$22,0)+IF(C132=5,J132*Geometry!$K$22,0)</f>
        <v>0</v>
      </c>
      <c r="O132" s="59">
        <f>IF(C132=1,J132*Geometry!$G$23,0)+IF(C132=2,J132*Geometry!$H$23,0)+IF(C132=3,J132*Geometry!$I$23,0)+IF(C132=4,J132*Geometry!$J$23,0)+IF(C132=5,J132*Geometry!$K$23,0)</f>
        <v>0</v>
      </c>
      <c r="P132">
        <f>IF(C132=1,J132*Geometry!$G$24,0)+IF(C132=2,J132*Geometry!$H$24,0)+IF(C132=3,J132*Geometry!$I$24,0)+IF(C132=4,J132*Geometry!$J$24,0)+IF(C132=5,J132*Geometry!$K$24,0)</f>
        <v>0</v>
      </c>
    </row>
    <row r="133" spans="1:16">
      <c r="A133">
        <f t="shared" si="20"/>
        <v>127</v>
      </c>
      <c r="C133" s="7">
        <f t="shared" si="17"/>
        <v>3</v>
      </c>
      <c r="D133" s="69">
        <f>D132+Geometry!$C$15</f>
        <v>840</v>
      </c>
      <c r="E133" s="59">
        <f t="shared" si="13"/>
        <v>-525</v>
      </c>
      <c r="F133" s="4">
        <f>Geometry!$D$12*D133</f>
        <v>20.337882352941179</v>
      </c>
      <c r="G133" s="4">
        <f t="shared" si="8"/>
        <v>0</v>
      </c>
      <c r="H133" s="4">
        <f>IF(ABS(E133*E133)&lt;=Geometry!$E$10,SQRT(Geometry!$E$10-E133*E133),0)</f>
        <v>0</v>
      </c>
      <c r="I133" s="4">
        <f t="shared" si="9"/>
        <v>0</v>
      </c>
      <c r="J133">
        <f t="shared" si="19"/>
        <v>0</v>
      </c>
      <c r="K133" s="59">
        <f>IF(C133=1,J133*Geometry!$G$21,0)+IF(C133=2,J133*Geometry!$H$21,0)+IF(C133=3,J133*Geometry!$I$21,0)+IF(C133=4,J133*Geometry!$J$21,0)+IF(C133=5,J133*Geometry!$K$21,0)</f>
        <v>0</v>
      </c>
      <c r="L133" s="59">
        <f>IF(C133=1,J133*Geometry!$G$20,0)+IF(C133=2,J133*Geometry!$H$20,0)+IF(C133=3,J133*Geometry!$I$20,0)+IF(C133=4,J133*Geometry!$J$20,0)+IF(C133=5,J133*Geometry!$K$20,0)</f>
        <v>0</v>
      </c>
      <c r="M133" s="59">
        <f>IF(C133=1,J133*Geometry!$G$19,0)+IF(C133=2,J133*Geometry!$H$19,0)+IF(C133=3,J133*Geometry!$I$19,0)+IF(C133=4,J133*Geometry!$J$19,0)+IF(C133=5,J133*Geometry!$K$19,0)</f>
        <v>0</v>
      </c>
      <c r="N133" s="59">
        <f>IF(C133=1,J133*Geometry!$G$22,0)+IF(C133=2,J133*Geometry!$H$22,0)+IF(C133=3,J133*Geometry!$I$22,0)+IF(C133=4,J133*Geometry!$J$22,0)+IF(C133=5,J133*Geometry!$K$22,0)</f>
        <v>0</v>
      </c>
      <c r="O133" s="59">
        <f>IF(C133=1,J133*Geometry!$G$23,0)+IF(C133=2,J133*Geometry!$H$23,0)+IF(C133=3,J133*Geometry!$I$23,0)+IF(C133=4,J133*Geometry!$J$23,0)+IF(C133=5,J133*Geometry!$K$23,0)</f>
        <v>0</v>
      </c>
      <c r="P133">
        <f>IF(C133=1,J133*Geometry!$G$24,0)+IF(C133=2,J133*Geometry!$H$24,0)+IF(C133=3,J133*Geometry!$I$24,0)+IF(C133=4,J133*Geometry!$J$24,0)+IF(C133=5,J133*Geometry!$K$24,0)</f>
        <v>0</v>
      </c>
    </row>
    <row r="134" spans="1:16">
      <c r="A134">
        <f t="shared" ref="A134:A141" si="21">A133+1</f>
        <v>128</v>
      </c>
      <c r="C134" s="7">
        <f t="shared" si="17"/>
        <v>3</v>
      </c>
      <c r="D134" s="69">
        <f>D133+Geometry!$C$15</f>
        <v>845</v>
      </c>
      <c r="E134" s="59">
        <f t="shared" si="13"/>
        <v>-530</v>
      </c>
      <c r="F134" s="4">
        <f>Geometry!$D$12*D134</f>
        <v>20.458941176470592</v>
      </c>
      <c r="G134" s="4">
        <f t="shared" si="8"/>
        <v>0</v>
      </c>
      <c r="H134" s="4">
        <f>IF(ABS(E134*E134)&lt;=Geometry!$E$10,SQRT(Geometry!$E$10-E134*E134),0)</f>
        <v>0</v>
      </c>
      <c r="I134" s="4">
        <f t="shared" si="9"/>
        <v>0</v>
      </c>
      <c r="J134">
        <f t="shared" si="19"/>
        <v>0</v>
      </c>
      <c r="K134" s="59">
        <f>IF(C134=1,J134*Geometry!$G$21,0)+IF(C134=2,J134*Geometry!$H$21,0)+IF(C134=3,J134*Geometry!$I$21,0)+IF(C134=4,J134*Geometry!$J$21,0)+IF(C134=5,J134*Geometry!$K$21,0)</f>
        <v>0</v>
      </c>
      <c r="L134" s="59">
        <f>IF(C134=1,J134*Geometry!$G$20,0)+IF(C134=2,J134*Geometry!$H$20,0)+IF(C134=3,J134*Geometry!$I$20,0)+IF(C134=4,J134*Geometry!$J$20,0)+IF(C134=5,J134*Geometry!$K$20,0)</f>
        <v>0</v>
      </c>
      <c r="M134" s="59">
        <f>IF(C134=1,J134*Geometry!$G$19,0)+IF(C134=2,J134*Geometry!$H$19,0)+IF(C134=3,J134*Geometry!$I$19,0)+IF(C134=4,J134*Geometry!$J$19,0)+IF(C134=5,J134*Geometry!$K$19,0)</f>
        <v>0</v>
      </c>
      <c r="N134" s="59">
        <f>IF(C134=1,J134*Geometry!$G$22,0)+IF(C134=2,J134*Geometry!$H$22,0)+IF(C134=3,J134*Geometry!$I$22,0)+IF(C134=4,J134*Geometry!$J$22,0)+IF(C134=5,J134*Geometry!$K$22,0)</f>
        <v>0</v>
      </c>
      <c r="O134" s="59">
        <f>IF(C134=1,J134*Geometry!$G$23,0)+IF(C134=2,J134*Geometry!$H$23,0)+IF(C134=3,J134*Geometry!$I$23,0)+IF(C134=4,J134*Geometry!$J$23,0)+IF(C134=5,J134*Geometry!$K$23,0)</f>
        <v>0</v>
      </c>
      <c r="P134">
        <f>IF(C134=1,J134*Geometry!$G$24,0)+IF(C134=2,J134*Geometry!$H$24,0)+IF(C134=3,J134*Geometry!$I$24,0)+IF(C134=4,J134*Geometry!$J$24,0)+IF(C134=5,J134*Geometry!$K$24,0)</f>
        <v>0</v>
      </c>
    </row>
    <row r="135" spans="1:16">
      <c r="A135">
        <f t="shared" si="21"/>
        <v>129</v>
      </c>
      <c r="C135" s="7">
        <f t="shared" si="17"/>
        <v>3</v>
      </c>
      <c r="D135" s="69">
        <f>D134+Geometry!$C$15</f>
        <v>850</v>
      </c>
      <c r="E135" s="59">
        <f t="shared" si="13"/>
        <v>-535</v>
      </c>
      <c r="F135" s="4">
        <f>Geometry!$D$12*D135</f>
        <v>20.580000000000002</v>
      </c>
      <c r="G135" s="4">
        <f t="shared" ref="G135:G158" si="22">IF(H135&gt;0,F135/9.8,0)</f>
        <v>0</v>
      </c>
      <c r="H135" s="4">
        <f>IF(ABS(E135*E135)&lt;=Geometry!$E$10,SQRT(Geometry!$E$10-E135*E135),0)</f>
        <v>0</v>
      </c>
      <c r="I135" s="4">
        <f t="shared" ref="I135:I158" si="23">IF(H135&gt;0,1,0)</f>
        <v>0</v>
      </c>
      <c r="J135">
        <f t="shared" si="19"/>
        <v>0</v>
      </c>
      <c r="K135" s="59">
        <f>IF(C135=1,J135*Geometry!$G$21,0)+IF(C135=2,J135*Geometry!$H$21,0)+IF(C135=3,J135*Geometry!$I$21,0)+IF(C135=4,J135*Geometry!$J$21,0)+IF(C135=5,J135*Geometry!$K$21,0)</f>
        <v>0</v>
      </c>
      <c r="L135" s="59">
        <f>IF(C135=1,J135*Geometry!$G$20,0)+IF(C135=2,J135*Geometry!$H$20,0)+IF(C135=3,J135*Geometry!$I$20,0)+IF(C135=4,J135*Geometry!$J$20,0)+IF(C135=5,J135*Geometry!$K$20,0)</f>
        <v>0</v>
      </c>
      <c r="M135" s="59">
        <f>IF(C135=1,J135*Geometry!$G$19,0)+IF(C135=2,J135*Geometry!$H$19,0)+IF(C135=3,J135*Geometry!$I$19,0)+IF(C135=4,J135*Geometry!$J$19,0)+IF(C135=5,J135*Geometry!$K$19,0)</f>
        <v>0</v>
      </c>
      <c r="N135" s="59">
        <f>IF(C135=1,J135*Geometry!$G$22,0)+IF(C135=2,J135*Geometry!$H$22,0)+IF(C135=3,J135*Geometry!$I$22,0)+IF(C135=4,J135*Geometry!$J$22,0)+IF(C135=5,J135*Geometry!$K$22,0)</f>
        <v>0</v>
      </c>
      <c r="O135" s="59">
        <f>IF(C135=1,J135*Geometry!$G$23,0)+IF(C135=2,J135*Geometry!$H$23,0)+IF(C135=3,J135*Geometry!$I$23,0)+IF(C135=4,J135*Geometry!$J$23,0)+IF(C135=5,J135*Geometry!$K$23,0)</f>
        <v>0</v>
      </c>
      <c r="P135">
        <f>IF(C135=1,J135*Geometry!$G$24,0)+IF(C135=2,J135*Geometry!$H$24,0)+IF(C135=3,J135*Geometry!$I$24,0)+IF(C135=4,J135*Geometry!$J$24,0)+IF(C135=5,J135*Geometry!$K$24,0)</f>
        <v>0</v>
      </c>
    </row>
    <row r="136" spans="1:16">
      <c r="A136">
        <f t="shared" si="21"/>
        <v>130</v>
      </c>
      <c r="C136" s="7">
        <f t="shared" ref="C136:C166" si="24">IF(A136&gt;$C$1-$C$4,3,IF(A136&lt;2,3,IF(A136&lt;=$C$2-$C$3,1,IF(A136&gt;$C$2,1,2))))</f>
        <v>3</v>
      </c>
      <c r="D136" s="69">
        <f>D135+Geometry!$C$15</f>
        <v>855</v>
      </c>
      <c r="E136" s="59">
        <f t="shared" ref="E136:E158" si="25">E135-(D136-D135)</f>
        <v>-540</v>
      </c>
      <c r="F136" s="4">
        <f>Geometry!$D$12*D136</f>
        <v>20.701058823529415</v>
      </c>
      <c r="G136" s="4">
        <f t="shared" si="22"/>
        <v>0</v>
      </c>
      <c r="H136" s="4">
        <f>IF(ABS(E136*E136)&lt;=Geometry!$E$10,SQRT(Geometry!$E$10-E136*E136),0)</f>
        <v>0</v>
      </c>
      <c r="I136" s="4">
        <f t="shared" si="23"/>
        <v>0</v>
      </c>
      <c r="J136">
        <f t="shared" si="19"/>
        <v>0</v>
      </c>
      <c r="K136" s="59">
        <f>IF(C136=1,J136*Geometry!$G$21,0)+IF(C136=2,J136*Geometry!$H$21,0)+IF(C136=3,J136*Geometry!$I$21,0)+IF(C136=4,J136*Geometry!$J$21,0)+IF(C136=5,J136*Geometry!$K$21,0)</f>
        <v>0</v>
      </c>
      <c r="L136" s="59">
        <f>IF(C136=1,J136*Geometry!$G$20,0)+IF(C136=2,J136*Geometry!$H$20,0)+IF(C136=3,J136*Geometry!$I$20,0)+IF(C136=4,J136*Geometry!$J$20,0)+IF(C136=5,J136*Geometry!$K$20,0)</f>
        <v>0</v>
      </c>
      <c r="M136" s="59">
        <f>IF(C136=1,J136*Geometry!$G$19,0)+IF(C136=2,J136*Geometry!$H$19,0)+IF(C136=3,J136*Geometry!$I$19,0)+IF(C136=4,J136*Geometry!$J$19,0)+IF(C136=5,J136*Geometry!$K$19,0)</f>
        <v>0</v>
      </c>
      <c r="N136" s="59">
        <f>IF(C136=1,J136*Geometry!$G$22,0)+IF(C136=2,J136*Geometry!$H$22,0)+IF(C136=3,J136*Geometry!$I$22,0)+IF(C136=4,J136*Geometry!$J$22,0)+IF(C136=5,J136*Geometry!$K$22,0)</f>
        <v>0</v>
      </c>
      <c r="O136" s="59">
        <f>IF(C136=1,J136*Geometry!$G$23,0)+IF(C136=2,J136*Geometry!$H$23,0)+IF(C136=3,J136*Geometry!$I$23,0)+IF(C136=4,J136*Geometry!$J$23,0)+IF(C136=5,J136*Geometry!$K$23,0)</f>
        <v>0</v>
      </c>
      <c r="P136">
        <f>IF(C136=1,J136*Geometry!$G$24,0)+IF(C136=2,J136*Geometry!$H$24,0)+IF(C136=3,J136*Geometry!$I$24,0)+IF(C136=4,J136*Geometry!$J$24,0)+IF(C136=5,J136*Geometry!$K$24,0)</f>
        <v>0</v>
      </c>
    </row>
    <row r="137" spans="1:16">
      <c r="A137">
        <f t="shared" si="21"/>
        <v>131</v>
      </c>
      <c r="C137" s="7">
        <f t="shared" si="24"/>
        <v>3</v>
      </c>
      <c r="D137" s="69">
        <f>D136+Geometry!$C$15</f>
        <v>860</v>
      </c>
      <c r="E137" s="59">
        <f t="shared" si="25"/>
        <v>-545</v>
      </c>
      <c r="F137" s="4">
        <f>Geometry!$D$12*D137</f>
        <v>20.822117647058825</v>
      </c>
      <c r="G137" s="4">
        <f t="shared" si="22"/>
        <v>0</v>
      </c>
      <c r="H137" s="4">
        <f>IF(ABS(E137*E137)&lt;=Geometry!$E$10,SQRT(Geometry!$E$10-E137*E137),0)</f>
        <v>0</v>
      </c>
      <c r="I137" s="4">
        <f t="shared" si="23"/>
        <v>0</v>
      </c>
      <c r="J137">
        <f t="shared" si="19"/>
        <v>0</v>
      </c>
      <c r="K137" s="59">
        <f>IF(C137=1,J137*Geometry!$G$21,0)+IF(C137=2,J137*Geometry!$H$21,0)+IF(C137=3,J137*Geometry!$I$21,0)+IF(C137=4,J137*Geometry!$J$21,0)+IF(C137=5,J137*Geometry!$K$21,0)</f>
        <v>0</v>
      </c>
      <c r="L137" s="59">
        <f>IF(C137=1,J137*Geometry!$G$20,0)+IF(C137=2,J137*Geometry!$H$20,0)+IF(C137=3,J137*Geometry!$I$20,0)+IF(C137=4,J137*Geometry!$J$20,0)+IF(C137=5,J137*Geometry!$K$20,0)</f>
        <v>0</v>
      </c>
      <c r="M137" s="59">
        <f>IF(C137=1,J137*Geometry!$G$19,0)+IF(C137=2,J137*Geometry!$H$19,0)+IF(C137=3,J137*Geometry!$I$19,0)+IF(C137=4,J137*Geometry!$J$19,0)+IF(C137=5,J137*Geometry!$K$19,0)</f>
        <v>0</v>
      </c>
      <c r="N137" s="59">
        <f>IF(C137=1,J137*Geometry!$G$22,0)+IF(C137=2,J137*Geometry!$H$22,0)+IF(C137=3,J137*Geometry!$I$22,0)+IF(C137=4,J137*Geometry!$J$22,0)+IF(C137=5,J137*Geometry!$K$22,0)</f>
        <v>0</v>
      </c>
      <c r="O137" s="59">
        <f>IF(C137=1,J137*Geometry!$G$23,0)+IF(C137=2,J137*Geometry!$H$23,0)+IF(C137=3,J137*Geometry!$I$23,0)+IF(C137=4,J137*Geometry!$J$23,0)+IF(C137=5,J137*Geometry!$K$23,0)</f>
        <v>0</v>
      </c>
      <c r="P137">
        <f>IF(C137=1,J137*Geometry!$G$24,0)+IF(C137=2,J137*Geometry!$H$24,0)+IF(C137=3,J137*Geometry!$I$24,0)+IF(C137=4,J137*Geometry!$J$24,0)+IF(C137=5,J137*Geometry!$K$24,0)</f>
        <v>0</v>
      </c>
    </row>
    <row r="138" spans="1:16">
      <c r="A138">
        <f t="shared" si="21"/>
        <v>132</v>
      </c>
      <c r="C138" s="7">
        <f t="shared" si="24"/>
        <v>3</v>
      </c>
      <c r="D138" s="69">
        <f>D137+Geometry!$C$15</f>
        <v>865</v>
      </c>
      <c r="E138" s="59">
        <f t="shared" si="25"/>
        <v>-550</v>
      </c>
      <c r="F138" s="4">
        <f>Geometry!$D$12*D138</f>
        <v>20.943176470588238</v>
      </c>
      <c r="G138" s="4">
        <f t="shared" si="22"/>
        <v>0</v>
      </c>
      <c r="H138" s="4">
        <f>IF(ABS(E138*E138)&lt;=Geometry!$E$10,SQRT(Geometry!$E$10-E138*E138),0)</f>
        <v>0</v>
      </c>
      <c r="I138" s="4">
        <f t="shared" si="23"/>
        <v>0</v>
      </c>
      <c r="J138">
        <f t="shared" si="19"/>
        <v>0</v>
      </c>
      <c r="K138" s="59">
        <f>IF(C138=1,J138*Geometry!$G$21,0)+IF(C138=2,J138*Geometry!$H$21,0)+IF(C138=3,J138*Geometry!$I$21,0)+IF(C138=4,J138*Geometry!$J$21,0)+IF(C138=5,J138*Geometry!$K$21,0)</f>
        <v>0</v>
      </c>
      <c r="L138" s="59">
        <f>IF(C138=1,J138*Geometry!$G$20,0)+IF(C138=2,J138*Geometry!$H$20,0)+IF(C138=3,J138*Geometry!$I$20,0)+IF(C138=4,J138*Geometry!$J$20,0)+IF(C138=5,J138*Geometry!$K$20,0)</f>
        <v>0</v>
      </c>
      <c r="M138" s="59">
        <f>IF(C138=1,J138*Geometry!$G$19,0)+IF(C138=2,J138*Geometry!$H$19,0)+IF(C138=3,J138*Geometry!$I$19,0)+IF(C138=4,J138*Geometry!$J$19,0)+IF(C138=5,J138*Geometry!$K$19,0)</f>
        <v>0</v>
      </c>
      <c r="N138" s="59">
        <f>IF(C138=1,J138*Geometry!$G$22,0)+IF(C138=2,J138*Geometry!$H$22,0)+IF(C138=3,J138*Geometry!$I$22,0)+IF(C138=4,J138*Geometry!$J$22,0)+IF(C138=5,J138*Geometry!$K$22,0)</f>
        <v>0</v>
      </c>
      <c r="O138" s="59">
        <f>IF(C138=1,J138*Geometry!$G$23,0)+IF(C138=2,J138*Geometry!$H$23,0)+IF(C138=3,J138*Geometry!$I$23,0)+IF(C138=4,J138*Geometry!$J$23,0)+IF(C138=5,J138*Geometry!$K$23,0)</f>
        <v>0</v>
      </c>
      <c r="P138">
        <f>IF(C138=1,J138*Geometry!$G$24,0)+IF(C138=2,J138*Geometry!$H$24,0)+IF(C138=3,J138*Geometry!$I$24,0)+IF(C138=4,J138*Geometry!$J$24,0)+IF(C138=5,J138*Geometry!$K$24,0)</f>
        <v>0</v>
      </c>
    </row>
    <row r="139" spans="1:16">
      <c r="A139">
        <f t="shared" si="21"/>
        <v>133</v>
      </c>
      <c r="C139" s="7">
        <f t="shared" si="24"/>
        <v>3</v>
      </c>
      <c r="D139" s="69">
        <f>D138+Geometry!$C$15</f>
        <v>870</v>
      </c>
      <c r="E139" s="59">
        <f t="shared" si="25"/>
        <v>-555</v>
      </c>
      <c r="F139" s="4">
        <f>Geometry!$D$12*D139</f>
        <v>21.064235294117651</v>
      </c>
      <c r="G139" s="4">
        <f t="shared" si="22"/>
        <v>0</v>
      </c>
      <c r="H139" s="4">
        <f>IF(ABS(E139*E139)&lt;=Geometry!$E$10,SQRT(Geometry!$E$10-E139*E139),0)</f>
        <v>0</v>
      </c>
      <c r="I139" s="4">
        <f t="shared" si="23"/>
        <v>0</v>
      </c>
      <c r="J139">
        <f t="shared" si="19"/>
        <v>0</v>
      </c>
      <c r="K139" s="59">
        <f>IF(C139=1,J139*Geometry!$G$21,0)+IF(C139=2,J139*Geometry!$H$21,0)+IF(C139=3,J139*Geometry!$I$21,0)+IF(C139=4,J139*Geometry!$J$21,0)+IF(C139=5,J139*Geometry!$K$21,0)</f>
        <v>0</v>
      </c>
      <c r="L139" s="59">
        <f>IF(C139=1,J139*Geometry!$G$20,0)+IF(C139=2,J139*Geometry!$H$20,0)+IF(C139=3,J139*Geometry!$I$20,0)+IF(C139=4,J139*Geometry!$J$20,0)+IF(C139=5,J139*Geometry!$K$20,0)</f>
        <v>0</v>
      </c>
      <c r="M139" s="59">
        <f>IF(C139=1,J139*Geometry!$G$19,0)+IF(C139=2,J139*Geometry!$H$19,0)+IF(C139=3,J139*Geometry!$I$19,0)+IF(C139=4,J139*Geometry!$J$19,0)+IF(C139=5,J139*Geometry!$K$19,0)</f>
        <v>0</v>
      </c>
      <c r="N139" s="59">
        <f>IF(C139=1,J139*Geometry!$G$22,0)+IF(C139=2,J139*Geometry!$H$22,0)+IF(C139=3,J139*Geometry!$I$22,0)+IF(C139=4,J139*Geometry!$J$22,0)+IF(C139=5,J139*Geometry!$K$22,0)</f>
        <v>0</v>
      </c>
      <c r="O139" s="59">
        <f>IF(C139=1,J139*Geometry!$G$23,0)+IF(C139=2,J139*Geometry!$H$23,0)+IF(C139=3,J139*Geometry!$I$23,0)+IF(C139=4,J139*Geometry!$J$23,0)+IF(C139=5,J139*Geometry!$K$23,0)</f>
        <v>0</v>
      </c>
      <c r="P139">
        <f>IF(C139=1,J139*Geometry!$G$24,0)+IF(C139=2,J139*Geometry!$H$24,0)+IF(C139=3,J139*Geometry!$I$24,0)+IF(C139=4,J139*Geometry!$J$24,0)+IF(C139=5,J139*Geometry!$K$24,0)</f>
        <v>0</v>
      </c>
    </row>
    <row r="140" spans="1:16">
      <c r="A140">
        <f t="shared" si="21"/>
        <v>134</v>
      </c>
      <c r="C140" s="7">
        <f t="shared" si="24"/>
        <v>3</v>
      </c>
      <c r="D140" s="69">
        <f>D139+Geometry!$C$15</f>
        <v>875</v>
      </c>
      <c r="E140" s="59">
        <f t="shared" si="25"/>
        <v>-560</v>
      </c>
      <c r="F140" s="4">
        <f>Geometry!$D$12*D140</f>
        <v>21.185294117647061</v>
      </c>
      <c r="G140" s="4">
        <f t="shared" si="22"/>
        <v>0</v>
      </c>
      <c r="H140" s="4">
        <f>IF(ABS(E140*E140)&lt;=Geometry!$E$10,SQRT(Geometry!$E$10-E140*E140),0)</f>
        <v>0</v>
      </c>
      <c r="I140" s="4">
        <f t="shared" si="23"/>
        <v>0</v>
      </c>
      <c r="J140">
        <f t="shared" si="19"/>
        <v>0</v>
      </c>
      <c r="K140" s="59">
        <f>IF(C140=1,J140*Geometry!$G$21,0)+IF(C140=2,J140*Geometry!$H$21,0)+IF(C140=3,J140*Geometry!$I$21,0)+IF(C140=4,J140*Geometry!$J$21,0)+IF(C140=5,J140*Geometry!$K$21,0)</f>
        <v>0</v>
      </c>
      <c r="L140" s="59">
        <f>IF(C140=1,J140*Geometry!$G$20,0)+IF(C140=2,J140*Geometry!$H$20,0)+IF(C140=3,J140*Geometry!$I$20,0)+IF(C140=4,J140*Geometry!$J$20,0)+IF(C140=5,J140*Geometry!$K$20,0)</f>
        <v>0</v>
      </c>
      <c r="M140" s="59">
        <f>IF(C140=1,J140*Geometry!$G$19,0)+IF(C140=2,J140*Geometry!$H$19,0)+IF(C140=3,J140*Geometry!$I$19,0)+IF(C140=4,J140*Geometry!$J$19,0)+IF(C140=5,J140*Geometry!$K$19,0)</f>
        <v>0</v>
      </c>
      <c r="N140" s="59">
        <f>IF(C140=1,J140*Geometry!$G$22,0)+IF(C140=2,J140*Geometry!$H$22,0)+IF(C140=3,J140*Geometry!$I$22,0)+IF(C140=4,J140*Geometry!$J$22,0)+IF(C140=5,J140*Geometry!$K$22,0)</f>
        <v>0</v>
      </c>
      <c r="O140" s="59">
        <f>IF(C140=1,J140*Geometry!$G$23,0)+IF(C140=2,J140*Geometry!$H$23,0)+IF(C140=3,J140*Geometry!$I$23,0)+IF(C140=4,J140*Geometry!$J$23,0)+IF(C140=5,J140*Geometry!$K$23,0)</f>
        <v>0</v>
      </c>
      <c r="P140">
        <f>IF(C140=1,J140*Geometry!$G$24,0)+IF(C140=2,J140*Geometry!$H$24,0)+IF(C140=3,J140*Geometry!$I$24,0)+IF(C140=4,J140*Geometry!$J$24,0)+IF(C140=5,J140*Geometry!$K$24,0)</f>
        <v>0</v>
      </c>
    </row>
    <row r="141" spans="1:16">
      <c r="A141">
        <f t="shared" si="21"/>
        <v>135</v>
      </c>
      <c r="C141" s="7">
        <f t="shared" si="24"/>
        <v>3</v>
      </c>
      <c r="D141" s="69">
        <f>D140+Geometry!$C$15</f>
        <v>880</v>
      </c>
      <c r="E141" s="59">
        <f t="shared" si="25"/>
        <v>-565</v>
      </c>
      <c r="F141" s="4">
        <f>Geometry!$D$12*D141</f>
        <v>21.306352941176474</v>
      </c>
      <c r="G141" s="4">
        <f t="shared" si="22"/>
        <v>0</v>
      </c>
      <c r="H141" s="4">
        <f>IF(ABS(E141*E141)&lt;=Geometry!$E$10,SQRT(Geometry!$E$10-E141*E141),0)</f>
        <v>0</v>
      </c>
      <c r="I141" s="4">
        <f t="shared" si="23"/>
        <v>0</v>
      </c>
      <c r="J141">
        <f t="shared" si="19"/>
        <v>0</v>
      </c>
      <c r="K141" s="59">
        <f>IF(C141=1,J141*Geometry!$G$21,0)+IF(C141=2,J141*Geometry!$H$21,0)+IF(C141=3,J141*Geometry!$I$21,0)+IF(C141=4,J141*Geometry!$J$21,0)+IF(C141=5,J141*Geometry!$K$21,0)</f>
        <v>0</v>
      </c>
      <c r="L141" s="59">
        <f>IF(C141=1,J141*Geometry!$G$20,0)+IF(C141=2,J141*Geometry!$H$20,0)+IF(C141=3,J141*Geometry!$I$20,0)+IF(C141=4,J141*Geometry!$J$20,0)+IF(C141=5,J141*Geometry!$K$20,0)</f>
        <v>0</v>
      </c>
      <c r="M141" s="59">
        <f>IF(C141=1,J141*Geometry!$G$19,0)+IF(C141=2,J141*Geometry!$H$19,0)+IF(C141=3,J141*Geometry!$I$19,0)+IF(C141=4,J141*Geometry!$J$19,0)+IF(C141=5,J141*Geometry!$K$19,0)</f>
        <v>0</v>
      </c>
      <c r="N141" s="59">
        <f>IF(C141=1,J141*Geometry!$G$22,0)+IF(C141=2,J141*Geometry!$H$22,0)+IF(C141=3,J141*Geometry!$I$22,0)+IF(C141=4,J141*Geometry!$J$22,0)+IF(C141=5,J141*Geometry!$K$22,0)</f>
        <v>0</v>
      </c>
      <c r="O141" s="59">
        <f>IF(C141=1,J141*Geometry!$G$23,0)+IF(C141=2,J141*Geometry!$H$23,0)+IF(C141=3,J141*Geometry!$I$23,0)+IF(C141=4,J141*Geometry!$J$23,0)+IF(C141=5,J141*Geometry!$K$23,0)</f>
        <v>0</v>
      </c>
      <c r="P141">
        <f>IF(C141=1,J141*Geometry!$G$24,0)+IF(C141=2,J141*Geometry!$H$24,0)+IF(C141=3,J141*Geometry!$I$24,0)+IF(C141=4,J141*Geometry!$J$24,0)+IF(C141=5,J141*Geometry!$K$24,0)</f>
        <v>0</v>
      </c>
    </row>
    <row r="142" spans="1:16">
      <c r="A142">
        <f t="shared" ref="A142:A148" si="26">A141+1</f>
        <v>136</v>
      </c>
      <c r="C142" s="7">
        <f t="shared" si="24"/>
        <v>3</v>
      </c>
      <c r="D142" s="69">
        <f>D141+Geometry!$C$15</f>
        <v>885</v>
      </c>
      <c r="E142" s="59">
        <f t="shared" si="25"/>
        <v>-570</v>
      </c>
      <c r="F142" s="4">
        <f>Geometry!$D$12*D142</f>
        <v>21.427411764705884</v>
      </c>
      <c r="G142" s="4">
        <f t="shared" si="22"/>
        <v>0</v>
      </c>
      <c r="H142" s="4">
        <f>IF(ABS(E142*E142)&lt;=Geometry!$E$10,SQRT(Geometry!$E$10-E142*E142),0)</f>
        <v>0</v>
      </c>
      <c r="I142" s="4">
        <f t="shared" si="23"/>
        <v>0</v>
      </c>
      <c r="J142">
        <f t="shared" si="19"/>
        <v>0</v>
      </c>
      <c r="K142" s="59">
        <f>IF(C142=1,J142*Geometry!$G$21,0)+IF(C142=2,J142*Geometry!$H$21,0)+IF(C142=3,J142*Geometry!$I$21,0)+IF(C142=4,J142*Geometry!$J$21,0)+IF(C142=5,J142*Geometry!$K$21,0)</f>
        <v>0</v>
      </c>
      <c r="L142" s="59">
        <f>IF(C142=1,J142*Geometry!$G$20,0)+IF(C142=2,J142*Geometry!$H$20,0)+IF(C142=3,J142*Geometry!$I$20,0)+IF(C142=4,J142*Geometry!$J$20,0)+IF(C142=5,J142*Geometry!$K$20,0)</f>
        <v>0</v>
      </c>
      <c r="M142" s="59">
        <f>IF(C142=1,J142*Geometry!$G$19,0)+IF(C142=2,J142*Geometry!$H$19,0)+IF(C142=3,J142*Geometry!$I$19,0)+IF(C142=4,J142*Geometry!$J$19,0)+IF(C142=5,J142*Geometry!$K$19,0)</f>
        <v>0</v>
      </c>
      <c r="N142" s="59">
        <f>IF(C142=1,J142*Geometry!$G$22,0)+IF(C142=2,J142*Geometry!$H$22,0)+IF(C142=3,J142*Geometry!$I$22,0)+IF(C142=4,J142*Geometry!$J$22,0)+IF(C142=5,J142*Geometry!$K$22,0)</f>
        <v>0</v>
      </c>
      <c r="O142" s="59">
        <f>IF(C142=1,J142*Geometry!$G$23,0)+IF(C142=2,J142*Geometry!$H$23,0)+IF(C142=3,J142*Geometry!$I$23,0)+IF(C142=4,J142*Geometry!$J$23,0)+IF(C142=5,J142*Geometry!$K$23,0)</f>
        <v>0</v>
      </c>
      <c r="P142">
        <f>IF(C142=1,J142*Geometry!$G$24,0)+IF(C142=2,J142*Geometry!$H$24,0)+IF(C142=3,J142*Geometry!$I$24,0)+IF(C142=4,J142*Geometry!$J$24,0)+IF(C142=5,J142*Geometry!$K$24,0)</f>
        <v>0</v>
      </c>
    </row>
    <row r="143" spans="1:16">
      <c r="A143">
        <f t="shared" si="26"/>
        <v>137</v>
      </c>
      <c r="C143" s="7">
        <f t="shared" si="24"/>
        <v>3</v>
      </c>
      <c r="D143" s="69">
        <f>D142+Geometry!$C$15</f>
        <v>890</v>
      </c>
      <c r="E143" s="59">
        <f t="shared" si="25"/>
        <v>-575</v>
      </c>
      <c r="F143" s="4">
        <f>Geometry!$D$12*D143</f>
        <v>21.548470588235297</v>
      </c>
      <c r="G143" s="4">
        <f t="shared" si="22"/>
        <v>0</v>
      </c>
      <c r="H143" s="4">
        <f>IF(ABS(E143*E143)&lt;=Geometry!$E$10,SQRT(Geometry!$E$10-E143*E143),0)</f>
        <v>0</v>
      </c>
      <c r="I143" s="4">
        <f t="shared" si="23"/>
        <v>0</v>
      </c>
      <c r="J143">
        <f t="shared" si="19"/>
        <v>0</v>
      </c>
      <c r="K143" s="59">
        <f>IF(C143=1,J143*Geometry!$G$21,0)+IF(C143=2,J143*Geometry!$H$21,0)+IF(C143=3,J143*Geometry!$I$21,0)+IF(C143=4,J143*Geometry!$J$21,0)+IF(C143=5,J143*Geometry!$K$21,0)</f>
        <v>0</v>
      </c>
      <c r="L143" s="59">
        <f>IF(C143=1,J143*Geometry!$G$20,0)+IF(C143=2,J143*Geometry!$H$20,0)+IF(C143=3,J143*Geometry!$I$20,0)+IF(C143=4,J143*Geometry!$J$20,0)+IF(C143=5,J143*Geometry!$K$20,0)</f>
        <v>0</v>
      </c>
      <c r="M143" s="59">
        <f>IF(C143=1,J143*Geometry!$G$19,0)+IF(C143=2,J143*Geometry!$H$19,0)+IF(C143=3,J143*Geometry!$I$19,0)+IF(C143=4,J143*Geometry!$J$19,0)+IF(C143=5,J143*Geometry!$K$19,0)</f>
        <v>0</v>
      </c>
      <c r="N143" s="59">
        <f>IF(C143=1,J143*Geometry!$G$22,0)+IF(C143=2,J143*Geometry!$H$22,0)+IF(C143=3,J143*Geometry!$I$22,0)+IF(C143=4,J143*Geometry!$J$22,0)+IF(C143=5,J143*Geometry!$K$22,0)</f>
        <v>0</v>
      </c>
      <c r="O143" s="59">
        <f>IF(C143=1,J143*Geometry!$G$23,0)+IF(C143=2,J143*Geometry!$H$23,0)+IF(C143=3,J143*Geometry!$I$23,0)+IF(C143=4,J143*Geometry!$J$23,0)+IF(C143=5,J143*Geometry!$K$23,0)</f>
        <v>0</v>
      </c>
      <c r="P143">
        <f>IF(C143=1,J143*Geometry!$G$24,0)+IF(C143=2,J143*Geometry!$H$24,0)+IF(C143=3,J143*Geometry!$I$24,0)+IF(C143=4,J143*Geometry!$J$24,0)+IF(C143=5,J143*Geometry!$K$24,0)</f>
        <v>0</v>
      </c>
    </row>
    <row r="144" spans="1:16">
      <c r="A144">
        <f t="shared" si="26"/>
        <v>138</v>
      </c>
      <c r="C144" s="7">
        <f t="shared" si="24"/>
        <v>3</v>
      </c>
      <c r="D144" s="69">
        <f>D143+Geometry!$C$15</f>
        <v>895</v>
      </c>
      <c r="E144" s="59">
        <f t="shared" si="25"/>
        <v>-580</v>
      </c>
      <c r="F144" s="4">
        <f>Geometry!$D$12*D144</f>
        <v>21.66952941176471</v>
      </c>
      <c r="G144" s="4">
        <f t="shared" si="22"/>
        <v>0</v>
      </c>
      <c r="H144" s="4">
        <f>IF(ABS(E144*E144)&lt;=Geometry!$E$10,SQRT(Geometry!$E$10-E144*E144),0)</f>
        <v>0</v>
      </c>
      <c r="I144" s="4">
        <f t="shared" si="23"/>
        <v>0</v>
      </c>
      <c r="J144">
        <f t="shared" si="19"/>
        <v>0</v>
      </c>
      <c r="K144" s="59">
        <f>IF(C144=1,J144*Geometry!$G$21,0)+IF(C144=2,J144*Geometry!$H$21,0)+IF(C144=3,J144*Geometry!$I$21,0)+IF(C144=4,J144*Geometry!$J$21,0)+IF(C144=5,J144*Geometry!$K$21,0)</f>
        <v>0</v>
      </c>
      <c r="L144" s="59">
        <f>IF(C144=1,J144*Geometry!$G$20,0)+IF(C144=2,J144*Geometry!$H$20,0)+IF(C144=3,J144*Geometry!$I$20,0)+IF(C144=4,J144*Geometry!$J$20,0)+IF(C144=5,J144*Geometry!$K$20,0)</f>
        <v>0</v>
      </c>
      <c r="M144" s="59">
        <f>IF(C144=1,J144*Geometry!$G$19,0)+IF(C144=2,J144*Geometry!$H$19,0)+IF(C144=3,J144*Geometry!$I$19,0)+IF(C144=4,J144*Geometry!$J$19,0)+IF(C144=5,J144*Geometry!$K$19,0)</f>
        <v>0</v>
      </c>
      <c r="N144" s="59">
        <f>IF(C144=1,J144*Geometry!$G$22,0)+IF(C144=2,J144*Geometry!$H$22,0)+IF(C144=3,J144*Geometry!$I$22,0)+IF(C144=4,J144*Geometry!$J$22,0)+IF(C144=5,J144*Geometry!$K$22,0)</f>
        <v>0</v>
      </c>
      <c r="O144" s="59">
        <f>IF(C144=1,J144*Geometry!$G$23,0)+IF(C144=2,J144*Geometry!$H$23,0)+IF(C144=3,J144*Geometry!$I$23,0)+IF(C144=4,J144*Geometry!$J$23,0)+IF(C144=5,J144*Geometry!$K$23,0)</f>
        <v>0</v>
      </c>
      <c r="P144">
        <f>IF(C144=1,J144*Geometry!$G$24,0)+IF(C144=2,J144*Geometry!$H$24,0)+IF(C144=3,J144*Geometry!$I$24,0)+IF(C144=4,J144*Geometry!$J$24,0)+IF(C144=5,J144*Geometry!$K$24,0)</f>
        <v>0</v>
      </c>
    </row>
    <row r="145" spans="1:16">
      <c r="A145">
        <f t="shared" si="26"/>
        <v>139</v>
      </c>
      <c r="C145" s="7">
        <f t="shared" si="24"/>
        <v>3</v>
      </c>
      <c r="D145" s="69">
        <f>D144+Geometry!$C$15</f>
        <v>900</v>
      </c>
      <c r="E145" s="59">
        <f t="shared" si="25"/>
        <v>-585</v>
      </c>
      <c r="F145" s="4">
        <f>Geometry!$D$12*D145</f>
        <v>21.79058823529412</v>
      </c>
      <c r="G145" s="4">
        <f t="shared" si="22"/>
        <v>0</v>
      </c>
      <c r="H145" s="4">
        <f>IF(ABS(E145*E145)&lt;=Geometry!$E$10,SQRT(Geometry!$E$10-E145*E145),0)</f>
        <v>0</v>
      </c>
      <c r="I145" s="4">
        <f t="shared" si="23"/>
        <v>0</v>
      </c>
      <c r="J145">
        <f t="shared" si="19"/>
        <v>0</v>
      </c>
      <c r="K145" s="59">
        <f>IF(C145=1,J145*Geometry!$G$21,0)+IF(C145=2,J145*Geometry!$H$21,0)+IF(C145=3,J145*Geometry!$I$21,0)+IF(C145=4,J145*Geometry!$J$21,0)+IF(C145=5,J145*Geometry!$K$21,0)</f>
        <v>0</v>
      </c>
      <c r="L145" s="59">
        <f>IF(C145=1,J145*Geometry!$G$20,0)+IF(C145=2,J145*Geometry!$H$20,0)+IF(C145=3,J145*Geometry!$I$20,0)+IF(C145=4,J145*Geometry!$J$20,0)+IF(C145=5,J145*Geometry!$K$20,0)</f>
        <v>0</v>
      </c>
      <c r="M145" s="59">
        <f>IF(C145=1,J145*Geometry!$G$19,0)+IF(C145=2,J145*Geometry!$H$19,0)+IF(C145=3,J145*Geometry!$I$19,0)+IF(C145=4,J145*Geometry!$J$19,0)+IF(C145=5,J145*Geometry!$K$19,0)</f>
        <v>0</v>
      </c>
      <c r="N145" s="59">
        <f>IF(C145=1,J145*Geometry!$G$22,0)+IF(C145=2,J145*Geometry!$H$22,0)+IF(C145=3,J145*Geometry!$I$22,0)+IF(C145=4,J145*Geometry!$J$22,0)+IF(C145=5,J145*Geometry!$K$22,0)</f>
        <v>0</v>
      </c>
      <c r="O145" s="59">
        <f>IF(C145=1,J145*Geometry!$G$23,0)+IF(C145=2,J145*Geometry!$H$23,0)+IF(C145=3,J145*Geometry!$I$23,0)+IF(C145=4,J145*Geometry!$J$23,0)+IF(C145=5,J145*Geometry!$K$23,0)</f>
        <v>0</v>
      </c>
      <c r="P145">
        <f>IF(C145=1,J145*Geometry!$G$24,0)+IF(C145=2,J145*Geometry!$H$24,0)+IF(C145=3,J145*Geometry!$I$24,0)+IF(C145=4,J145*Geometry!$J$24,0)+IF(C145=5,J145*Geometry!$K$24,0)</f>
        <v>0</v>
      </c>
    </row>
    <row r="146" spans="1:16">
      <c r="A146">
        <f t="shared" si="26"/>
        <v>140</v>
      </c>
      <c r="C146" s="7">
        <f t="shared" si="24"/>
        <v>3</v>
      </c>
      <c r="D146" s="69">
        <f>D145+Geometry!$C$15</f>
        <v>905</v>
      </c>
      <c r="E146" s="59">
        <f t="shared" si="25"/>
        <v>-590</v>
      </c>
      <c r="F146" s="4">
        <f>Geometry!$D$12*D146</f>
        <v>21.911647058823533</v>
      </c>
      <c r="G146" s="4">
        <f t="shared" si="22"/>
        <v>0</v>
      </c>
      <c r="H146" s="4">
        <f>IF(ABS(E146*E146)&lt;=Geometry!$E$10,SQRT(Geometry!$E$10-E146*E146),0)</f>
        <v>0</v>
      </c>
      <c r="I146" s="4">
        <f t="shared" si="23"/>
        <v>0</v>
      </c>
      <c r="J146">
        <f t="shared" si="19"/>
        <v>0</v>
      </c>
      <c r="K146" s="59">
        <f>IF(C146=1,J146*Geometry!$G$21,0)+IF(C146=2,J146*Geometry!$H$21,0)+IF(C146=3,J146*Geometry!$I$21,0)+IF(C146=4,J146*Geometry!$J$21,0)+IF(C146=5,J146*Geometry!$K$21,0)</f>
        <v>0</v>
      </c>
      <c r="L146" s="59">
        <f>IF(C146=1,J146*Geometry!$G$20,0)+IF(C146=2,J146*Geometry!$H$20,0)+IF(C146=3,J146*Geometry!$I$20,0)+IF(C146=4,J146*Geometry!$J$20,0)+IF(C146=5,J146*Geometry!$K$20,0)</f>
        <v>0</v>
      </c>
      <c r="M146" s="59">
        <f>IF(C146=1,J146*Geometry!$G$19,0)+IF(C146=2,J146*Geometry!$H$19,0)+IF(C146=3,J146*Geometry!$I$19,0)+IF(C146=4,J146*Geometry!$J$19,0)+IF(C146=5,J146*Geometry!$K$19,0)</f>
        <v>0</v>
      </c>
      <c r="N146" s="59">
        <f>IF(C146=1,J146*Geometry!$G$22,0)+IF(C146=2,J146*Geometry!$H$22,0)+IF(C146=3,J146*Geometry!$I$22,0)+IF(C146=4,J146*Geometry!$J$22,0)+IF(C146=5,J146*Geometry!$K$22,0)</f>
        <v>0</v>
      </c>
      <c r="O146" s="59">
        <f>IF(C146=1,J146*Geometry!$G$23,0)+IF(C146=2,J146*Geometry!$H$23,0)+IF(C146=3,J146*Geometry!$I$23,0)+IF(C146=4,J146*Geometry!$J$23,0)+IF(C146=5,J146*Geometry!$K$23,0)</f>
        <v>0</v>
      </c>
      <c r="P146">
        <f>IF(C146=1,J146*Geometry!$G$24,0)+IF(C146=2,J146*Geometry!$H$24,0)+IF(C146=3,J146*Geometry!$I$24,0)+IF(C146=4,J146*Geometry!$J$24,0)+IF(C146=5,J146*Geometry!$K$24,0)</f>
        <v>0</v>
      </c>
    </row>
    <row r="147" spans="1:16">
      <c r="A147">
        <f t="shared" si="26"/>
        <v>141</v>
      </c>
      <c r="C147" s="7">
        <f t="shared" si="24"/>
        <v>3</v>
      </c>
      <c r="D147" s="69">
        <f>D146+Geometry!$C$15</f>
        <v>910</v>
      </c>
      <c r="E147" s="59">
        <f t="shared" si="25"/>
        <v>-595</v>
      </c>
      <c r="F147" s="4">
        <f>Geometry!$D$12*D147</f>
        <v>22.032705882352943</v>
      </c>
      <c r="G147" s="4">
        <f t="shared" si="22"/>
        <v>0</v>
      </c>
      <c r="H147" s="4">
        <f>IF(ABS(E147*E147)&lt;=Geometry!$E$10,SQRT(Geometry!$E$10-E147*E147),0)</f>
        <v>0</v>
      </c>
      <c r="I147" s="4">
        <f t="shared" si="23"/>
        <v>0</v>
      </c>
      <c r="J147">
        <f t="shared" si="19"/>
        <v>0</v>
      </c>
      <c r="K147" s="59">
        <f>IF(C147=1,J147*Geometry!$G$21,0)+IF(C147=2,J147*Geometry!$H$21,0)+IF(C147=3,J147*Geometry!$I$21,0)+IF(C147=4,J147*Geometry!$J$21,0)+IF(C147=5,J147*Geometry!$K$21,0)</f>
        <v>0</v>
      </c>
      <c r="L147" s="59">
        <f>IF(C147=1,J147*Geometry!$G$20,0)+IF(C147=2,J147*Geometry!$H$20,0)+IF(C147=3,J147*Geometry!$I$20,0)+IF(C147=4,J147*Geometry!$J$20,0)+IF(C147=5,J147*Geometry!$K$20,0)</f>
        <v>0</v>
      </c>
      <c r="M147" s="59">
        <f>IF(C147=1,J147*Geometry!$G$19,0)+IF(C147=2,J147*Geometry!$H$19,0)+IF(C147=3,J147*Geometry!$I$19,0)+IF(C147=4,J147*Geometry!$J$19,0)+IF(C147=5,J147*Geometry!$K$19,0)</f>
        <v>0</v>
      </c>
      <c r="N147" s="59">
        <f>IF(C147=1,J147*Geometry!$G$22,0)+IF(C147=2,J147*Geometry!$H$22,0)+IF(C147=3,J147*Geometry!$I$22,0)+IF(C147=4,J147*Geometry!$J$22,0)+IF(C147=5,J147*Geometry!$K$22,0)</f>
        <v>0</v>
      </c>
      <c r="O147" s="59">
        <f>IF(C147=1,J147*Geometry!$G$23,0)+IF(C147=2,J147*Geometry!$H$23,0)+IF(C147=3,J147*Geometry!$I$23,0)+IF(C147=4,J147*Geometry!$J$23,0)+IF(C147=5,J147*Geometry!$K$23,0)</f>
        <v>0</v>
      </c>
      <c r="P147">
        <f>IF(C147=1,J147*Geometry!$G$24,0)+IF(C147=2,J147*Geometry!$H$24,0)+IF(C147=3,J147*Geometry!$I$24,0)+IF(C147=4,J147*Geometry!$J$24,0)+IF(C147=5,J147*Geometry!$K$24,0)</f>
        <v>0</v>
      </c>
    </row>
    <row r="148" spans="1:16">
      <c r="A148">
        <f t="shared" si="26"/>
        <v>142</v>
      </c>
      <c r="C148" s="7">
        <f t="shared" si="24"/>
        <v>3</v>
      </c>
      <c r="D148" s="69">
        <f>D147+Geometry!$C$15</f>
        <v>915</v>
      </c>
      <c r="E148" s="59">
        <f t="shared" si="25"/>
        <v>-600</v>
      </c>
      <c r="F148" s="4">
        <f>Geometry!$D$12*D148</f>
        <v>22.153764705882356</v>
      </c>
      <c r="G148" s="4">
        <f t="shared" si="22"/>
        <v>0</v>
      </c>
      <c r="H148" s="4">
        <f>IF(ABS(E148*E148)&lt;=Geometry!$E$10,SQRT(Geometry!$E$10-E148*E148),0)</f>
        <v>0</v>
      </c>
      <c r="I148" s="4">
        <f t="shared" si="23"/>
        <v>0</v>
      </c>
      <c r="J148">
        <f t="shared" si="19"/>
        <v>0</v>
      </c>
      <c r="K148" s="59">
        <f>IF(C148=1,J148*Geometry!$G$21,0)+IF(C148=2,J148*Geometry!$H$21,0)+IF(C148=3,J148*Geometry!$I$21,0)+IF(C148=4,J148*Geometry!$J$21,0)+IF(C148=5,J148*Geometry!$K$21,0)</f>
        <v>0</v>
      </c>
      <c r="L148" s="59">
        <f>IF(C148=1,J148*Geometry!$G$20,0)+IF(C148=2,J148*Geometry!$H$20,0)+IF(C148=3,J148*Geometry!$I$20,0)+IF(C148=4,J148*Geometry!$J$20,0)+IF(C148=5,J148*Geometry!$K$20,0)</f>
        <v>0</v>
      </c>
      <c r="M148" s="59">
        <f>IF(C148=1,J148*Geometry!$G$19,0)+IF(C148=2,J148*Geometry!$H$19,0)+IF(C148=3,J148*Geometry!$I$19,0)+IF(C148=4,J148*Geometry!$J$19,0)+IF(C148=5,J148*Geometry!$K$19,0)</f>
        <v>0</v>
      </c>
      <c r="N148" s="59">
        <f>IF(C148=1,J148*Geometry!$G$22,0)+IF(C148=2,J148*Geometry!$H$22,0)+IF(C148=3,J148*Geometry!$I$22,0)+IF(C148=4,J148*Geometry!$J$22,0)+IF(C148=5,J148*Geometry!$K$22,0)</f>
        <v>0</v>
      </c>
      <c r="O148" s="59">
        <f>IF(C148=1,J148*Geometry!$G$23,0)+IF(C148=2,J148*Geometry!$H$23,0)+IF(C148=3,J148*Geometry!$I$23,0)+IF(C148=4,J148*Geometry!$J$23,0)+IF(C148=5,J148*Geometry!$K$23,0)</f>
        <v>0</v>
      </c>
      <c r="P148">
        <f>IF(C148=1,J148*Geometry!$G$24,0)+IF(C148=2,J148*Geometry!$H$24,0)+IF(C148=3,J148*Geometry!$I$24,0)+IF(C148=4,J148*Geometry!$J$24,0)+IF(C148=5,J148*Geometry!$K$24,0)</f>
        <v>0</v>
      </c>
    </row>
    <row r="149" spans="1:16">
      <c r="A149">
        <f t="shared" ref="A149:A153" si="27">A148+1</f>
        <v>143</v>
      </c>
      <c r="C149" s="7">
        <f t="shared" si="24"/>
        <v>3</v>
      </c>
      <c r="D149" s="69">
        <f>D148+Geometry!$C$15</f>
        <v>920</v>
      </c>
      <c r="E149" s="59">
        <f t="shared" si="25"/>
        <v>-605</v>
      </c>
      <c r="F149" s="4">
        <f>Geometry!$D$12*D149</f>
        <v>22.274823529411769</v>
      </c>
      <c r="G149" s="4">
        <f t="shared" si="22"/>
        <v>0</v>
      </c>
      <c r="H149" s="4">
        <f>IF(ABS(E149*E149)&lt;=Geometry!$E$10,SQRT(Geometry!$E$10-E149*E149),0)</f>
        <v>0</v>
      </c>
      <c r="I149" s="4">
        <f t="shared" si="23"/>
        <v>0</v>
      </c>
      <c r="J149">
        <f t="shared" si="19"/>
        <v>0</v>
      </c>
      <c r="K149" s="59">
        <f>IF(C149=1,J149*Geometry!$G$21,0)+IF(C149=2,J149*Geometry!$H$21,0)+IF(C149=3,J149*Geometry!$I$21,0)+IF(C149=4,J149*Geometry!$J$21,0)+IF(C149=5,J149*Geometry!$K$21,0)</f>
        <v>0</v>
      </c>
      <c r="L149" s="59">
        <f>IF(C149=1,J149*Geometry!$G$20,0)+IF(C149=2,J149*Geometry!$H$20,0)+IF(C149=3,J149*Geometry!$I$20,0)+IF(C149=4,J149*Geometry!$J$20,0)+IF(C149=5,J149*Geometry!$K$20,0)</f>
        <v>0</v>
      </c>
      <c r="M149" s="59">
        <f>IF(C149=1,J149*Geometry!$G$19,0)+IF(C149=2,J149*Geometry!$H$19,0)+IF(C149=3,J149*Geometry!$I$19,0)+IF(C149=4,J149*Geometry!$J$19,0)+IF(C149=5,J149*Geometry!$K$19,0)</f>
        <v>0</v>
      </c>
      <c r="N149" s="59">
        <f>IF(C149=1,J149*Geometry!$G$22,0)+IF(C149=2,J149*Geometry!$H$22,0)+IF(C149=3,J149*Geometry!$I$22,0)+IF(C149=4,J149*Geometry!$J$22,0)+IF(C149=5,J149*Geometry!$K$22,0)</f>
        <v>0</v>
      </c>
      <c r="O149" s="59">
        <f>IF(C149=1,J149*Geometry!$G$23,0)+IF(C149=2,J149*Geometry!$H$23,0)+IF(C149=3,J149*Geometry!$I$23,0)+IF(C149=4,J149*Geometry!$J$23,0)+IF(C149=5,J149*Geometry!$K$23,0)</f>
        <v>0</v>
      </c>
      <c r="P149">
        <f>IF(C149=1,J149*Geometry!$G$24,0)+IF(C149=2,J149*Geometry!$H$24,0)+IF(C149=3,J149*Geometry!$I$24,0)+IF(C149=4,J149*Geometry!$J$24,0)+IF(C149=5,J149*Geometry!$K$24,0)</f>
        <v>0</v>
      </c>
    </row>
    <row r="150" spans="1:16">
      <c r="A150">
        <f t="shared" si="27"/>
        <v>144</v>
      </c>
      <c r="C150" s="7">
        <f t="shared" si="24"/>
        <v>3</v>
      </c>
      <c r="D150" s="69">
        <f>D149+Geometry!$C$15</f>
        <v>925</v>
      </c>
      <c r="E150" s="59">
        <f t="shared" si="25"/>
        <v>-610</v>
      </c>
      <c r="F150" s="4">
        <f>Geometry!$D$12*D150</f>
        <v>22.395882352941179</v>
      </c>
      <c r="G150" s="4">
        <f t="shared" si="22"/>
        <v>0</v>
      </c>
      <c r="H150" s="4">
        <f>IF(ABS(E150*E150)&lt;=Geometry!$E$10,SQRT(Geometry!$E$10-E150*E150),0)</f>
        <v>0</v>
      </c>
      <c r="I150" s="4">
        <f t="shared" si="23"/>
        <v>0</v>
      </c>
      <c r="J150">
        <f t="shared" si="19"/>
        <v>0</v>
      </c>
      <c r="K150" s="59">
        <f>IF(C150=1,J150*Geometry!$G$21,0)+IF(C150=2,J150*Geometry!$H$21,0)+IF(C150=3,J150*Geometry!$I$21,0)+IF(C150=4,J150*Geometry!$J$21,0)+IF(C150=5,J150*Geometry!$K$21,0)</f>
        <v>0</v>
      </c>
      <c r="L150" s="59">
        <f>IF(C150=1,J150*Geometry!$G$20,0)+IF(C150=2,J150*Geometry!$H$20,0)+IF(C150=3,J150*Geometry!$I$20,0)+IF(C150=4,J150*Geometry!$J$20,0)+IF(C150=5,J150*Geometry!$K$20,0)</f>
        <v>0</v>
      </c>
      <c r="M150" s="59">
        <f>IF(C150=1,J150*Geometry!$G$19,0)+IF(C150=2,J150*Geometry!$H$19,0)+IF(C150=3,J150*Geometry!$I$19,0)+IF(C150=4,J150*Geometry!$J$19,0)+IF(C150=5,J150*Geometry!$K$19,0)</f>
        <v>0</v>
      </c>
      <c r="N150" s="59">
        <f>IF(C150=1,J150*Geometry!$G$22,0)+IF(C150=2,J150*Geometry!$H$22,0)+IF(C150=3,J150*Geometry!$I$22,0)+IF(C150=4,J150*Geometry!$J$22,0)+IF(C150=5,J150*Geometry!$K$22,0)</f>
        <v>0</v>
      </c>
      <c r="O150" s="59">
        <f>IF(C150=1,J150*Geometry!$G$23,0)+IF(C150=2,J150*Geometry!$H$23,0)+IF(C150=3,J150*Geometry!$I$23,0)+IF(C150=4,J150*Geometry!$J$23,0)+IF(C150=5,J150*Geometry!$K$23,0)</f>
        <v>0</v>
      </c>
      <c r="P150">
        <f>IF(C150=1,J150*Geometry!$G$24,0)+IF(C150=2,J150*Geometry!$H$24,0)+IF(C150=3,J150*Geometry!$I$24,0)+IF(C150=4,J150*Geometry!$J$24,0)+IF(C150=5,J150*Geometry!$K$24,0)</f>
        <v>0</v>
      </c>
    </row>
    <row r="151" spans="1:16">
      <c r="A151">
        <f t="shared" si="27"/>
        <v>145</v>
      </c>
      <c r="C151" s="7">
        <f t="shared" si="24"/>
        <v>3</v>
      </c>
      <c r="D151" s="69">
        <f>D150+Geometry!$C$15</f>
        <v>930</v>
      </c>
      <c r="E151" s="59">
        <f t="shared" si="25"/>
        <v>-615</v>
      </c>
      <c r="F151" s="4">
        <f>Geometry!$D$12*D151</f>
        <v>22.516941176470592</v>
      </c>
      <c r="G151" s="4">
        <f t="shared" si="22"/>
        <v>0</v>
      </c>
      <c r="H151" s="4">
        <f>IF(ABS(E151*E151)&lt;=Geometry!$E$10,SQRT(Geometry!$E$10-E151*E151),0)</f>
        <v>0</v>
      </c>
      <c r="I151" s="4">
        <f t="shared" si="23"/>
        <v>0</v>
      </c>
      <c r="J151">
        <f t="shared" si="19"/>
        <v>0</v>
      </c>
      <c r="K151" s="59">
        <f>IF(C151=1,J151*Geometry!$G$21,0)+IF(C151=2,J151*Geometry!$H$21,0)+IF(C151=3,J151*Geometry!$I$21,0)+IF(C151=4,J151*Geometry!$J$21,0)+IF(C151=5,J151*Geometry!$K$21,0)</f>
        <v>0</v>
      </c>
      <c r="L151" s="59">
        <f>IF(C151=1,J151*Geometry!$G$20,0)+IF(C151=2,J151*Geometry!$H$20,0)+IF(C151=3,J151*Geometry!$I$20,0)+IF(C151=4,J151*Geometry!$J$20,0)+IF(C151=5,J151*Geometry!$K$20,0)</f>
        <v>0</v>
      </c>
      <c r="M151" s="59">
        <f>IF(C151=1,J151*Geometry!$G$19,0)+IF(C151=2,J151*Geometry!$H$19,0)+IF(C151=3,J151*Geometry!$I$19,0)+IF(C151=4,J151*Geometry!$J$19,0)+IF(C151=5,J151*Geometry!$K$19,0)</f>
        <v>0</v>
      </c>
      <c r="N151" s="59">
        <f>IF(C151=1,J151*Geometry!$G$22,0)+IF(C151=2,J151*Geometry!$H$22,0)+IF(C151=3,J151*Geometry!$I$22,0)+IF(C151=4,J151*Geometry!$J$22,0)+IF(C151=5,J151*Geometry!$K$22,0)</f>
        <v>0</v>
      </c>
      <c r="O151" s="59">
        <f>IF(C151=1,J151*Geometry!$G$23,0)+IF(C151=2,J151*Geometry!$H$23,0)+IF(C151=3,J151*Geometry!$I$23,0)+IF(C151=4,J151*Geometry!$J$23,0)+IF(C151=5,J151*Geometry!$K$23,0)</f>
        <v>0</v>
      </c>
      <c r="P151">
        <f>IF(C151=1,J151*Geometry!$G$24,0)+IF(C151=2,J151*Geometry!$H$24,0)+IF(C151=3,J151*Geometry!$I$24,0)+IF(C151=4,J151*Geometry!$J$24,0)+IF(C151=5,J151*Geometry!$K$24,0)</f>
        <v>0</v>
      </c>
    </row>
    <row r="152" spans="1:16">
      <c r="A152">
        <f t="shared" si="27"/>
        <v>146</v>
      </c>
      <c r="C152" s="7">
        <f t="shared" si="24"/>
        <v>3</v>
      </c>
      <c r="D152" s="69">
        <f>D151+Geometry!$C$15</f>
        <v>935</v>
      </c>
      <c r="E152" s="59">
        <f t="shared" si="25"/>
        <v>-620</v>
      </c>
      <c r="F152" s="4">
        <f>Geometry!$D$12*D152</f>
        <v>22.638000000000002</v>
      </c>
      <c r="G152" s="4">
        <f t="shared" si="22"/>
        <v>0</v>
      </c>
      <c r="H152" s="4">
        <f>IF(ABS(E152*E152)&lt;=Geometry!$E$10,SQRT(Geometry!$E$10-E152*E152),0)</f>
        <v>0</v>
      </c>
      <c r="I152" s="4">
        <f t="shared" si="23"/>
        <v>0</v>
      </c>
      <c r="J152">
        <f t="shared" si="19"/>
        <v>0</v>
      </c>
      <c r="K152" s="59">
        <f>IF(C152=1,J152*Geometry!$G$21,0)+IF(C152=2,J152*Geometry!$H$21,0)+IF(C152=3,J152*Geometry!$I$21,0)+IF(C152=4,J152*Geometry!$J$21,0)+IF(C152=5,J152*Geometry!$K$21,0)</f>
        <v>0</v>
      </c>
      <c r="L152" s="59">
        <f>IF(C152=1,J152*Geometry!$G$20,0)+IF(C152=2,J152*Geometry!$H$20,0)+IF(C152=3,J152*Geometry!$I$20,0)+IF(C152=4,J152*Geometry!$J$20,0)+IF(C152=5,J152*Geometry!$K$20,0)</f>
        <v>0</v>
      </c>
      <c r="M152" s="59">
        <f>IF(C152=1,J152*Geometry!$G$19,0)+IF(C152=2,J152*Geometry!$H$19,0)+IF(C152=3,J152*Geometry!$I$19,0)+IF(C152=4,J152*Geometry!$J$19,0)+IF(C152=5,J152*Geometry!$K$19,0)</f>
        <v>0</v>
      </c>
      <c r="N152" s="59">
        <f>IF(C152=1,J152*Geometry!$G$22,0)+IF(C152=2,J152*Geometry!$H$22,0)+IF(C152=3,J152*Geometry!$I$22,0)+IF(C152=4,J152*Geometry!$J$22,0)+IF(C152=5,J152*Geometry!$K$22,0)</f>
        <v>0</v>
      </c>
      <c r="O152" s="59">
        <f>IF(C152=1,J152*Geometry!$G$23,0)+IF(C152=2,J152*Geometry!$H$23,0)+IF(C152=3,J152*Geometry!$I$23,0)+IF(C152=4,J152*Geometry!$J$23,0)+IF(C152=5,J152*Geometry!$K$23,0)</f>
        <v>0</v>
      </c>
      <c r="P152">
        <f>IF(C152=1,J152*Geometry!$G$24,0)+IF(C152=2,J152*Geometry!$H$24,0)+IF(C152=3,J152*Geometry!$I$24,0)+IF(C152=4,J152*Geometry!$J$24,0)+IF(C152=5,J152*Geometry!$K$24,0)</f>
        <v>0</v>
      </c>
    </row>
    <row r="153" spans="1:16">
      <c r="A153">
        <f t="shared" si="27"/>
        <v>147</v>
      </c>
      <c r="C153" s="7">
        <f t="shared" si="24"/>
        <v>3</v>
      </c>
      <c r="D153" s="69">
        <f>D152+Geometry!$C$15</f>
        <v>940</v>
      </c>
      <c r="E153" s="59">
        <f t="shared" si="25"/>
        <v>-625</v>
      </c>
      <c r="F153" s="4">
        <f>Geometry!$D$12*D153</f>
        <v>22.759058823529415</v>
      </c>
      <c r="G153" s="4">
        <f t="shared" si="22"/>
        <v>0</v>
      </c>
      <c r="H153" s="4">
        <f>IF(ABS(E153*E153)&lt;=Geometry!$E$10,SQRT(Geometry!$E$10-E153*E153),0)</f>
        <v>0</v>
      </c>
      <c r="I153" s="4">
        <f t="shared" si="23"/>
        <v>0</v>
      </c>
      <c r="J153">
        <f t="shared" si="19"/>
        <v>0</v>
      </c>
      <c r="K153" s="59">
        <f>IF(C153=1,J153*Geometry!$G$21,0)+IF(C153=2,J153*Geometry!$H$21,0)+IF(C153=3,J153*Geometry!$I$21,0)+IF(C153=4,J153*Geometry!$J$21,0)+IF(C153=5,J153*Geometry!$K$21,0)</f>
        <v>0</v>
      </c>
      <c r="L153" s="59">
        <f>IF(C153=1,J153*Geometry!$G$20,0)+IF(C153=2,J153*Geometry!$H$20,0)+IF(C153=3,J153*Geometry!$I$20,0)+IF(C153=4,J153*Geometry!$J$20,0)+IF(C153=5,J153*Geometry!$K$20,0)</f>
        <v>0</v>
      </c>
      <c r="M153" s="59">
        <f>IF(C153=1,J153*Geometry!$G$19,0)+IF(C153=2,J153*Geometry!$H$19,0)+IF(C153=3,J153*Geometry!$I$19,0)+IF(C153=4,J153*Geometry!$J$19,0)+IF(C153=5,J153*Geometry!$K$19,0)</f>
        <v>0</v>
      </c>
      <c r="N153" s="59">
        <f>IF(C153=1,J153*Geometry!$G$22,0)+IF(C153=2,J153*Geometry!$H$22,0)+IF(C153=3,J153*Geometry!$I$22,0)+IF(C153=4,J153*Geometry!$J$22,0)+IF(C153=5,J153*Geometry!$K$22,0)</f>
        <v>0</v>
      </c>
      <c r="O153" s="59">
        <f>IF(C153=1,J153*Geometry!$G$23,0)+IF(C153=2,J153*Geometry!$H$23,0)+IF(C153=3,J153*Geometry!$I$23,0)+IF(C153=4,J153*Geometry!$J$23,0)+IF(C153=5,J153*Geometry!$K$23,0)</f>
        <v>0</v>
      </c>
      <c r="P153">
        <f>IF(C153=1,J153*Geometry!$G$24,0)+IF(C153=2,J153*Geometry!$H$24,0)+IF(C153=3,J153*Geometry!$I$24,0)+IF(C153=4,J153*Geometry!$J$24,0)+IF(C153=5,J153*Geometry!$K$24,0)</f>
        <v>0</v>
      </c>
    </row>
    <row r="154" spans="1:16">
      <c r="A154">
        <f t="shared" ref="A154:A208" si="28">A153+1</f>
        <v>148</v>
      </c>
      <c r="C154" s="7">
        <f t="shared" si="24"/>
        <v>3</v>
      </c>
      <c r="D154" s="69">
        <f>D153+Geometry!$C$15</f>
        <v>945</v>
      </c>
      <c r="E154" s="59">
        <f t="shared" si="25"/>
        <v>-630</v>
      </c>
      <c r="F154" s="4">
        <f>Geometry!$D$12*D154</f>
        <v>22.880117647058828</v>
      </c>
      <c r="G154" s="4">
        <f t="shared" si="22"/>
        <v>0</v>
      </c>
      <c r="H154" s="4">
        <f>IF(ABS(E154*E154)&lt;=Geometry!$E$10,SQRT(Geometry!$E$10-E154*E154),0)</f>
        <v>0</v>
      </c>
      <c r="I154" s="4">
        <f t="shared" si="23"/>
        <v>0</v>
      </c>
      <c r="J154">
        <f t="shared" si="19"/>
        <v>0</v>
      </c>
      <c r="K154" s="59">
        <f>IF(C154=1,J154*Geometry!$G$21,0)+IF(C154=2,J154*Geometry!$H$21,0)+IF(C154=3,J154*Geometry!$I$21,0)+IF(C154=4,J154*Geometry!$J$21,0)+IF(C154=5,J154*Geometry!$K$21,0)</f>
        <v>0</v>
      </c>
      <c r="L154" s="59">
        <f>IF(C154=1,J154*Geometry!$G$20,0)+IF(C154=2,J154*Geometry!$H$20,0)+IF(C154=3,J154*Geometry!$I$20,0)+IF(C154=4,J154*Geometry!$J$20,0)+IF(C154=5,J154*Geometry!$K$20,0)</f>
        <v>0</v>
      </c>
      <c r="M154" s="59">
        <f>IF(C154=1,J154*Geometry!$G$19,0)+IF(C154=2,J154*Geometry!$H$19,0)+IF(C154=3,J154*Geometry!$I$19,0)+IF(C154=4,J154*Geometry!$J$19,0)+IF(C154=5,J154*Geometry!$K$19,0)</f>
        <v>0</v>
      </c>
      <c r="N154" s="59">
        <f>IF(C154=1,J154*Geometry!$G$22,0)+IF(C154=2,J154*Geometry!$H$22,0)+IF(C154=3,J154*Geometry!$I$22,0)+IF(C154=4,J154*Geometry!$J$22,0)+IF(C154=5,J154*Geometry!$K$22,0)</f>
        <v>0</v>
      </c>
      <c r="O154" s="59">
        <f>IF(C154=1,J154*Geometry!$G$23,0)+IF(C154=2,J154*Geometry!$H$23,0)+IF(C154=3,J154*Geometry!$I$23,0)+IF(C154=4,J154*Geometry!$J$23,0)+IF(C154=5,J154*Geometry!$K$23,0)</f>
        <v>0</v>
      </c>
      <c r="P154">
        <f>IF(C154=1,J154*Geometry!$G$24,0)+IF(C154=2,J154*Geometry!$H$24,0)+IF(C154=3,J154*Geometry!$I$24,0)+IF(C154=4,J154*Geometry!$J$24,0)+IF(C154=5,J154*Geometry!$K$24,0)</f>
        <v>0</v>
      </c>
    </row>
    <row r="155" spans="1:16">
      <c r="A155">
        <f t="shared" si="28"/>
        <v>149</v>
      </c>
      <c r="C155" s="7">
        <f t="shared" si="24"/>
        <v>3</v>
      </c>
      <c r="D155" s="69">
        <f>D154+Geometry!$C$15</f>
        <v>950</v>
      </c>
      <c r="E155" s="59">
        <f t="shared" si="25"/>
        <v>-635</v>
      </c>
      <c r="F155" s="4">
        <f>Geometry!$D$12*D155</f>
        <v>23.001176470588238</v>
      </c>
      <c r="G155" s="4">
        <f t="shared" si="22"/>
        <v>0</v>
      </c>
      <c r="H155" s="4">
        <f>IF(ABS(E155*E155)&lt;=Geometry!$E$10,SQRT(Geometry!$E$10-E155*E155),0)</f>
        <v>0</v>
      </c>
      <c r="I155" s="4">
        <f t="shared" si="23"/>
        <v>0</v>
      </c>
      <c r="J155">
        <f t="shared" si="19"/>
        <v>0</v>
      </c>
      <c r="K155" s="59">
        <f>IF(C155=1,J155*Geometry!$G$21,0)+IF(C155=2,J155*Geometry!$H$21,0)+IF(C155=3,J155*Geometry!$I$21,0)+IF(C155=4,J155*Geometry!$J$21,0)+IF(C155=5,J155*Geometry!$K$21,0)</f>
        <v>0</v>
      </c>
      <c r="L155" s="59">
        <f>IF(C155=1,J155*Geometry!$G$20,0)+IF(C155=2,J155*Geometry!$H$20,0)+IF(C155=3,J155*Geometry!$I$20,0)+IF(C155=4,J155*Geometry!$J$20,0)+IF(C155=5,J155*Geometry!$K$20,0)</f>
        <v>0</v>
      </c>
      <c r="M155" s="59">
        <f>IF(C155=1,J155*Geometry!$G$19,0)+IF(C155=2,J155*Geometry!$H$19,0)+IF(C155=3,J155*Geometry!$I$19,0)+IF(C155=4,J155*Geometry!$J$19,0)+IF(C155=5,J155*Geometry!$K$19,0)</f>
        <v>0</v>
      </c>
      <c r="N155" s="59">
        <f>IF(C155=1,J155*Geometry!$G$22,0)+IF(C155=2,J155*Geometry!$H$22,0)+IF(C155=3,J155*Geometry!$I$22,0)+IF(C155=4,J155*Geometry!$J$22,0)+IF(C155=5,J155*Geometry!$K$22,0)</f>
        <v>0</v>
      </c>
      <c r="O155" s="59">
        <f>IF(C155=1,J155*Geometry!$G$23,0)+IF(C155=2,J155*Geometry!$H$23,0)+IF(C155=3,J155*Geometry!$I$23,0)+IF(C155=4,J155*Geometry!$J$23,0)+IF(C155=5,J155*Geometry!$K$23,0)</f>
        <v>0</v>
      </c>
      <c r="P155">
        <f>IF(C155=1,J155*Geometry!$G$24,0)+IF(C155=2,J155*Geometry!$H$24,0)+IF(C155=3,J155*Geometry!$I$24,0)+IF(C155=4,J155*Geometry!$J$24,0)+IF(C155=5,J155*Geometry!$K$24,0)</f>
        <v>0</v>
      </c>
    </row>
    <row r="156" spans="1:16">
      <c r="A156">
        <f t="shared" si="28"/>
        <v>150</v>
      </c>
      <c r="C156" s="7">
        <f t="shared" si="24"/>
        <v>3</v>
      </c>
      <c r="D156" s="69">
        <f>D155+Geometry!$C$15</f>
        <v>955</v>
      </c>
      <c r="E156" s="59">
        <f t="shared" si="25"/>
        <v>-640</v>
      </c>
      <c r="F156" s="4">
        <f>Geometry!$D$12*D156</f>
        <v>23.122235294117651</v>
      </c>
      <c r="G156" s="4">
        <f t="shared" si="22"/>
        <v>0</v>
      </c>
      <c r="H156" s="4">
        <f>IF(ABS(E156*E156)&lt;=Geometry!$E$10,SQRT(Geometry!$E$10-E156*E156),0)</f>
        <v>0</v>
      </c>
      <c r="I156" s="4">
        <f t="shared" si="23"/>
        <v>0</v>
      </c>
      <c r="J156">
        <f t="shared" si="19"/>
        <v>0</v>
      </c>
      <c r="K156" s="59">
        <f>IF(C156=1,J156*Geometry!$G$21,0)+IF(C156=2,J156*Geometry!$H$21,0)+IF(C156=3,J156*Geometry!$I$21,0)+IF(C156=4,J156*Geometry!$J$21,0)+IF(C156=5,J156*Geometry!$K$21,0)</f>
        <v>0</v>
      </c>
      <c r="L156" s="59">
        <f>IF(C156=1,J156*Geometry!$G$20,0)+IF(C156=2,J156*Geometry!$H$20,0)+IF(C156=3,J156*Geometry!$I$20,0)+IF(C156=4,J156*Geometry!$J$20,0)+IF(C156=5,J156*Geometry!$K$20,0)</f>
        <v>0</v>
      </c>
      <c r="M156" s="59">
        <f>IF(C156=1,J156*Geometry!$G$19,0)+IF(C156=2,J156*Geometry!$H$19,0)+IF(C156=3,J156*Geometry!$I$19,0)+IF(C156=4,J156*Geometry!$J$19,0)+IF(C156=5,J156*Geometry!$K$19,0)</f>
        <v>0</v>
      </c>
      <c r="N156" s="59">
        <f>IF(C156=1,J156*Geometry!$G$22,0)+IF(C156=2,J156*Geometry!$H$22,0)+IF(C156=3,J156*Geometry!$I$22,0)+IF(C156=4,J156*Geometry!$J$22,0)+IF(C156=5,J156*Geometry!$K$22,0)</f>
        <v>0</v>
      </c>
      <c r="O156" s="59">
        <f>IF(C156=1,J156*Geometry!$G$23,0)+IF(C156=2,J156*Geometry!$H$23,0)+IF(C156=3,J156*Geometry!$I$23,0)+IF(C156=4,J156*Geometry!$J$23,0)+IF(C156=5,J156*Geometry!$K$23,0)</f>
        <v>0</v>
      </c>
      <c r="P156">
        <f>IF(C156=1,J156*Geometry!$G$24,0)+IF(C156=2,J156*Geometry!$H$24,0)+IF(C156=3,J156*Geometry!$I$24,0)+IF(C156=4,J156*Geometry!$J$24,0)+IF(C156=5,J156*Geometry!$K$24,0)</f>
        <v>0</v>
      </c>
    </row>
    <row r="157" spans="1:16">
      <c r="A157">
        <f t="shared" si="28"/>
        <v>151</v>
      </c>
      <c r="C157" s="7">
        <f t="shared" si="24"/>
        <v>3</v>
      </c>
      <c r="D157" s="69">
        <f>D156+Geometry!$C$15</f>
        <v>960</v>
      </c>
      <c r="E157" s="59">
        <f t="shared" si="25"/>
        <v>-645</v>
      </c>
      <c r="F157" s="4">
        <f>Geometry!$D$12*D157</f>
        <v>23.243294117647061</v>
      </c>
      <c r="G157" s="4">
        <f t="shared" si="22"/>
        <v>0</v>
      </c>
      <c r="H157" s="4">
        <f>IF(ABS(E157*E157)&lt;=Geometry!$E$10,SQRT(Geometry!$E$10-E157*E157),0)</f>
        <v>0</v>
      </c>
      <c r="I157" s="4">
        <f t="shared" si="23"/>
        <v>0</v>
      </c>
      <c r="J157">
        <f t="shared" si="19"/>
        <v>0</v>
      </c>
      <c r="K157" s="59">
        <f>IF(C157=1,J157*Geometry!$G$21,0)+IF(C157=2,J157*Geometry!$H$21,0)+IF(C157=3,J157*Geometry!$I$21,0)+IF(C157=4,J157*Geometry!$J$21,0)+IF(C157=5,J157*Geometry!$K$21,0)</f>
        <v>0</v>
      </c>
      <c r="L157" s="59">
        <f>IF(C157=1,J157*Geometry!$G$20,0)+IF(C157=2,J157*Geometry!$H$20,0)+IF(C157=3,J157*Geometry!$I$20,0)+IF(C157=4,J157*Geometry!$J$20,0)+IF(C157=5,J157*Geometry!$K$20,0)</f>
        <v>0</v>
      </c>
      <c r="M157" s="59">
        <f>IF(C157=1,J157*Geometry!$G$19,0)+IF(C157=2,J157*Geometry!$H$19,0)+IF(C157=3,J157*Geometry!$I$19,0)+IF(C157=4,J157*Geometry!$J$19,0)+IF(C157=5,J157*Geometry!$K$19,0)</f>
        <v>0</v>
      </c>
      <c r="N157" s="59">
        <f>IF(C157=1,J157*Geometry!$G$22,0)+IF(C157=2,J157*Geometry!$H$22,0)+IF(C157=3,J157*Geometry!$I$22,0)+IF(C157=4,J157*Geometry!$J$22,0)+IF(C157=5,J157*Geometry!$K$22,0)</f>
        <v>0</v>
      </c>
      <c r="O157" s="59">
        <f>IF(C157=1,J157*Geometry!$G$23,0)+IF(C157=2,J157*Geometry!$H$23,0)+IF(C157=3,J157*Geometry!$I$23,0)+IF(C157=4,J157*Geometry!$J$23,0)+IF(C157=5,J157*Geometry!$K$23,0)</f>
        <v>0</v>
      </c>
      <c r="P157">
        <f>IF(C157=1,J157*Geometry!$G$24,0)+IF(C157=2,J157*Geometry!$H$24,0)+IF(C157=3,J157*Geometry!$I$24,0)+IF(C157=4,J157*Geometry!$J$24,0)+IF(C157=5,J157*Geometry!$K$24,0)</f>
        <v>0</v>
      </c>
    </row>
    <row r="158" spans="1:16">
      <c r="A158">
        <f t="shared" si="28"/>
        <v>152</v>
      </c>
      <c r="C158" s="7">
        <f t="shared" si="24"/>
        <v>3</v>
      </c>
      <c r="D158" s="69">
        <f>D157+Geometry!$C$15</f>
        <v>965</v>
      </c>
      <c r="E158" s="59">
        <f t="shared" si="25"/>
        <v>-650</v>
      </c>
      <c r="F158" s="4">
        <f>Geometry!$D$12*D158</f>
        <v>23.364352941176474</v>
      </c>
      <c r="G158" s="4">
        <f t="shared" si="22"/>
        <v>0</v>
      </c>
      <c r="H158" s="4">
        <f>IF(ABS(E158*E158)&lt;=Geometry!$E$10,SQRT(Geometry!$E$10-E158*E158),0)</f>
        <v>0</v>
      </c>
      <c r="I158" s="4">
        <f t="shared" si="23"/>
        <v>0</v>
      </c>
      <c r="J158">
        <f t="shared" si="19"/>
        <v>0</v>
      </c>
      <c r="K158" s="59">
        <f>IF(C158=1,J158*Geometry!$G$21,0)+IF(C158=2,J158*Geometry!$H$21,0)+IF(C158=3,J158*Geometry!$I$21,0)+IF(C158=4,J158*Geometry!$J$21,0)+IF(C158=5,J158*Geometry!$K$21,0)</f>
        <v>0</v>
      </c>
      <c r="L158" s="59">
        <f>IF(C158=1,J158*Geometry!$G$20,0)+IF(C158=2,J158*Geometry!$H$20,0)+IF(C158=3,J158*Geometry!$I$20,0)+IF(C158=4,J158*Geometry!$J$20,0)+IF(C158=5,J158*Geometry!$K$20,0)</f>
        <v>0</v>
      </c>
      <c r="M158" s="59">
        <f>IF(C158=1,J158*Geometry!$G$19,0)+IF(C158=2,J158*Geometry!$H$19,0)+IF(C158=3,J158*Geometry!$I$19,0)+IF(C158=4,J158*Geometry!$J$19,0)+IF(C158=5,J158*Geometry!$K$19,0)</f>
        <v>0</v>
      </c>
      <c r="N158" s="59">
        <f>IF(C158=1,J158*Geometry!$G$22,0)+IF(C158=2,J158*Geometry!$H$22,0)+IF(C158=3,J158*Geometry!$I$22,0)+IF(C158=4,J158*Geometry!$J$22,0)+IF(C158=5,J158*Geometry!$K$22,0)</f>
        <v>0</v>
      </c>
      <c r="O158" s="59">
        <f>IF(C158=1,J158*Geometry!$G$23,0)+IF(C158=2,J158*Geometry!$H$23,0)+IF(C158=3,J158*Geometry!$I$23,0)+IF(C158=4,J158*Geometry!$J$23,0)+IF(C158=5,J158*Geometry!$K$23,0)</f>
        <v>0</v>
      </c>
      <c r="P158">
        <f>IF(C158=1,J158*Geometry!$G$24,0)+IF(C158=2,J158*Geometry!$H$24,0)+IF(C158=3,J158*Geometry!$I$24,0)+IF(C158=4,J158*Geometry!$J$24,0)+IF(C158=5,J158*Geometry!$K$24,0)</f>
        <v>0</v>
      </c>
    </row>
    <row r="159" spans="1:16">
      <c r="A159">
        <f t="shared" si="28"/>
        <v>153</v>
      </c>
      <c r="C159" s="7">
        <f t="shared" si="24"/>
        <v>3</v>
      </c>
      <c r="D159" s="69">
        <f>D158+Geometry!$C$15</f>
        <v>970</v>
      </c>
      <c r="E159" s="59">
        <f t="shared" ref="E159:E190" si="29">E158-(D159-D158)</f>
        <v>-655</v>
      </c>
      <c r="F159" s="4">
        <f>Geometry!$D$12*D159</f>
        <v>23.485411764705887</v>
      </c>
      <c r="G159" s="4">
        <f t="shared" ref="G159:G190" si="30">IF(H159&gt;0,F159/9.8,0)</f>
        <v>0</v>
      </c>
      <c r="H159" s="4">
        <f>IF(ABS(E159*E159)&lt;=Geometry!$E$10,SQRT(Geometry!$E$10-E159*E159),0)</f>
        <v>0</v>
      </c>
      <c r="I159" s="4">
        <f t="shared" ref="I159:I190" si="31">IF(H159&gt;0,1,0)</f>
        <v>0</v>
      </c>
      <c r="J159">
        <f t="shared" ref="J159:J190" si="32">PI()*H159*H159</f>
        <v>0</v>
      </c>
      <c r="K159" s="59">
        <f>IF(C159=1,J159*Geometry!$G$21,0)+IF(C159=2,J159*Geometry!$H$21,0)+IF(C159=3,J159*Geometry!$I$21,0)+IF(C159=4,J159*Geometry!$J$21,0)+IF(C159=5,J159*Geometry!$K$21,0)</f>
        <v>0</v>
      </c>
      <c r="L159" s="59">
        <f>IF(C159=1,J159*Geometry!$G$20,0)+IF(C159=2,J159*Geometry!$H$20,0)+IF(C159=3,J159*Geometry!$I$20,0)+IF(C159=4,J159*Geometry!$J$20,0)+IF(C159=5,J159*Geometry!$K$20,0)</f>
        <v>0</v>
      </c>
      <c r="M159" s="59">
        <f>IF(C159=1,J159*Geometry!$G$19,0)+IF(C159=2,J159*Geometry!$H$19,0)+IF(C159=3,J159*Geometry!$I$19,0)+IF(C159=4,J159*Geometry!$J$19,0)+IF(C159=5,J159*Geometry!$K$19,0)</f>
        <v>0</v>
      </c>
      <c r="N159" s="59">
        <f>IF(C159=1,J159*Geometry!$G$22,0)+IF(C159=2,J159*Geometry!$H$22,0)+IF(C159=3,J159*Geometry!$I$22,0)+IF(C159=4,J159*Geometry!$J$22,0)+IF(C159=5,J159*Geometry!$K$22,0)</f>
        <v>0</v>
      </c>
      <c r="O159" s="59">
        <f>IF(C159=1,J159*Geometry!$G$23,0)+IF(C159=2,J159*Geometry!$H$23,0)+IF(C159=3,J159*Geometry!$I$23,0)+IF(C159=4,J159*Geometry!$J$23,0)+IF(C159=5,J159*Geometry!$K$23,0)</f>
        <v>0</v>
      </c>
      <c r="P159">
        <f>IF(C159=1,J159*Geometry!$G$24,0)+IF(C159=2,J159*Geometry!$H$24,0)+IF(C159=3,J159*Geometry!$I$24,0)+IF(C159=4,J159*Geometry!$J$24,0)+IF(C159=5,J159*Geometry!$K$24,0)</f>
        <v>0</v>
      </c>
    </row>
    <row r="160" spans="1:16">
      <c r="A160">
        <f t="shared" si="28"/>
        <v>154</v>
      </c>
      <c r="C160" s="7">
        <f t="shared" si="24"/>
        <v>3</v>
      </c>
      <c r="D160" s="69">
        <f>D159+Geometry!$C$15</f>
        <v>975</v>
      </c>
      <c r="E160" s="59">
        <f t="shared" si="29"/>
        <v>-660</v>
      </c>
      <c r="F160" s="4">
        <f>Geometry!$D$12*D160</f>
        <v>23.606470588235297</v>
      </c>
      <c r="G160" s="4">
        <f t="shared" si="30"/>
        <v>0</v>
      </c>
      <c r="H160" s="4">
        <f>IF(ABS(E160*E160)&lt;=Geometry!$E$10,SQRT(Geometry!$E$10-E160*E160),0)</f>
        <v>0</v>
      </c>
      <c r="I160" s="4">
        <f t="shared" si="31"/>
        <v>0</v>
      </c>
      <c r="J160">
        <f t="shared" si="32"/>
        <v>0</v>
      </c>
      <c r="K160" s="59">
        <f>IF(C160=1,J160*Geometry!$G$21,0)+IF(C160=2,J160*Geometry!$H$21,0)+IF(C160=3,J160*Geometry!$I$21,0)+IF(C160=4,J160*Geometry!$J$21,0)+IF(C160=5,J160*Geometry!$K$21,0)</f>
        <v>0</v>
      </c>
      <c r="L160" s="59">
        <f>IF(C160=1,J160*Geometry!$G$20,0)+IF(C160=2,J160*Geometry!$H$20,0)+IF(C160=3,J160*Geometry!$I$20,0)+IF(C160=4,J160*Geometry!$J$20,0)+IF(C160=5,J160*Geometry!$K$20,0)</f>
        <v>0</v>
      </c>
      <c r="M160" s="59">
        <f>IF(C160=1,J160*Geometry!$G$19,0)+IF(C160=2,J160*Geometry!$H$19,0)+IF(C160=3,J160*Geometry!$I$19,0)+IF(C160=4,J160*Geometry!$J$19,0)+IF(C160=5,J160*Geometry!$K$19,0)</f>
        <v>0</v>
      </c>
      <c r="N160" s="59">
        <f>IF(C160=1,J160*Geometry!$G$22,0)+IF(C160=2,J160*Geometry!$H$22,0)+IF(C160=3,J160*Geometry!$I$22,0)+IF(C160=4,J160*Geometry!$J$22,0)+IF(C160=5,J160*Geometry!$K$22,0)</f>
        <v>0</v>
      </c>
      <c r="O160" s="59">
        <f>IF(C160=1,J160*Geometry!$G$23,0)+IF(C160=2,J160*Geometry!$H$23,0)+IF(C160=3,J160*Geometry!$I$23,0)+IF(C160=4,J160*Geometry!$J$23,0)+IF(C160=5,J160*Geometry!$K$23,0)</f>
        <v>0</v>
      </c>
      <c r="P160">
        <f>IF(C160=1,J160*Geometry!$G$24,0)+IF(C160=2,J160*Geometry!$H$24,0)+IF(C160=3,J160*Geometry!$I$24,0)+IF(C160=4,J160*Geometry!$J$24,0)+IF(C160=5,J160*Geometry!$K$24,0)</f>
        <v>0</v>
      </c>
    </row>
    <row r="161" spans="1:16">
      <c r="A161">
        <f t="shared" si="28"/>
        <v>155</v>
      </c>
      <c r="C161" s="7">
        <f t="shared" si="24"/>
        <v>3</v>
      </c>
      <c r="D161" s="69">
        <f>D160+Geometry!$C$15</f>
        <v>980</v>
      </c>
      <c r="E161" s="59">
        <f t="shared" si="29"/>
        <v>-665</v>
      </c>
      <c r="F161" s="4">
        <f>Geometry!$D$12*D161</f>
        <v>23.72752941176471</v>
      </c>
      <c r="G161" s="4">
        <f t="shared" si="30"/>
        <v>0</v>
      </c>
      <c r="H161" s="4">
        <f>IF(ABS(E161*E161)&lt;=Geometry!$E$10,SQRT(Geometry!$E$10-E161*E161),0)</f>
        <v>0</v>
      </c>
      <c r="I161" s="4">
        <f t="shared" si="31"/>
        <v>0</v>
      </c>
      <c r="J161">
        <f t="shared" si="32"/>
        <v>0</v>
      </c>
      <c r="K161" s="59">
        <f>IF(C161=1,J161*Geometry!$G$21,0)+IF(C161=2,J161*Geometry!$H$21,0)+IF(C161=3,J161*Geometry!$I$21,0)+IF(C161=4,J161*Geometry!$J$21,0)+IF(C161=5,J161*Geometry!$K$21,0)</f>
        <v>0</v>
      </c>
      <c r="L161" s="59">
        <f>IF(C161=1,J161*Geometry!$G$20,0)+IF(C161=2,J161*Geometry!$H$20,0)+IF(C161=3,J161*Geometry!$I$20,0)+IF(C161=4,J161*Geometry!$J$20,0)+IF(C161=5,J161*Geometry!$K$20,0)</f>
        <v>0</v>
      </c>
      <c r="M161" s="59">
        <f>IF(C161=1,J161*Geometry!$G$19,0)+IF(C161=2,J161*Geometry!$H$19,0)+IF(C161=3,J161*Geometry!$I$19,0)+IF(C161=4,J161*Geometry!$J$19,0)+IF(C161=5,J161*Geometry!$K$19,0)</f>
        <v>0</v>
      </c>
      <c r="N161" s="59">
        <f>IF(C161=1,J161*Geometry!$G$22,0)+IF(C161=2,J161*Geometry!$H$22,0)+IF(C161=3,J161*Geometry!$I$22,0)+IF(C161=4,J161*Geometry!$J$22,0)+IF(C161=5,J161*Geometry!$K$22,0)</f>
        <v>0</v>
      </c>
      <c r="O161" s="59">
        <f>IF(C161=1,J161*Geometry!$G$23,0)+IF(C161=2,J161*Geometry!$H$23,0)+IF(C161=3,J161*Geometry!$I$23,0)+IF(C161=4,J161*Geometry!$J$23,0)+IF(C161=5,J161*Geometry!$K$23,0)</f>
        <v>0</v>
      </c>
      <c r="P161">
        <f>IF(C161=1,J161*Geometry!$G$24,0)+IF(C161=2,J161*Geometry!$H$24,0)+IF(C161=3,J161*Geometry!$I$24,0)+IF(C161=4,J161*Geometry!$J$24,0)+IF(C161=5,J161*Geometry!$K$24,0)</f>
        <v>0</v>
      </c>
    </row>
    <row r="162" spans="1:16">
      <c r="A162">
        <f t="shared" si="28"/>
        <v>156</v>
      </c>
      <c r="C162" s="7">
        <f t="shared" si="24"/>
        <v>3</v>
      </c>
      <c r="D162" s="69">
        <f>D161+Geometry!$C$15</f>
        <v>985</v>
      </c>
      <c r="E162" s="59">
        <f t="shared" si="29"/>
        <v>-670</v>
      </c>
      <c r="F162" s="4">
        <f>Geometry!$D$12*D162</f>
        <v>23.84858823529412</v>
      </c>
      <c r="G162" s="4">
        <f t="shared" si="30"/>
        <v>0</v>
      </c>
      <c r="H162" s="4">
        <f>IF(ABS(E162*E162)&lt;=Geometry!$E$10,SQRT(Geometry!$E$10-E162*E162),0)</f>
        <v>0</v>
      </c>
      <c r="I162" s="4">
        <f t="shared" si="31"/>
        <v>0</v>
      </c>
      <c r="J162">
        <f t="shared" si="32"/>
        <v>0</v>
      </c>
      <c r="K162" s="59">
        <f>IF(C162=1,J162*Geometry!$G$21,0)+IF(C162=2,J162*Geometry!$H$21,0)+IF(C162=3,J162*Geometry!$I$21,0)+IF(C162=4,J162*Geometry!$J$21,0)+IF(C162=5,J162*Geometry!$K$21,0)</f>
        <v>0</v>
      </c>
      <c r="L162" s="59">
        <f>IF(C162=1,J162*Geometry!$G$20,0)+IF(C162=2,J162*Geometry!$H$20,0)+IF(C162=3,J162*Geometry!$I$20,0)+IF(C162=4,J162*Geometry!$J$20,0)+IF(C162=5,J162*Geometry!$K$20,0)</f>
        <v>0</v>
      </c>
      <c r="M162" s="59">
        <f>IF(C162=1,J162*Geometry!$G$19,0)+IF(C162=2,J162*Geometry!$H$19,0)+IF(C162=3,J162*Geometry!$I$19,0)+IF(C162=4,J162*Geometry!$J$19,0)+IF(C162=5,J162*Geometry!$K$19,0)</f>
        <v>0</v>
      </c>
      <c r="N162" s="59">
        <f>IF(C162=1,J162*Geometry!$G$22,0)+IF(C162=2,J162*Geometry!$H$22,0)+IF(C162=3,J162*Geometry!$I$22,0)+IF(C162=4,J162*Geometry!$J$22,0)+IF(C162=5,J162*Geometry!$K$22,0)</f>
        <v>0</v>
      </c>
      <c r="O162" s="59">
        <f>IF(C162=1,J162*Geometry!$G$23,0)+IF(C162=2,J162*Geometry!$H$23,0)+IF(C162=3,J162*Geometry!$I$23,0)+IF(C162=4,J162*Geometry!$J$23,0)+IF(C162=5,J162*Geometry!$K$23,0)</f>
        <v>0</v>
      </c>
      <c r="P162">
        <f>IF(C162=1,J162*Geometry!$G$24,0)+IF(C162=2,J162*Geometry!$H$24,0)+IF(C162=3,J162*Geometry!$I$24,0)+IF(C162=4,J162*Geometry!$J$24,0)+IF(C162=5,J162*Geometry!$K$24,0)</f>
        <v>0</v>
      </c>
    </row>
    <row r="163" spans="1:16">
      <c r="A163">
        <f t="shared" si="28"/>
        <v>157</v>
      </c>
      <c r="C163" s="7">
        <f t="shared" si="24"/>
        <v>3</v>
      </c>
      <c r="D163" s="69">
        <f>D162+Geometry!$C$15</f>
        <v>990</v>
      </c>
      <c r="E163" s="59">
        <f t="shared" si="29"/>
        <v>-675</v>
      </c>
      <c r="F163" s="4">
        <f>Geometry!$D$12*D163</f>
        <v>23.969647058823533</v>
      </c>
      <c r="G163" s="4">
        <f t="shared" si="30"/>
        <v>0</v>
      </c>
      <c r="H163" s="4">
        <f>IF(ABS(E163*E163)&lt;=Geometry!$E$10,SQRT(Geometry!$E$10-E163*E163),0)</f>
        <v>0</v>
      </c>
      <c r="I163" s="4">
        <f t="shared" si="31"/>
        <v>0</v>
      </c>
      <c r="J163">
        <f t="shared" si="32"/>
        <v>0</v>
      </c>
      <c r="K163" s="59">
        <f>IF(C163=1,J163*Geometry!$G$21,0)+IF(C163=2,J163*Geometry!$H$21,0)+IF(C163=3,J163*Geometry!$I$21,0)+IF(C163=4,J163*Geometry!$J$21,0)+IF(C163=5,J163*Geometry!$K$21,0)</f>
        <v>0</v>
      </c>
      <c r="L163" s="59">
        <f>IF(C163=1,J163*Geometry!$G$20,0)+IF(C163=2,J163*Geometry!$H$20,0)+IF(C163=3,J163*Geometry!$I$20,0)+IF(C163=4,J163*Geometry!$J$20,0)+IF(C163=5,J163*Geometry!$K$20,0)</f>
        <v>0</v>
      </c>
      <c r="M163" s="59">
        <f>IF(C163=1,J163*Geometry!$G$19,0)+IF(C163=2,J163*Geometry!$H$19,0)+IF(C163=3,J163*Geometry!$I$19,0)+IF(C163=4,J163*Geometry!$J$19,0)+IF(C163=5,J163*Geometry!$K$19,0)</f>
        <v>0</v>
      </c>
      <c r="N163" s="59">
        <f>IF(C163=1,J163*Geometry!$G$22,0)+IF(C163=2,J163*Geometry!$H$22,0)+IF(C163=3,J163*Geometry!$I$22,0)+IF(C163=4,J163*Geometry!$J$22,0)+IF(C163=5,J163*Geometry!$K$22,0)</f>
        <v>0</v>
      </c>
      <c r="O163" s="59">
        <f>IF(C163=1,J163*Geometry!$G$23,0)+IF(C163=2,J163*Geometry!$H$23,0)+IF(C163=3,J163*Geometry!$I$23,0)+IF(C163=4,J163*Geometry!$J$23,0)+IF(C163=5,J163*Geometry!$K$23,0)</f>
        <v>0</v>
      </c>
      <c r="P163">
        <f>IF(C163=1,J163*Geometry!$G$24,0)+IF(C163=2,J163*Geometry!$H$24,0)+IF(C163=3,J163*Geometry!$I$24,0)+IF(C163=4,J163*Geometry!$J$24,0)+IF(C163=5,J163*Geometry!$K$24,0)</f>
        <v>0</v>
      </c>
    </row>
    <row r="164" spans="1:16">
      <c r="A164">
        <f t="shared" si="28"/>
        <v>158</v>
      </c>
      <c r="C164" s="7">
        <f t="shared" si="24"/>
        <v>3</v>
      </c>
      <c r="D164" s="69">
        <f>D163+Geometry!$C$15</f>
        <v>995</v>
      </c>
      <c r="E164" s="59">
        <f t="shared" si="29"/>
        <v>-680</v>
      </c>
      <c r="F164" s="4">
        <f>Geometry!$D$12*D164</f>
        <v>24.090705882352946</v>
      </c>
      <c r="G164" s="4">
        <f t="shared" si="30"/>
        <v>0</v>
      </c>
      <c r="H164" s="4">
        <f>IF(ABS(E164*E164)&lt;=Geometry!$E$10,SQRT(Geometry!$E$10-E164*E164),0)</f>
        <v>0</v>
      </c>
      <c r="I164" s="4">
        <f t="shared" si="31"/>
        <v>0</v>
      </c>
      <c r="J164">
        <f t="shared" si="32"/>
        <v>0</v>
      </c>
      <c r="K164" s="59">
        <f>IF(C164=1,J164*Geometry!$G$21,0)+IF(C164=2,J164*Geometry!$H$21,0)+IF(C164=3,J164*Geometry!$I$21,0)+IF(C164=4,J164*Geometry!$J$21,0)+IF(C164=5,J164*Geometry!$K$21,0)</f>
        <v>0</v>
      </c>
      <c r="L164" s="59">
        <f>IF(C164=1,J164*Geometry!$G$20,0)+IF(C164=2,J164*Geometry!$H$20,0)+IF(C164=3,J164*Geometry!$I$20,0)+IF(C164=4,J164*Geometry!$J$20,0)+IF(C164=5,J164*Geometry!$K$20,0)</f>
        <v>0</v>
      </c>
      <c r="M164" s="59">
        <f>IF(C164=1,J164*Geometry!$G$19,0)+IF(C164=2,J164*Geometry!$H$19,0)+IF(C164=3,J164*Geometry!$I$19,0)+IF(C164=4,J164*Geometry!$J$19,0)+IF(C164=5,J164*Geometry!$K$19,0)</f>
        <v>0</v>
      </c>
      <c r="N164" s="59">
        <f>IF(C164=1,J164*Geometry!$G$22,0)+IF(C164=2,J164*Geometry!$H$22,0)+IF(C164=3,J164*Geometry!$I$22,0)+IF(C164=4,J164*Geometry!$J$22,0)+IF(C164=5,J164*Geometry!$K$22,0)</f>
        <v>0</v>
      </c>
      <c r="O164" s="59">
        <f>IF(C164=1,J164*Geometry!$G$23,0)+IF(C164=2,J164*Geometry!$H$23,0)+IF(C164=3,J164*Geometry!$I$23,0)+IF(C164=4,J164*Geometry!$J$23,0)+IF(C164=5,J164*Geometry!$K$23,0)</f>
        <v>0</v>
      </c>
      <c r="P164">
        <f>IF(C164=1,J164*Geometry!$G$24,0)+IF(C164=2,J164*Geometry!$H$24,0)+IF(C164=3,J164*Geometry!$I$24,0)+IF(C164=4,J164*Geometry!$J$24,0)+IF(C164=5,J164*Geometry!$K$24,0)</f>
        <v>0</v>
      </c>
    </row>
    <row r="165" spans="1:16">
      <c r="A165">
        <f t="shared" si="28"/>
        <v>159</v>
      </c>
      <c r="C165" s="7">
        <f t="shared" si="24"/>
        <v>3</v>
      </c>
      <c r="D165" s="69">
        <f>D164+Geometry!$C$15</f>
        <v>1000</v>
      </c>
      <c r="E165" s="59">
        <f t="shared" si="29"/>
        <v>-685</v>
      </c>
      <c r="F165" s="4">
        <f>Geometry!$D$12*D165</f>
        <v>24.211764705882356</v>
      </c>
      <c r="G165" s="4">
        <f t="shared" si="30"/>
        <v>0</v>
      </c>
      <c r="H165" s="4">
        <f>IF(ABS(E165*E165)&lt;=Geometry!$E$10,SQRT(Geometry!$E$10-E165*E165),0)</f>
        <v>0</v>
      </c>
      <c r="I165" s="4">
        <f t="shared" si="31"/>
        <v>0</v>
      </c>
      <c r="J165">
        <f t="shared" si="32"/>
        <v>0</v>
      </c>
      <c r="K165" s="59">
        <f>IF(C165=1,J165*Geometry!$G$21,0)+IF(C165=2,J165*Geometry!$H$21,0)+IF(C165=3,J165*Geometry!$I$21,0)+IF(C165=4,J165*Geometry!$J$21,0)+IF(C165=5,J165*Geometry!$K$21,0)</f>
        <v>0</v>
      </c>
      <c r="L165" s="59">
        <f>IF(C165=1,J165*Geometry!$G$20,0)+IF(C165=2,J165*Geometry!$H$20,0)+IF(C165=3,J165*Geometry!$I$20,0)+IF(C165=4,J165*Geometry!$J$20,0)+IF(C165=5,J165*Geometry!$K$20,0)</f>
        <v>0</v>
      </c>
      <c r="M165" s="59">
        <f>IF(C165=1,J165*Geometry!$G$19,0)+IF(C165=2,J165*Geometry!$H$19,0)+IF(C165=3,J165*Geometry!$I$19,0)+IF(C165=4,J165*Geometry!$J$19,0)+IF(C165=5,J165*Geometry!$K$19,0)</f>
        <v>0</v>
      </c>
      <c r="N165" s="59">
        <f>IF(C165=1,J165*Geometry!$G$22,0)+IF(C165=2,J165*Geometry!$H$22,0)+IF(C165=3,J165*Geometry!$I$22,0)+IF(C165=4,J165*Geometry!$J$22,0)+IF(C165=5,J165*Geometry!$K$22,0)</f>
        <v>0</v>
      </c>
      <c r="O165" s="59">
        <f>IF(C165=1,J165*Geometry!$G$23,0)+IF(C165=2,J165*Geometry!$H$23,0)+IF(C165=3,J165*Geometry!$I$23,0)+IF(C165=4,J165*Geometry!$J$23,0)+IF(C165=5,J165*Geometry!$K$23,0)</f>
        <v>0</v>
      </c>
      <c r="P165">
        <f>IF(C165=1,J165*Geometry!$G$24,0)+IF(C165=2,J165*Geometry!$H$24,0)+IF(C165=3,J165*Geometry!$I$24,0)+IF(C165=4,J165*Geometry!$J$24,0)+IF(C165=5,J165*Geometry!$K$24,0)</f>
        <v>0</v>
      </c>
    </row>
    <row r="166" spans="1:16">
      <c r="A166">
        <f t="shared" si="28"/>
        <v>160</v>
      </c>
      <c r="C166" s="7">
        <f t="shared" si="24"/>
        <v>3</v>
      </c>
      <c r="D166" s="69">
        <f>D165+Geometry!$C$15</f>
        <v>1005</v>
      </c>
      <c r="E166" s="59">
        <f t="shared" si="29"/>
        <v>-690</v>
      </c>
      <c r="F166" s="4">
        <f>Geometry!$D$12*D166</f>
        <v>24.332823529411769</v>
      </c>
      <c r="G166" s="4">
        <f t="shared" si="30"/>
        <v>0</v>
      </c>
      <c r="H166" s="4">
        <f>IF(ABS(E166*E166)&lt;=Geometry!$E$10,SQRT(Geometry!$E$10-E166*E166),0)</f>
        <v>0</v>
      </c>
      <c r="I166" s="4">
        <f t="shared" si="31"/>
        <v>0</v>
      </c>
      <c r="J166">
        <f t="shared" si="32"/>
        <v>0</v>
      </c>
      <c r="K166" s="59">
        <f>IF(C166=1,J166*Geometry!$G$21,0)+IF(C166=2,J166*Geometry!$H$21,0)+IF(C166=3,J166*Geometry!$I$21,0)+IF(C166=4,J166*Geometry!$J$21,0)+IF(C166=5,J166*Geometry!$K$21,0)</f>
        <v>0</v>
      </c>
      <c r="L166" s="59">
        <f>IF(C166=1,J166*Geometry!$G$20,0)+IF(C166=2,J166*Geometry!$H$20,0)+IF(C166=3,J166*Geometry!$I$20,0)+IF(C166=4,J166*Geometry!$J$20,0)+IF(C166=5,J166*Geometry!$K$20,0)</f>
        <v>0</v>
      </c>
      <c r="M166" s="59">
        <f>IF(C166=1,J166*Geometry!$G$19,0)+IF(C166=2,J166*Geometry!$H$19,0)+IF(C166=3,J166*Geometry!$I$19,0)+IF(C166=4,J166*Geometry!$J$19,0)+IF(C166=5,J166*Geometry!$K$19,0)</f>
        <v>0</v>
      </c>
      <c r="N166" s="59">
        <f>IF(C166=1,J166*Geometry!$G$22,0)+IF(C166=2,J166*Geometry!$H$22,0)+IF(C166=3,J166*Geometry!$I$22,0)+IF(C166=4,J166*Geometry!$J$22,0)+IF(C166=5,J166*Geometry!$K$22,0)</f>
        <v>0</v>
      </c>
      <c r="O166" s="59">
        <f>IF(C166=1,J166*Geometry!$G$23,0)+IF(C166=2,J166*Geometry!$H$23,0)+IF(C166=3,J166*Geometry!$I$23,0)+IF(C166=4,J166*Geometry!$J$23,0)+IF(C166=5,J166*Geometry!$K$23,0)</f>
        <v>0</v>
      </c>
      <c r="P166">
        <f>IF(C166=1,J166*Geometry!$G$24,0)+IF(C166=2,J166*Geometry!$H$24,0)+IF(C166=3,J166*Geometry!$I$24,0)+IF(C166=4,J166*Geometry!$J$24,0)+IF(C166=5,J166*Geometry!$K$24,0)</f>
        <v>0</v>
      </c>
    </row>
    <row r="167" spans="1:16">
      <c r="A167">
        <f t="shared" si="28"/>
        <v>161</v>
      </c>
      <c r="C167" s="7">
        <f t="shared" ref="C136:C199" si="33">IF(A167&gt;$C$1-$C$4,3,IF(A167&lt;2,3,IF(A167&lt;=$C$2-$C$3,1,IF(A167&gt;$C$2,1,2))))</f>
        <v>3</v>
      </c>
      <c r="D167" s="69">
        <f>D166+Geometry!$C$15</f>
        <v>1010</v>
      </c>
      <c r="E167" s="59">
        <f t="shared" si="29"/>
        <v>-695</v>
      </c>
      <c r="F167" s="4">
        <f>Geometry!$D$12*D167</f>
        <v>24.453882352941179</v>
      </c>
      <c r="G167" s="4">
        <f t="shared" si="30"/>
        <v>0</v>
      </c>
      <c r="H167" s="4">
        <f>IF(ABS(E167*E167)&lt;=Geometry!$E$10,SQRT(Geometry!$E$10-E167*E167),0)</f>
        <v>0</v>
      </c>
      <c r="I167" s="4">
        <f t="shared" si="31"/>
        <v>0</v>
      </c>
      <c r="J167">
        <f t="shared" si="32"/>
        <v>0</v>
      </c>
      <c r="K167" s="59">
        <f>IF(C167=1,J167*Geometry!$G$21,0)+IF(C167=2,J167*Geometry!$H$21,0)+IF(C167=3,J167*Geometry!$I$21,0)+IF(C167=4,J167*Geometry!$J$21,0)+IF(C167=5,J167*Geometry!$K$21,0)</f>
        <v>0</v>
      </c>
      <c r="L167" s="59">
        <f>IF(C167=1,J167*Geometry!$G$20,0)+IF(C167=2,J167*Geometry!$H$20,0)+IF(C167=3,J167*Geometry!$I$20,0)+IF(C167=4,J167*Geometry!$J$20,0)+IF(C167=5,J167*Geometry!$K$20,0)</f>
        <v>0</v>
      </c>
      <c r="M167" s="59">
        <f>IF(C167=1,J167*Geometry!$G$19,0)+IF(C167=2,J167*Geometry!$H$19,0)+IF(C167=3,J167*Geometry!$I$19,0)+IF(C167=4,J167*Geometry!$J$19,0)+IF(C167=5,J167*Geometry!$K$19,0)</f>
        <v>0</v>
      </c>
      <c r="N167" s="59">
        <f>IF(C167=1,J167*Geometry!$G$22,0)+IF(C167=2,J167*Geometry!$H$22,0)+IF(C167=3,J167*Geometry!$I$22,0)+IF(C167=4,J167*Geometry!$J$22,0)+IF(C167=5,J167*Geometry!$K$22,0)</f>
        <v>0</v>
      </c>
      <c r="O167" s="59">
        <f>IF(C167=1,J167*Geometry!$G$23,0)+IF(C167=2,J167*Geometry!$H$23,0)+IF(C167=3,J167*Geometry!$I$23,0)+IF(C167=4,J167*Geometry!$J$23,0)+IF(C167=5,J167*Geometry!$K$23,0)</f>
        <v>0</v>
      </c>
      <c r="P167">
        <f>IF(C167=1,J167*Geometry!$G$24,0)+IF(C167=2,J167*Geometry!$H$24,0)+IF(C167=3,J167*Geometry!$I$24,0)+IF(C167=4,J167*Geometry!$J$24,0)+IF(C167=5,J167*Geometry!$K$24,0)</f>
        <v>0</v>
      </c>
    </row>
    <row r="168" spans="1:16">
      <c r="A168">
        <f t="shared" si="28"/>
        <v>162</v>
      </c>
      <c r="C168" s="7">
        <f t="shared" si="33"/>
        <v>3</v>
      </c>
      <c r="D168" s="69">
        <f>D167+Geometry!$C$15</f>
        <v>1015</v>
      </c>
      <c r="E168" s="59">
        <f t="shared" si="29"/>
        <v>-700</v>
      </c>
      <c r="F168" s="4">
        <f>Geometry!$D$12*D168</f>
        <v>24.574941176470592</v>
      </c>
      <c r="G168" s="4">
        <f t="shared" si="30"/>
        <v>0</v>
      </c>
      <c r="H168" s="4">
        <f>IF(ABS(E168*E168)&lt;=Geometry!$E$10,SQRT(Geometry!$E$10-E168*E168),0)</f>
        <v>0</v>
      </c>
      <c r="I168" s="4">
        <f t="shared" si="31"/>
        <v>0</v>
      </c>
      <c r="J168">
        <f t="shared" si="32"/>
        <v>0</v>
      </c>
      <c r="K168" s="59">
        <f>IF(C168=1,J168*Geometry!$G$21,0)+IF(C168=2,J168*Geometry!$H$21,0)+IF(C168=3,J168*Geometry!$I$21,0)+IF(C168=4,J168*Geometry!$J$21,0)+IF(C168=5,J168*Geometry!$K$21,0)</f>
        <v>0</v>
      </c>
      <c r="L168" s="59">
        <f>IF(C168=1,J168*Geometry!$G$20,0)+IF(C168=2,J168*Geometry!$H$20,0)+IF(C168=3,J168*Geometry!$I$20,0)+IF(C168=4,J168*Geometry!$J$20,0)+IF(C168=5,J168*Geometry!$K$20,0)</f>
        <v>0</v>
      </c>
      <c r="M168" s="59">
        <f>IF(C168=1,J168*Geometry!$G$19,0)+IF(C168=2,J168*Geometry!$H$19,0)+IF(C168=3,J168*Geometry!$I$19,0)+IF(C168=4,J168*Geometry!$J$19,0)+IF(C168=5,J168*Geometry!$K$19,0)</f>
        <v>0</v>
      </c>
      <c r="N168" s="59">
        <f>IF(C168=1,J168*Geometry!$G$22,0)+IF(C168=2,J168*Geometry!$H$22,0)+IF(C168=3,J168*Geometry!$I$22,0)+IF(C168=4,J168*Geometry!$J$22,0)+IF(C168=5,J168*Geometry!$K$22,0)</f>
        <v>0</v>
      </c>
      <c r="O168" s="59">
        <f>IF(C168=1,J168*Geometry!$G$23,0)+IF(C168=2,J168*Geometry!$H$23,0)+IF(C168=3,J168*Geometry!$I$23,0)+IF(C168=4,J168*Geometry!$J$23,0)+IF(C168=5,J168*Geometry!$K$23,0)</f>
        <v>0</v>
      </c>
      <c r="P168">
        <f>IF(C168=1,J168*Geometry!$G$24,0)+IF(C168=2,J168*Geometry!$H$24,0)+IF(C168=3,J168*Geometry!$I$24,0)+IF(C168=4,J168*Geometry!$J$24,0)+IF(C168=5,J168*Geometry!$K$24,0)</f>
        <v>0</v>
      </c>
    </row>
    <row r="169" spans="1:16">
      <c r="A169">
        <f t="shared" si="28"/>
        <v>163</v>
      </c>
      <c r="C169" s="7">
        <f t="shared" si="33"/>
        <v>3</v>
      </c>
      <c r="D169" s="69">
        <f>D168+Geometry!$C$15</f>
        <v>1020</v>
      </c>
      <c r="E169" s="59">
        <f t="shared" si="29"/>
        <v>-705</v>
      </c>
      <c r="F169" s="4">
        <f>Geometry!$D$12*D169</f>
        <v>24.696000000000005</v>
      </c>
      <c r="G169" s="4">
        <f t="shared" si="30"/>
        <v>0</v>
      </c>
      <c r="H169" s="4">
        <f>IF(ABS(E169*E169)&lt;=Geometry!$E$10,SQRT(Geometry!$E$10-E169*E169),0)</f>
        <v>0</v>
      </c>
      <c r="I169" s="4">
        <f t="shared" si="31"/>
        <v>0</v>
      </c>
      <c r="J169">
        <f t="shared" si="32"/>
        <v>0</v>
      </c>
      <c r="K169" s="59">
        <f>IF(C169=1,J169*Geometry!$G$21,0)+IF(C169=2,J169*Geometry!$H$21,0)+IF(C169=3,J169*Geometry!$I$21,0)+IF(C169=4,J169*Geometry!$J$21,0)+IF(C169=5,J169*Geometry!$K$21,0)</f>
        <v>0</v>
      </c>
      <c r="L169" s="59">
        <f>IF(C169=1,J169*Geometry!$G$20,0)+IF(C169=2,J169*Geometry!$H$20,0)+IF(C169=3,J169*Geometry!$I$20,0)+IF(C169=4,J169*Geometry!$J$20,0)+IF(C169=5,J169*Geometry!$K$20,0)</f>
        <v>0</v>
      </c>
      <c r="M169" s="59">
        <f>IF(C169=1,J169*Geometry!$G$19,0)+IF(C169=2,J169*Geometry!$H$19,0)+IF(C169=3,J169*Geometry!$I$19,0)+IF(C169=4,J169*Geometry!$J$19,0)+IF(C169=5,J169*Geometry!$K$19,0)</f>
        <v>0</v>
      </c>
      <c r="N169" s="59">
        <f>IF(C169=1,J169*Geometry!$G$22,0)+IF(C169=2,J169*Geometry!$H$22,0)+IF(C169=3,J169*Geometry!$I$22,0)+IF(C169=4,J169*Geometry!$J$22,0)+IF(C169=5,J169*Geometry!$K$22,0)</f>
        <v>0</v>
      </c>
      <c r="O169" s="59">
        <f>IF(C169=1,J169*Geometry!$G$23,0)+IF(C169=2,J169*Geometry!$H$23,0)+IF(C169=3,J169*Geometry!$I$23,0)+IF(C169=4,J169*Geometry!$J$23,0)+IF(C169=5,J169*Geometry!$K$23,0)</f>
        <v>0</v>
      </c>
      <c r="P169">
        <f>IF(C169=1,J169*Geometry!$G$24,0)+IF(C169=2,J169*Geometry!$H$24,0)+IF(C169=3,J169*Geometry!$I$24,0)+IF(C169=4,J169*Geometry!$J$24,0)+IF(C169=5,J169*Geometry!$K$24,0)</f>
        <v>0</v>
      </c>
    </row>
    <row r="170" spans="1:16">
      <c r="A170">
        <f t="shared" si="28"/>
        <v>164</v>
      </c>
      <c r="C170" s="7">
        <f t="shared" si="33"/>
        <v>3</v>
      </c>
      <c r="D170" s="69">
        <f>D169+Geometry!$C$15</f>
        <v>1025</v>
      </c>
      <c r="E170" s="59">
        <f t="shared" si="29"/>
        <v>-710</v>
      </c>
      <c r="F170" s="4">
        <f>Geometry!$D$12*D170</f>
        <v>24.817058823529415</v>
      </c>
      <c r="G170" s="4">
        <f t="shared" si="30"/>
        <v>0</v>
      </c>
      <c r="H170" s="4">
        <f>IF(ABS(E170*E170)&lt;=Geometry!$E$10,SQRT(Geometry!$E$10-E170*E170),0)</f>
        <v>0</v>
      </c>
      <c r="I170" s="4">
        <f t="shared" si="31"/>
        <v>0</v>
      </c>
      <c r="J170">
        <f t="shared" si="32"/>
        <v>0</v>
      </c>
      <c r="K170" s="59">
        <f>IF(C170=1,J170*Geometry!$G$21,0)+IF(C170=2,J170*Geometry!$H$21,0)+IF(C170=3,J170*Geometry!$I$21,0)+IF(C170=4,J170*Geometry!$J$21,0)+IF(C170=5,J170*Geometry!$K$21,0)</f>
        <v>0</v>
      </c>
      <c r="L170" s="59">
        <f>IF(C170=1,J170*Geometry!$G$20,0)+IF(C170=2,J170*Geometry!$H$20,0)+IF(C170=3,J170*Geometry!$I$20,0)+IF(C170=4,J170*Geometry!$J$20,0)+IF(C170=5,J170*Geometry!$K$20,0)</f>
        <v>0</v>
      </c>
      <c r="M170" s="59">
        <f>IF(C170=1,J170*Geometry!$G$19,0)+IF(C170=2,J170*Geometry!$H$19,0)+IF(C170=3,J170*Geometry!$I$19,0)+IF(C170=4,J170*Geometry!$J$19,0)+IF(C170=5,J170*Geometry!$K$19,0)</f>
        <v>0</v>
      </c>
      <c r="N170" s="59">
        <f>IF(C170=1,J170*Geometry!$G$22,0)+IF(C170=2,J170*Geometry!$H$22,0)+IF(C170=3,J170*Geometry!$I$22,0)+IF(C170=4,J170*Geometry!$J$22,0)+IF(C170=5,J170*Geometry!$K$22,0)</f>
        <v>0</v>
      </c>
      <c r="O170" s="59">
        <f>IF(C170=1,J170*Geometry!$G$23,0)+IF(C170=2,J170*Geometry!$H$23,0)+IF(C170=3,J170*Geometry!$I$23,0)+IF(C170=4,J170*Geometry!$J$23,0)+IF(C170=5,J170*Geometry!$K$23,0)</f>
        <v>0</v>
      </c>
      <c r="P170">
        <f>IF(C170=1,J170*Geometry!$G$24,0)+IF(C170=2,J170*Geometry!$H$24,0)+IF(C170=3,J170*Geometry!$I$24,0)+IF(C170=4,J170*Geometry!$J$24,0)+IF(C170=5,J170*Geometry!$K$24,0)</f>
        <v>0</v>
      </c>
    </row>
    <row r="171" spans="1:16">
      <c r="A171">
        <f t="shared" si="28"/>
        <v>165</v>
      </c>
      <c r="C171" s="7">
        <f t="shared" si="33"/>
        <v>3</v>
      </c>
      <c r="D171" s="69">
        <f>D170+Geometry!$C$15</f>
        <v>1030</v>
      </c>
      <c r="E171" s="59">
        <f t="shared" si="29"/>
        <v>-715</v>
      </c>
      <c r="F171" s="4">
        <f>Geometry!$D$12*D171</f>
        <v>24.938117647058828</v>
      </c>
      <c r="G171" s="4">
        <f t="shared" si="30"/>
        <v>0</v>
      </c>
      <c r="H171" s="4">
        <f>IF(ABS(E171*E171)&lt;=Geometry!$E$10,SQRT(Geometry!$E$10-E171*E171),0)</f>
        <v>0</v>
      </c>
      <c r="I171" s="4">
        <f t="shared" si="31"/>
        <v>0</v>
      </c>
      <c r="J171">
        <f t="shared" si="32"/>
        <v>0</v>
      </c>
      <c r="K171" s="59">
        <f>IF(C171=1,J171*Geometry!$G$21,0)+IF(C171=2,J171*Geometry!$H$21,0)+IF(C171=3,J171*Geometry!$I$21,0)+IF(C171=4,J171*Geometry!$J$21,0)+IF(C171=5,J171*Geometry!$K$21,0)</f>
        <v>0</v>
      </c>
      <c r="L171" s="59">
        <f>IF(C171=1,J171*Geometry!$G$20,0)+IF(C171=2,J171*Geometry!$H$20,0)+IF(C171=3,J171*Geometry!$I$20,0)+IF(C171=4,J171*Geometry!$J$20,0)+IF(C171=5,J171*Geometry!$K$20,0)</f>
        <v>0</v>
      </c>
      <c r="M171" s="59">
        <f>IF(C171=1,J171*Geometry!$G$19,0)+IF(C171=2,J171*Geometry!$H$19,0)+IF(C171=3,J171*Geometry!$I$19,0)+IF(C171=4,J171*Geometry!$J$19,0)+IF(C171=5,J171*Geometry!$K$19,0)</f>
        <v>0</v>
      </c>
      <c r="N171" s="59">
        <f>IF(C171=1,J171*Geometry!$G$22,0)+IF(C171=2,J171*Geometry!$H$22,0)+IF(C171=3,J171*Geometry!$I$22,0)+IF(C171=4,J171*Geometry!$J$22,0)+IF(C171=5,J171*Geometry!$K$22,0)</f>
        <v>0</v>
      </c>
      <c r="O171" s="59">
        <f>IF(C171=1,J171*Geometry!$G$23,0)+IF(C171=2,J171*Geometry!$H$23,0)+IF(C171=3,J171*Geometry!$I$23,0)+IF(C171=4,J171*Geometry!$J$23,0)+IF(C171=5,J171*Geometry!$K$23,0)</f>
        <v>0</v>
      </c>
      <c r="P171">
        <f>IF(C171=1,J171*Geometry!$G$24,0)+IF(C171=2,J171*Geometry!$H$24,0)+IF(C171=3,J171*Geometry!$I$24,0)+IF(C171=4,J171*Geometry!$J$24,0)+IF(C171=5,J171*Geometry!$K$24,0)</f>
        <v>0</v>
      </c>
    </row>
    <row r="172" spans="1:16">
      <c r="A172">
        <f t="shared" si="28"/>
        <v>166</v>
      </c>
      <c r="C172" s="7">
        <f t="shared" si="33"/>
        <v>3</v>
      </c>
      <c r="D172" s="69">
        <f>D171+Geometry!$C$15</f>
        <v>1035</v>
      </c>
      <c r="E172" s="59">
        <f t="shared" si="29"/>
        <v>-720</v>
      </c>
      <c r="F172" s="4">
        <f>Geometry!$D$12*D172</f>
        <v>25.059176470588238</v>
      </c>
      <c r="G172" s="4">
        <f t="shared" si="30"/>
        <v>0</v>
      </c>
      <c r="H172" s="4">
        <f>IF(ABS(E172*E172)&lt;=Geometry!$E$10,SQRT(Geometry!$E$10-E172*E172),0)</f>
        <v>0</v>
      </c>
      <c r="I172" s="4">
        <f t="shared" si="31"/>
        <v>0</v>
      </c>
      <c r="J172">
        <f t="shared" si="32"/>
        <v>0</v>
      </c>
      <c r="K172" s="59">
        <f>IF(C172=1,J172*Geometry!$G$21,0)+IF(C172=2,J172*Geometry!$H$21,0)+IF(C172=3,J172*Geometry!$I$21,0)+IF(C172=4,J172*Geometry!$J$21,0)+IF(C172=5,J172*Geometry!$K$21,0)</f>
        <v>0</v>
      </c>
      <c r="L172" s="59">
        <f>IF(C172=1,J172*Geometry!$G$20,0)+IF(C172=2,J172*Geometry!$H$20,0)+IF(C172=3,J172*Geometry!$I$20,0)+IF(C172=4,J172*Geometry!$J$20,0)+IF(C172=5,J172*Geometry!$K$20,0)</f>
        <v>0</v>
      </c>
      <c r="M172" s="59">
        <f>IF(C172=1,J172*Geometry!$G$19,0)+IF(C172=2,J172*Geometry!$H$19,0)+IF(C172=3,J172*Geometry!$I$19,0)+IF(C172=4,J172*Geometry!$J$19,0)+IF(C172=5,J172*Geometry!$K$19,0)</f>
        <v>0</v>
      </c>
      <c r="N172" s="59">
        <f>IF(C172=1,J172*Geometry!$G$22,0)+IF(C172=2,J172*Geometry!$H$22,0)+IF(C172=3,J172*Geometry!$I$22,0)+IF(C172=4,J172*Geometry!$J$22,0)+IF(C172=5,J172*Geometry!$K$22,0)</f>
        <v>0</v>
      </c>
      <c r="O172" s="59">
        <f>IF(C172=1,J172*Geometry!$G$23,0)+IF(C172=2,J172*Geometry!$H$23,0)+IF(C172=3,J172*Geometry!$I$23,0)+IF(C172=4,J172*Geometry!$J$23,0)+IF(C172=5,J172*Geometry!$K$23,0)</f>
        <v>0</v>
      </c>
      <c r="P172">
        <f>IF(C172=1,J172*Geometry!$G$24,0)+IF(C172=2,J172*Geometry!$H$24,0)+IF(C172=3,J172*Geometry!$I$24,0)+IF(C172=4,J172*Geometry!$J$24,0)+IF(C172=5,J172*Geometry!$K$24,0)</f>
        <v>0</v>
      </c>
    </row>
    <row r="173" spans="1:16">
      <c r="A173">
        <f t="shared" si="28"/>
        <v>167</v>
      </c>
      <c r="C173" s="7">
        <f t="shared" si="33"/>
        <v>3</v>
      </c>
      <c r="D173" s="69">
        <f>D172+Geometry!$C$15</f>
        <v>1040</v>
      </c>
      <c r="E173" s="59">
        <f t="shared" si="29"/>
        <v>-725</v>
      </c>
      <c r="F173" s="4">
        <f>Geometry!$D$12*D173</f>
        <v>25.180235294117651</v>
      </c>
      <c r="G173" s="4">
        <f t="shared" si="30"/>
        <v>0</v>
      </c>
      <c r="H173" s="4">
        <f>IF(ABS(E173*E173)&lt;=Geometry!$E$10,SQRT(Geometry!$E$10-E173*E173),0)</f>
        <v>0</v>
      </c>
      <c r="I173" s="4">
        <f t="shared" si="31"/>
        <v>0</v>
      </c>
      <c r="J173">
        <f t="shared" si="32"/>
        <v>0</v>
      </c>
      <c r="K173" s="59">
        <f>IF(C173=1,J173*Geometry!$G$21,0)+IF(C173=2,J173*Geometry!$H$21,0)+IF(C173=3,J173*Geometry!$I$21,0)+IF(C173=4,J173*Geometry!$J$21,0)+IF(C173=5,J173*Geometry!$K$21,0)</f>
        <v>0</v>
      </c>
      <c r="L173" s="59">
        <f>IF(C173=1,J173*Geometry!$G$20,0)+IF(C173=2,J173*Geometry!$H$20,0)+IF(C173=3,J173*Geometry!$I$20,0)+IF(C173=4,J173*Geometry!$J$20,0)+IF(C173=5,J173*Geometry!$K$20,0)</f>
        <v>0</v>
      </c>
      <c r="M173" s="59">
        <f>IF(C173=1,J173*Geometry!$G$19,0)+IF(C173=2,J173*Geometry!$H$19,0)+IF(C173=3,J173*Geometry!$I$19,0)+IF(C173=4,J173*Geometry!$J$19,0)+IF(C173=5,J173*Geometry!$K$19,0)</f>
        <v>0</v>
      </c>
      <c r="N173" s="59">
        <f>IF(C173=1,J173*Geometry!$G$22,0)+IF(C173=2,J173*Geometry!$H$22,0)+IF(C173=3,J173*Geometry!$I$22,0)+IF(C173=4,J173*Geometry!$J$22,0)+IF(C173=5,J173*Geometry!$K$22,0)</f>
        <v>0</v>
      </c>
      <c r="O173" s="59">
        <f>IF(C173=1,J173*Geometry!$G$23,0)+IF(C173=2,J173*Geometry!$H$23,0)+IF(C173=3,J173*Geometry!$I$23,0)+IF(C173=4,J173*Geometry!$J$23,0)+IF(C173=5,J173*Geometry!$K$23,0)</f>
        <v>0</v>
      </c>
      <c r="P173">
        <f>IF(C173=1,J173*Geometry!$G$24,0)+IF(C173=2,J173*Geometry!$H$24,0)+IF(C173=3,J173*Geometry!$I$24,0)+IF(C173=4,J173*Geometry!$J$24,0)+IF(C173=5,J173*Geometry!$K$24,0)</f>
        <v>0</v>
      </c>
    </row>
    <row r="174" spans="1:16">
      <c r="A174">
        <f t="shared" si="28"/>
        <v>168</v>
      </c>
      <c r="C174" s="7">
        <f t="shared" si="33"/>
        <v>3</v>
      </c>
      <c r="D174" s="69">
        <f>D173+Geometry!$C$15</f>
        <v>1045</v>
      </c>
      <c r="E174" s="59">
        <f t="shared" si="29"/>
        <v>-730</v>
      </c>
      <c r="F174" s="4">
        <f>Geometry!$D$12*D174</f>
        <v>25.301294117647064</v>
      </c>
      <c r="G174" s="4">
        <f t="shared" si="30"/>
        <v>0</v>
      </c>
      <c r="H174" s="4">
        <f>IF(ABS(E174*E174)&lt;=Geometry!$E$10,SQRT(Geometry!$E$10-E174*E174),0)</f>
        <v>0</v>
      </c>
      <c r="I174" s="4">
        <f t="shared" si="31"/>
        <v>0</v>
      </c>
      <c r="J174">
        <f t="shared" si="32"/>
        <v>0</v>
      </c>
      <c r="K174" s="59">
        <f>IF(C174=1,J174*Geometry!$G$21,0)+IF(C174=2,J174*Geometry!$H$21,0)+IF(C174=3,J174*Geometry!$I$21,0)+IF(C174=4,J174*Geometry!$J$21,0)+IF(C174=5,J174*Geometry!$K$21,0)</f>
        <v>0</v>
      </c>
      <c r="L174" s="59">
        <f>IF(C174=1,J174*Geometry!$G$20,0)+IF(C174=2,J174*Geometry!$H$20,0)+IF(C174=3,J174*Geometry!$I$20,0)+IF(C174=4,J174*Geometry!$J$20,0)+IF(C174=5,J174*Geometry!$K$20,0)</f>
        <v>0</v>
      </c>
      <c r="M174" s="59">
        <f>IF(C174=1,J174*Geometry!$G$19,0)+IF(C174=2,J174*Geometry!$H$19,0)+IF(C174=3,J174*Geometry!$I$19,0)+IF(C174=4,J174*Geometry!$J$19,0)+IF(C174=5,J174*Geometry!$K$19,0)</f>
        <v>0</v>
      </c>
      <c r="N174" s="59">
        <f>IF(C174=1,J174*Geometry!$G$22,0)+IF(C174=2,J174*Geometry!$H$22,0)+IF(C174=3,J174*Geometry!$I$22,0)+IF(C174=4,J174*Geometry!$J$22,0)+IF(C174=5,J174*Geometry!$K$22,0)</f>
        <v>0</v>
      </c>
      <c r="O174" s="59">
        <f>IF(C174=1,J174*Geometry!$G$23,0)+IF(C174=2,J174*Geometry!$H$23,0)+IF(C174=3,J174*Geometry!$I$23,0)+IF(C174=4,J174*Geometry!$J$23,0)+IF(C174=5,J174*Geometry!$K$23,0)</f>
        <v>0</v>
      </c>
      <c r="P174">
        <f>IF(C174=1,J174*Geometry!$G$24,0)+IF(C174=2,J174*Geometry!$H$24,0)+IF(C174=3,J174*Geometry!$I$24,0)+IF(C174=4,J174*Geometry!$J$24,0)+IF(C174=5,J174*Geometry!$K$24,0)</f>
        <v>0</v>
      </c>
    </row>
    <row r="175" spans="1:16">
      <c r="A175">
        <f t="shared" si="28"/>
        <v>169</v>
      </c>
      <c r="C175" s="7">
        <f t="shared" si="33"/>
        <v>3</v>
      </c>
      <c r="D175" s="69">
        <f>D174+Geometry!$C$15</f>
        <v>1050</v>
      </c>
      <c r="E175" s="59">
        <f t="shared" si="29"/>
        <v>-735</v>
      </c>
      <c r="F175" s="4">
        <f>Geometry!$D$12*D175</f>
        <v>25.422352941176474</v>
      </c>
      <c r="G175" s="4">
        <f t="shared" si="30"/>
        <v>0</v>
      </c>
      <c r="H175" s="4">
        <f>IF(ABS(E175*E175)&lt;=Geometry!$E$10,SQRT(Geometry!$E$10-E175*E175),0)</f>
        <v>0</v>
      </c>
      <c r="I175" s="4">
        <f t="shared" si="31"/>
        <v>0</v>
      </c>
      <c r="J175">
        <f t="shared" si="32"/>
        <v>0</v>
      </c>
      <c r="K175" s="59">
        <f>IF(C175=1,J175*Geometry!$G$21,0)+IF(C175=2,J175*Geometry!$H$21,0)+IF(C175=3,J175*Geometry!$I$21,0)+IF(C175=4,J175*Geometry!$J$21,0)+IF(C175=5,J175*Geometry!$K$21,0)</f>
        <v>0</v>
      </c>
      <c r="L175" s="59">
        <f>IF(C175=1,J175*Geometry!$G$20,0)+IF(C175=2,J175*Geometry!$H$20,0)+IF(C175=3,J175*Geometry!$I$20,0)+IF(C175=4,J175*Geometry!$J$20,0)+IF(C175=5,J175*Geometry!$K$20,0)</f>
        <v>0</v>
      </c>
      <c r="M175" s="59">
        <f>IF(C175=1,J175*Geometry!$G$19,0)+IF(C175=2,J175*Geometry!$H$19,0)+IF(C175=3,J175*Geometry!$I$19,0)+IF(C175=4,J175*Geometry!$J$19,0)+IF(C175=5,J175*Geometry!$K$19,0)</f>
        <v>0</v>
      </c>
      <c r="N175" s="59">
        <f>IF(C175=1,J175*Geometry!$G$22,0)+IF(C175=2,J175*Geometry!$H$22,0)+IF(C175=3,J175*Geometry!$I$22,0)+IF(C175=4,J175*Geometry!$J$22,0)+IF(C175=5,J175*Geometry!$K$22,0)</f>
        <v>0</v>
      </c>
      <c r="O175" s="59">
        <f>IF(C175=1,J175*Geometry!$G$23,0)+IF(C175=2,J175*Geometry!$H$23,0)+IF(C175=3,J175*Geometry!$I$23,0)+IF(C175=4,J175*Geometry!$J$23,0)+IF(C175=5,J175*Geometry!$K$23,0)</f>
        <v>0</v>
      </c>
      <c r="P175">
        <f>IF(C175=1,J175*Geometry!$G$24,0)+IF(C175=2,J175*Geometry!$H$24,0)+IF(C175=3,J175*Geometry!$I$24,0)+IF(C175=4,J175*Geometry!$J$24,0)+IF(C175=5,J175*Geometry!$K$24,0)</f>
        <v>0</v>
      </c>
    </row>
    <row r="176" spans="1:16">
      <c r="A176">
        <f t="shared" si="28"/>
        <v>170</v>
      </c>
      <c r="C176" s="7">
        <f t="shared" si="33"/>
        <v>3</v>
      </c>
      <c r="D176" s="69">
        <f>D175+Geometry!$C$15</f>
        <v>1055</v>
      </c>
      <c r="E176" s="59">
        <f t="shared" si="29"/>
        <v>-740</v>
      </c>
      <c r="F176" s="4">
        <f>Geometry!$D$12*D176</f>
        <v>25.543411764705887</v>
      </c>
      <c r="G176" s="4">
        <f t="shared" si="30"/>
        <v>0</v>
      </c>
      <c r="H176" s="4">
        <f>IF(ABS(E176*E176)&lt;=Geometry!$E$10,SQRT(Geometry!$E$10-E176*E176),0)</f>
        <v>0</v>
      </c>
      <c r="I176" s="4">
        <f t="shared" si="31"/>
        <v>0</v>
      </c>
      <c r="J176">
        <f t="shared" si="32"/>
        <v>0</v>
      </c>
      <c r="K176" s="59">
        <f>IF(C176=1,J176*Geometry!$G$21,0)+IF(C176=2,J176*Geometry!$H$21,0)+IF(C176=3,J176*Geometry!$I$21,0)+IF(C176=4,J176*Geometry!$J$21,0)+IF(C176=5,J176*Geometry!$K$21,0)</f>
        <v>0</v>
      </c>
      <c r="L176" s="59">
        <f>IF(C176=1,J176*Geometry!$G$20,0)+IF(C176=2,J176*Geometry!$H$20,0)+IF(C176=3,J176*Geometry!$I$20,0)+IF(C176=4,J176*Geometry!$J$20,0)+IF(C176=5,J176*Geometry!$K$20,0)</f>
        <v>0</v>
      </c>
      <c r="M176" s="59">
        <f>IF(C176=1,J176*Geometry!$G$19,0)+IF(C176=2,J176*Geometry!$H$19,0)+IF(C176=3,J176*Geometry!$I$19,0)+IF(C176=4,J176*Geometry!$J$19,0)+IF(C176=5,J176*Geometry!$K$19,0)</f>
        <v>0</v>
      </c>
      <c r="N176" s="59">
        <f>IF(C176=1,J176*Geometry!$G$22,0)+IF(C176=2,J176*Geometry!$H$22,0)+IF(C176=3,J176*Geometry!$I$22,0)+IF(C176=4,J176*Geometry!$J$22,0)+IF(C176=5,J176*Geometry!$K$22,0)</f>
        <v>0</v>
      </c>
      <c r="O176" s="59">
        <f>IF(C176=1,J176*Geometry!$G$23,0)+IF(C176=2,J176*Geometry!$H$23,0)+IF(C176=3,J176*Geometry!$I$23,0)+IF(C176=4,J176*Geometry!$J$23,0)+IF(C176=5,J176*Geometry!$K$23,0)</f>
        <v>0</v>
      </c>
      <c r="P176">
        <f>IF(C176=1,J176*Geometry!$G$24,0)+IF(C176=2,J176*Geometry!$H$24,0)+IF(C176=3,J176*Geometry!$I$24,0)+IF(C176=4,J176*Geometry!$J$24,0)+IF(C176=5,J176*Geometry!$K$24,0)</f>
        <v>0</v>
      </c>
    </row>
    <row r="177" spans="1:16">
      <c r="A177">
        <f t="shared" si="28"/>
        <v>171</v>
      </c>
      <c r="C177" s="7">
        <f t="shared" si="33"/>
        <v>3</v>
      </c>
      <c r="D177" s="69">
        <f>D176+Geometry!$C$15</f>
        <v>1060</v>
      </c>
      <c r="E177" s="59">
        <f t="shared" si="29"/>
        <v>-745</v>
      </c>
      <c r="F177" s="4">
        <f>Geometry!$D$12*D177</f>
        <v>25.664470588235297</v>
      </c>
      <c r="G177" s="4">
        <f t="shared" si="30"/>
        <v>0</v>
      </c>
      <c r="H177" s="4">
        <f>IF(ABS(E177*E177)&lt;=Geometry!$E$10,SQRT(Geometry!$E$10-E177*E177),0)</f>
        <v>0</v>
      </c>
      <c r="I177" s="4">
        <f t="shared" si="31"/>
        <v>0</v>
      </c>
      <c r="J177">
        <f t="shared" si="32"/>
        <v>0</v>
      </c>
      <c r="K177" s="59">
        <f>IF(C177=1,J177*Geometry!$G$21,0)+IF(C177=2,J177*Geometry!$H$21,0)+IF(C177=3,J177*Geometry!$I$21,0)+IF(C177=4,J177*Geometry!$J$21,0)+IF(C177=5,J177*Geometry!$K$21,0)</f>
        <v>0</v>
      </c>
      <c r="L177" s="59">
        <f>IF(C177=1,J177*Geometry!$G$20,0)+IF(C177=2,J177*Geometry!$H$20,0)+IF(C177=3,J177*Geometry!$I$20,0)+IF(C177=4,J177*Geometry!$J$20,0)+IF(C177=5,J177*Geometry!$K$20,0)</f>
        <v>0</v>
      </c>
      <c r="M177" s="59">
        <f>IF(C177=1,J177*Geometry!$G$19,0)+IF(C177=2,J177*Geometry!$H$19,0)+IF(C177=3,J177*Geometry!$I$19,0)+IF(C177=4,J177*Geometry!$J$19,0)+IF(C177=5,J177*Geometry!$K$19,0)</f>
        <v>0</v>
      </c>
      <c r="N177" s="59">
        <f>IF(C177=1,J177*Geometry!$G$22,0)+IF(C177=2,J177*Geometry!$H$22,0)+IF(C177=3,J177*Geometry!$I$22,0)+IF(C177=4,J177*Geometry!$J$22,0)+IF(C177=5,J177*Geometry!$K$22,0)</f>
        <v>0</v>
      </c>
      <c r="O177" s="59">
        <f>IF(C177=1,J177*Geometry!$G$23,0)+IF(C177=2,J177*Geometry!$H$23,0)+IF(C177=3,J177*Geometry!$I$23,0)+IF(C177=4,J177*Geometry!$J$23,0)+IF(C177=5,J177*Geometry!$K$23,0)</f>
        <v>0</v>
      </c>
      <c r="P177">
        <f>IF(C177=1,J177*Geometry!$G$24,0)+IF(C177=2,J177*Geometry!$H$24,0)+IF(C177=3,J177*Geometry!$I$24,0)+IF(C177=4,J177*Geometry!$J$24,0)+IF(C177=5,J177*Geometry!$K$24,0)</f>
        <v>0</v>
      </c>
    </row>
    <row r="178" spans="1:16">
      <c r="A178">
        <f t="shared" si="28"/>
        <v>172</v>
      </c>
      <c r="C178" s="7">
        <f t="shared" si="33"/>
        <v>3</v>
      </c>
      <c r="D178" s="69">
        <f>D177+Geometry!$C$15</f>
        <v>1065</v>
      </c>
      <c r="E178" s="59">
        <f t="shared" si="29"/>
        <v>-750</v>
      </c>
      <c r="F178" s="4">
        <f>Geometry!$D$12*D178</f>
        <v>25.78552941176471</v>
      </c>
      <c r="G178" s="4">
        <f t="shared" si="30"/>
        <v>0</v>
      </c>
      <c r="H178" s="4">
        <f>IF(ABS(E178*E178)&lt;=Geometry!$E$10,SQRT(Geometry!$E$10-E178*E178),0)</f>
        <v>0</v>
      </c>
      <c r="I178" s="4">
        <f t="shared" si="31"/>
        <v>0</v>
      </c>
      <c r="J178">
        <f t="shared" si="32"/>
        <v>0</v>
      </c>
      <c r="K178" s="59">
        <f>IF(C178=1,J178*Geometry!$G$21,0)+IF(C178=2,J178*Geometry!$H$21,0)+IF(C178=3,J178*Geometry!$I$21,0)+IF(C178=4,J178*Geometry!$J$21,0)+IF(C178=5,J178*Geometry!$K$21,0)</f>
        <v>0</v>
      </c>
      <c r="L178" s="59">
        <f>IF(C178=1,J178*Geometry!$G$20,0)+IF(C178=2,J178*Geometry!$H$20,0)+IF(C178=3,J178*Geometry!$I$20,0)+IF(C178=4,J178*Geometry!$J$20,0)+IF(C178=5,J178*Geometry!$K$20,0)</f>
        <v>0</v>
      </c>
      <c r="M178" s="59">
        <f>IF(C178=1,J178*Geometry!$G$19,0)+IF(C178=2,J178*Geometry!$H$19,0)+IF(C178=3,J178*Geometry!$I$19,0)+IF(C178=4,J178*Geometry!$J$19,0)+IF(C178=5,J178*Geometry!$K$19,0)</f>
        <v>0</v>
      </c>
      <c r="N178" s="59">
        <f>IF(C178=1,J178*Geometry!$G$22,0)+IF(C178=2,J178*Geometry!$H$22,0)+IF(C178=3,J178*Geometry!$I$22,0)+IF(C178=4,J178*Geometry!$J$22,0)+IF(C178=5,J178*Geometry!$K$22,0)</f>
        <v>0</v>
      </c>
      <c r="O178" s="59">
        <f>IF(C178=1,J178*Geometry!$G$23,0)+IF(C178=2,J178*Geometry!$H$23,0)+IF(C178=3,J178*Geometry!$I$23,0)+IF(C178=4,J178*Geometry!$J$23,0)+IF(C178=5,J178*Geometry!$K$23,0)</f>
        <v>0</v>
      </c>
      <c r="P178">
        <f>IF(C178=1,J178*Geometry!$G$24,0)+IF(C178=2,J178*Geometry!$H$24,0)+IF(C178=3,J178*Geometry!$I$24,0)+IF(C178=4,J178*Geometry!$J$24,0)+IF(C178=5,J178*Geometry!$K$24,0)</f>
        <v>0</v>
      </c>
    </row>
    <row r="179" spans="1:16">
      <c r="A179">
        <f t="shared" si="28"/>
        <v>173</v>
      </c>
      <c r="C179" s="7">
        <f t="shared" si="33"/>
        <v>3</v>
      </c>
      <c r="D179" s="69">
        <f>D178+Geometry!$C$15</f>
        <v>1070</v>
      </c>
      <c r="E179" s="59">
        <f t="shared" si="29"/>
        <v>-755</v>
      </c>
      <c r="F179" s="4">
        <f>Geometry!$D$12*D179</f>
        <v>25.906588235294119</v>
      </c>
      <c r="G179" s="4">
        <f t="shared" si="30"/>
        <v>0</v>
      </c>
      <c r="H179" s="4">
        <f>IF(ABS(E179*E179)&lt;=Geometry!$E$10,SQRT(Geometry!$E$10-E179*E179),0)</f>
        <v>0</v>
      </c>
      <c r="I179" s="4">
        <f t="shared" si="31"/>
        <v>0</v>
      </c>
      <c r="J179">
        <f t="shared" si="32"/>
        <v>0</v>
      </c>
      <c r="K179" s="59">
        <f>IF(C179=1,J179*Geometry!$G$21,0)+IF(C179=2,J179*Geometry!$H$21,0)+IF(C179=3,J179*Geometry!$I$21,0)+IF(C179=4,J179*Geometry!$J$21,0)+IF(C179=5,J179*Geometry!$K$21,0)</f>
        <v>0</v>
      </c>
      <c r="L179" s="59">
        <f>IF(C179=1,J179*Geometry!$G$20,0)+IF(C179=2,J179*Geometry!$H$20,0)+IF(C179=3,J179*Geometry!$I$20,0)+IF(C179=4,J179*Geometry!$J$20,0)+IF(C179=5,J179*Geometry!$K$20,0)</f>
        <v>0</v>
      </c>
      <c r="M179" s="59">
        <f>IF(C179=1,J179*Geometry!$G$19,0)+IF(C179=2,J179*Geometry!$H$19,0)+IF(C179=3,J179*Geometry!$I$19,0)+IF(C179=4,J179*Geometry!$J$19,0)+IF(C179=5,J179*Geometry!$K$19,0)</f>
        <v>0</v>
      </c>
      <c r="N179" s="59">
        <f>IF(C179=1,J179*Geometry!$G$22,0)+IF(C179=2,J179*Geometry!$H$22,0)+IF(C179=3,J179*Geometry!$I$22,0)+IF(C179=4,J179*Geometry!$J$22,0)+IF(C179=5,J179*Geometry!$K$22,0)</f>
        <v>0</v>
      </c>
      <c r="O179" s="59">
        <f>IF(C179=1,J179*Geometry!$G$23,0)+IF(C179=2,J179*Geometry!$H$23,0)+IF(C179=3,J179*Geometry!$I$23,0)+IF(C179=4,J179*Geometry!$J$23,0)+IF(C179=5,J179*Geometry!$K$23,0)</f>
        <v>0</v>
      </c>
      <c r="P179">
        <f>IF(C179=1,J179*Geometry!$G$24,0)+IF(C179=2,J179*Geometry!$H$24,0)+IF(C179=3,J179*Geometry!$I$24,0)+IF(C179=4,J179*Geometry!$J$24,0)+IF(C179=5,J179*Geometry!$K$24,0)</f>
        <v>0</v>
      </c>
    </row>
    <row r="180" spans="1:16">
      <c r="A180">
        <f t="shared" si="28"/>
        <v>174</v>
      </c>
      <c r="C180" s="7">
        <f t="shared" si="33"/>
        <v>3</v>
      </c>
      <c r="D180" s="69">
        <f>D179+Geometry!$C$15</f>
        <v>1075</v>
      </c>
      <c r="E180" s="59">
        <f t="shared" si="29"/>
        <v>-760</v>
      </c>
      <c r="F180" s="4">
        <f>Geometry!$D$12*D180</f>
        <v>26.027647058823533</v>
      </c>
      <c r="G180" s="4">
        <f t="shared" si="30"/>
        <v>0</v>
      </c>
      <c r="H180" s="4">
        <f>IF(ABS(E180*E180)&lt;=Geometry!$E$10,SQRT(Geometry!$E$10-E180*E180),0)</f>
        <v>0</v>
      </c>
      <c r="I180" s="4">
        <f t="shared" si="31"/>
        <v>0</v>
      </c>
      <c r="J180">
        <f t="shared" si="32"/>
        <v>0</v>
      </c>
      <c r="K180" s="59">
        <f>IF(C180=1,J180*Geometry!$G$21,0)+IF(C180=2,J180*Geometry!$H$21,0)+IF(C180=3,J180*Geometry!$I$21,0)+IF(C180=4,J180*Geometry!$J$21,0)+IF(C180=5,J180*Geometry!$K$21,0)</f>
        <v>0</v>
      </c>
      <c r="L180" s="59">
        <f>IF(C180=1,J180*Geometry!$G$20,0)+IF(C180=2,J180*Geometry!$H$20,0)+IF(C180=3,J180*Geometry!$I$20,0)+IF(C180=4,J180*Geometry!$J$20,0)+IF(C180=5,J180*Geometry!$K$20,0)</f>
        <v>0</v>
      </c>
      <c r="M180" s="59">
        <f>IF(C180=1,J180*Geometry!$G$19,0)+IF(C180=2,J180*Geometry!$H$19,0)+IF(C180=3,J180*Geometry!$I$19,0)+IF(C180=4,J180*Geometry!$J$19,0)+IF(C180=5,J180*Geometry!$K$19,0)</f>
        <v>0</v>
      </c>
      <c r="N180" s="59">
        <f>IF(C180=1,J180*Geometry!$G$22,0)+IF(C180=2,J180*Geometry!$H$22,0)+IF(C180=3,J180*Geometry!$I$22,0)+IF(C180=4,J180*Geometry!$J$22,0)+IF(C180=5,J180*Geometry!$K$22,0)</f>
        <v>0</v>
      </c>
      <c r="O180" s="59">
        <f>IF(C180=1,J180*Geometry!$G$23,0)+IF(C180=2,J180*Geometry!$H$23,0)+IF(C180=3,J180*Geometry!$I$23,0)+IF(C180=4,J180*Geometry!$J$23,0)+IF(C180=5,J180*Geometry!$K$23,0)</f>
        <v>0</v>
      </c>
      <c r="P180">
        <f>IF(C180=1,J180*Geometry!$G$24,0)+IF(C180=2,J180*Geometry!$H$24,0)+IF(C180=3,J180*Geometry!$I$24,0)+IF(C180=4,J180*Geometry!$J$24,0)+IF(C180=5,J180*Geometry!$K$24,0)</f>
        <v>0</v>
      </c>
    </row>
    <row r="181" spans="1:16">
      <c r="A181">
        <f t="shared" si="28"/>
        <v>175</v>
      </c>
      <c r="C181" s="7">
        <f t="shared" si="33"/>
        <v>3</v>
      </c>
      <c r="D181" s="69">
        <f>D180+Geometry!$C$15</f>
        <v>1080</v>
      </c>
      <c r="E181" s="59">
        <f t="shared" si="29"/>
        <v>-765</v>
      </c>
      <c r="F181" s="4">
        <f>Geometry!$D$12*D181</f>
        <v>26.148705882352946</v>
      </c>
      <c r="G181" s="4">
        <f t="shared" si="30"/>
        <v>0</v>
      </c>
      <c r="H181" s="4">
        <f>IF(ABS(E181*E181)&lt;=Geometry!$E$10,SQRT(Geometry!$E$10-E181*E181),0)</f>
        <v>0</v>
      </c>
      <c r="I181" s="4">
        <f t="shared" si="31"/>
        <v>0</v>
      </c>
      <c r="J181">
        <f t="shared" si="32"/>
        <v>0</v>
      </c>
      <c r="K181" s="59">
        <f>IF(C181=1,J181*Geometry!$G$21,0)+IF(C181=2,J181*Geometry!$H$21,0)+IF(C181=3,J181*Geometry!$I$21,0)+IF(C181=4,J181*Geometry!$J$21,0)+IF(C181=5,J181*Geometry!$K$21,0)</f>
        <v>0</v>
      </c>
      <c r="L181" s="59">
        <f>IF(C181=1,J181*Geometry!$G$20,0)+IF(C181=2,J181*Geometry!$H$20,0)+IF(C181=3,J181*Geometry!$I$20,0)+IF(C181=4,J181*Geometry!$J$20,0)+IF(C181=5,J181*Geometry!$K$20,0)</f>
        <v>0</v>
      </c>
      <c r="M181" s="59">
        <f>IF(C181=1,J181*Geometry!$G$19,0)+IF(C181=2,J181*Geometry!$H$19,0)+IF(C181=3,J181*Geometry!$I$19,0)+IF(C181=4,J181*Geometry!$J$19,0)+IF(C181=5,J181*Geometry!$K$19,0)</f>
        <v>0</v>
      </c>
      <c r="N181" s="59">
        <f>IF(C181=1,J181*Geometry!$G$22,0)+IF(C181=2,J181*Geometry!$H$22,0)+IF(C181=3,J181*Geometry!$I$22,0)+IF(C181=4,J181*Geometry!$J$22,0)+IF(C181=5,J181*Geometry!$K$22,0)</f>
        <v>0</v>
      </c>
      <c r="O181" s="59">
        <f>IF(C181=1,J181*Geometry!$G$23,0)+IF(C181=2,J181*Geometry!$H$23,0)+IF(C181=3,J181*Geometry!$I$23,0)+IF(C181=4,J181*Geometry!$J$23,0)+IF(C181=5,J181*Geometry!$K$23,0)</f>
        <v>0</v>
      </c>
      <c r="P181">
        <f>IF(C181=1,J181*Geometry!$G$24,0)+IF(C181=2,J181*Geometry!$H$24,0)+IF(C181=3,J181*Geometry!$I$24,0)+IF(C181=4,J181*Geometry!$J$24,0)+IF(C181=5,J181*Geometry!$K$24,0)</f>
        <v>0</v>
      </c>
    </row>
    <row r="182" spans="1:16">
      <c r="A182">
        <f t="shared" si="28"/>
        <v>176</v>
      </c>
      <c r="C182" s="7">
        <f t="shared" si="33"/>
        <v>3</v>
      </c>
      <c r="D182" s="69">
        <f>D181+Geometry!$C$15</f>
        <v>1085</v>
      </c>
      <c r="E182" s="59">
        <f t="shared" si="29"/>
        <v>-770</v>
      </c>
      <c r="F182" s="4">
        <f>Geometry!$D$12*D182</f>
        <v>26.269764705882356</v>
      </c>
      <c r="G182" s="4">
        <f t="shared" si="30"/>
        <v>0</v>
      </c>
      <c r="H182" s="4">
        <f>IF(ABS(E182*E182)&lt;=Geometry!$E$10,SQRT(Geometry!$E$10-E182*E182),0)</f>
        <v>0</v>
      </c>
      <c r="I182" s="4">
        <f t="shared" si="31"/>
        <v>0</v>
      </c>
      <c r="J182">
        <f t="shared" si="32"/>
        <v>0</v>
      </c>
      <c r="K182" s="59">
        <f>IF(C182=1,J182*Geometry!$G$21,0)+IF(C182=2,J182*Geometry!$H$21,0)+IF(C182=3,J182*Geometry!$I$21,0)+IF(C182=4,J182*Geometry!$J$21,0)+IF(C182=5,J182*Geometry!$K$21,0)</f>
        <v>0</v>
      </c>
      <c r="L182" s="59">
        <f>IF(C182=1,J182*Geometry!$G$20,0)+IF(C182=2,J182*Geometry!$H$20,0)+IF(C182=3,J182*Geometry!$I$20,0)+IF(C182=4,J182*Geometry!$J$20,0)+IF(C182=5,J182*Geometry!$K$20,0)</f>
        <v>0</v>
      </c>
      <c r="M182" s="59">
        <f>IF(C182=1,J182*Geometry!$G$19,0)+IF(C182=2,J182*Geometry!$H$19,0)+IF(C182=3,J182*Geometry!$I$19,0)+IF(C182=4,J182*Geometry!$J$19,0)+IF(C182=5,J182*Geometry!$K$19,0)</f>
        <v>0</v>
      </c>
      <c r="N182" s="59">
        <f>IF(C182=1,J182*Geometry!$G$22,0)+IF(C182=2,J182*Geometry!$H$22,0)+IF(C182=3,J182*Geometry!$I$22,0)+IF(C182=4,J182*Geometry!$J$22,0)+IF(C182=5,J182*Geometry!$K$22,0)</f>
        <v>0</v>
      </c>
      <c r="O182" s="59">
        <f>IF(C182=1,J182*Geometry!$G$23,0)+IF(C182=2,J182*Geometry!$H$23,0)+IF(C182=3,J182*Geometry!$I$23,0)+IF(C182=4,J182*Geometry!$J$23,0)+IF(C182=5,J182*Geometry!$K$23,0)</f>
        <v>0</v>
      </c>
      <c r="P182">
        <f>IF(C182=1,J182*Geometry!$G$24,0)+IF(C182=2,J182*Geometry!$H$24,0)+IF(C182=3,J182*Geometry!$I$24,0)+IF(C182=4,J182*Geometry!$J$24,0)+IF(C182=5,J182*Geometry!$K$24,0)</f>
        <v>0</v>
      </c>
    </row>
    <row r="183" spans="1:16">
      <c r="A183">
        <f t="shared" si="28"/>
        <v>177</v>
      </c>
      <c r="C183" s="7">
        <f t="shared" si="33"/>
        <v>3</v>
      </c>
      <c r="D183" s="69">
        <f>D182+Geometry!$C$15</f>
        <v>1090</v>
      </c>
      <c r="E183" s="59">
        <f t="shared" si="29"/>
        <v>-775</v>
      </c>
      <c r="F183" s="4">
        <f>Geometry!$D$12*D183</f>
        <v>26.390823529411769</v>
      </c>
      <c r="G183" s="4">
        <f t="shared" si="30"/>
        <v>0</v>
      </c>
      <c r="H183" s="4">
        <f>IF(ABS(E183*E183)&lt;=Geometry!$E$10,SQRT(Geometry!$E$10-E183*E183),0)</f>
        <v>0</v>
      </c>
      <c r="I183" s="4">
        <f t="shared" si="31"/>
        <v>0</v>
      </c>
      <c r="J183">
        <f t="shared" si="32"/>
        <v>0</v>
      </c>
      <c r="K183" s="59">
        <f>IF(C183=1,J183*Geometry!$G$21,0)+IF(C183=2,J183*Geometry!$H$21,0)+IF(C183=3,J183*Geometry!$I$21,0)+IF(C183=4,J183*Geometry!$J$21,0)+IF(C183=5,J183*Geometry!$K$21,0)</f>
        <v>0</v>
      </c>
      <c r="L183" s="59">
        <f>IF(C183=1,J183*Geometry!$G$20,0)+IF(C183=2,J183*Geometry!$H$20,0)+IF(C183=3,J183*Geometry!$I$20,0)+IF(C183=4,J183*Geometry!$J$20,0)+IF(C183=5,J183*Geometry!$K$20,0)</f>
        <v>0</v>
      </c>
      <c r="M183" s="59">
        <f>IF(C183=1,J183*Geometry!$G$19,0)+IF(C183=2,J183*Geometry!$H$19,0)+IF(C183=3,J183*Geometry!$I$19,0)+IF(C183=4,J183*Geometry!$J$19,0)+IF(C183=5,J183*Geometry!$K$19,0)</f>
        <v>0</v>
      </c>
      <c r="N183" s="59">
        <f>IF(C183=1,J183*Geometry!$G$22,0)+IF(C183=2,J183*Geometry!$H$22,0)+IF(C183=3,J183*Geometry!$I$22,0)+IF(C183=4,J183*Geometry!$J$22,0)+IF(C183=5,J183*Geometry!$K$22,0)</f>
        <v>0</v>
      </c>
      <c r="O183" s="59">
        <f>IF(C183=1,J183*Geometry!$G$23,0)+IF(C183=2,J183*Geometry!$H$23,0)+IF(C183=3,J183*Geometry!$I$23,0)+IF(C183=4,J183*Geometry!$J$23,0)+IF(C183=5,J183*Geometry!$K$23,0)</f>
        <v>0</v>
      </c>
      <c r="P183">
        <f>IF(C183=1,J183*Geometry!$G$24,0)+IF(C183=2,J183*Geometry!$H$24,0)+IF(C183=3,J183*Geometry!$I$24,0)+IF(C183=4,J183*Geometry!$J$24,0)+IF(C183=5,J183*Geometry!$K$24,0)</f>
        <v>0</v>
      </c>
    </row>
    <row r="184" spans="1:16">
      <c r="A184">
        <f t="shared" si="28"/>
        <v>178</v>
      </c>
      <c r="C184" s="7">
        <f t="shared" si="33"/>
        <v>3</v>
      </c>
      <c r="D184" s="69">
        <f>D183+Geometry!$C$15</f>
        <v>1095</v>
      </c>
      <c r="E184" s="59">
        <f t="shared" si="29"/>
        <v>-780</v>
      </c>
      <c r="F184" s="4">
        <f>Geometry!$D$12*D184</f>
        <v>26.511882352941178</v>
      </c>
      <c r="G184" s="4">
        <f t="shared" si="30"/>
        <v>0</v>
      </c>
      <c r="H184" s="4">
        <f>IF(ABS(E184*E184)&lt;=Geometry!$E$10,SQRT(Geometry!$E$10-E184*E184),0)</f>
        <v>0</v>
      </c>
      <c r="I184" s="4">
        <f t="shared" si="31"/>
        <v>0</v>
      </c>
      <c r="J184">
        <f t="shared" si="32"/>
        <v>0</v>
      </c>
      <c r="K184" s="59">
        <f>IF(C184=1,J184*Geometry!$G$21,0)+IF(C184=2,J184*Geometry!$H$21,0)+IF(C184=3,J184*Geometry!$I$21,0)+IF(C184=4,J184*Geometry!$J$21,0)+IF(C184=5,J184*Geometry!$K$21,0)</f>
        <v>0</v>
      </c>
      <c r="L184" s="59">
        <f>IF(C184=1,J184*Geometry!$G$20,0)+IF(C184=2,J184*Geometry!$H$20,0)+IF(C184=3,J184*Geometry!$I$20,0)+IF(C184=4,J184*Geometry!$J$20,0)+IF(C184=5,J184*Geometry!$K$20,0)</f>
        <v>0</v>
      </c>
      <c r="M184" s="59">
        <f>IF(C184=1,J184*Geometry!$G$19,0)+IF(C184=2,J184*Geometry!$H$19,0)+IF(C184=3,J184*Geometry!$I$19,0)+IF(C184=4,J184*Geometry!$J$19,0)+IF(C184=5,J184*Geometry!$K$19,0)</f>
        <v>0</v>
      </c>
      <c r="N184" s="59">
        <f>IF(C184=1,J184*Geometry!$G$22,0)+IF(C184=2,J184*Geometry!$H$22,0)+IF(C184=3,J184*Geometry!$I$22,0)+IF(C184=4,J184*Geometry!$J$22,0)+IF(C184=5,J184*Geometry!$K$22,0)</f>
        <v>0</v>
      </c>
      <c r="O184" s="59">
        <f>IF(C184=1,J184*Geometry!$G$23,0)+IF(C184=2,J184*Geometry!$H$23,0)+IF(C184=3,J184*Geometry!$I$23,0)+IF(C184=4,J184*Geometry!$J$23,0)+IF(C184=5,J184*Geometry!$K$23,0)</f>
        <v>0</v>
      </c>
      <c r="P184">
        <f>IF(C184=1,J184*Geometry!$G$24,0)+IF(C184=2,J184*Geometry!$H$24,0)+IF(C184=3,J184*Geometry!$I$24,0)+IF(C184=4,J184*Geometry!$J$24,0)+IF(C184=5,J184*Geometry!$K$24,0)</f>
        <v>0</v>
      </c>
    </row>
    <row r="185" spans="1:16">
      <c r="A185">
        <f t="shared" si="28"/>
        <v>179</v>
      </c>
      <c r="C185" s="7">
        <f t="shared" si="33"/>
        <v>3</v>
      </c>
      <c r="D185" s="69">
        <f>D184+Geometry!$C$15</f>
        <v>1100</v>
      </c>
      <c r="E185" s="59">
        <f t="shared" si="29"/>
        <v>-785</v>
      </c>
      <c r="F185" s="4">
        <f>Geometry!$D$12*D185</f>
        <v>26.632941176470592</v>
      </c>
      <c r="G185" s="4">
        <f t="shared" si="30"/>
        <v>0</v>
      </c>
      <c r="H185" s="4">
        <f>IF(ABS(E185*E185)&lt;=Geometry!$E$10,SQRT(Geometry!$E$10-E185*E185),0)</f>
        <v>0</v>
      </c>
      <c r="I185" s="4">
        <f t="shared" si="31"/>
        <v>0</v>
      </c>
      <c r="J185">
        <f t="shared" si="32"/>
        <v>0</v>
      </c>
      <c r="K185" s="59">
        <f>IF(C185=1,J185*Geometry!$G$21,0)+IF(C185=2,J185*Geometry!$H$21,0)+IF(C185=3,J185*Geometry!$I$21,0)+IF(C185=4,J185*Geometry!$J$21,0)+IF(C185=5,J185*Geometry!$K$21,0)</f>
        <v>0</v>
      </c>
      <c r="L185" s="59">
        <f>IF(C185=1,J185*Geometry!$G$20,0)+IF(C185=2,J185*Geometry!$H$20,0)+IF(C185=3,J185*Geometry!$I$20,0)+IF(C185=4,J185*Geometry!$J$20,0)+IF(C185=5,J185*Geometry!$K$20,0)</f>
        <v>0</v>
      </c>
      <c r="M185" s="59">
        <f>IF(C185=1,J185*Geometry!$G$19,0)+IF(C185=2,J185*Geometry!$H$19,0)+IF(C185=3,J185*Geometry!$I$19,0)+IF(C185=4,J185*Geometry!$J$19,0)+IF(C185=5,J185*Geometry!$K$19,0)</f>
        <v>0</v>
      </c>
      <c r="N185" s="59">
        <f>IF(C185=1,J185*Geometry!$G$22,0)+IF(C185=2,J185*Geometry!$H$22,0)+IF(C185=3,J185*Geometry!$I$22,0)+IF(C185=4,J185*Geometry!$J$22,0)+IF(C185=5,J185*Geometry!$K$22,0)</f>
        <v>0</v>
      </c>
      <c r="O185" s="59">
        <f>IF(C185=1,J185*Geometry!$G$23,0)+IF(C185=2,J185*Geometry!$H$23,0)+IF(C185=3,J185*Geometry!$I$23,0)+IF(C185=4,J185*Geometry!$J$23,0)+IF(C185=5,J185*Geometry!$K$23,0)</f>
        <v>0</v>
      </c>
      <c r="P185">
        <f>IF(C185=1,J185*Geometry!$G$24,0)+IF(C185=2,J185*Geometry!$H$24,0)+IF(C185=3,J185*Geometry!$I$24,0)+IF(C185=4,J185*Geometry!$J$24,0)+IF(C185=5,J185*Geometry!$K$24,0)</f>
        <v>0</v>
      </c>
    </row>
    <row r="186" spans="1:16">
      <c r="A186">
        <f t="shared" si="28"/>
        <v>180</v>
      </c>
      <c r="C186" s="7">
        <f t="shared" si="33"/>
        <v>3</v>
      </c>
      <c r="D186" s="69">
        <f>D185+Geometry!$C$15</f>
        <v>1105</v>
      </c>
      <c r="E186" s="59">
        <f t="shared" si="29"/>
        <v>-790</v>
      </c>
      <c r="F186" s="4">
        <f>Geometry!$D$12*D186</f>
        <v>26.754000000000005</v>
      </c>
      <c r="G186" s="4">
        <f t="shared" si="30"/>
        <v>0</v>
      </c>
      <c r="H186" s="4">
        <f>IF(ABS(E186*E186)&lt;=Geometry!$E$10,SQRT(Geometry!$E$10-E186*E186),0)</f>
        <v>0</v>
      </c>
      <c r="I186" s="4">
        <f t="shared" si="31"/>
        <v>0</v>
      </c>
      <c r="J186">
        <f t="shared" si="32"/>
        <v>0</v>
      </c>
      <c r="K186" s="59">
        <f>IF(C186=1,J186*Geometry!$G$21,0)+IF(C186=2,J186*Geometry!$H$21,0)+IF(C186=3,J186*Geometry!$I$21,0)+IF(C186=4,J186*Geometry!$J$21,0)+IF(C186=5,J186*Geometry!$K$21,0)</f>
        <v>0</v>
      </c>
      <c r="L186" s="59">
        <f>IF(C186=1,J186*Geometry!$G$20,0)+IF(C186=2,J186*Geometry!$H$20,0)+IF(C186=3,J186*Geometry!$I$20,0)+IF(C186=4,J186*Geometry!$J$20,0)+IF(C186=5,J186*Geometry!$K$20,0)</f>
        <v>0</v>
      </c>
      <c r="M186" s="59">
        <f>IF(C186=1,J186*Geometry!$G$19,0)+IF(C186=2,J186*Geometry!$H$19,0)+IF(C186=3,J186*Geometry!$I$19,0)+IF(C186=4,J186*Geometry!$J$19,0)+IF(C186=5,J186*Geometry!$K$19,0)</f>
        <v>0</v>
      </c>
      <c r="N186" s="59">
        <f>IF(C186=1,J186*Geometry!$G$22,0)+IF(C186=2,J186*Geometry!$H$22,0)+IF(C186=3,J186*Geometry!$I$22,0)+IF(C186=4,J186*Geometry!$J$22,0)+IF(C186=5,J186*Geometry!$K$22,0)</f>
        <v>0</v>
      </c>
      <c r="O186" s="59">
        <f>IF(C186=1,J186*Geometry!$G$23,0)+IF(C186=2,J186*Geometry!$H$23,0)+IF(C186=3,J186*Geometry!$I$23,0)+IF(C186=4,J186*Geometry!$J$23,0)+IF(C186=5,J186*Geometry!$K$23,0)</f>
        <v>0</v>
      </c>
      <c r="P186">
        <f>IF(C186=1,J186*Geometry!$G$24,0)+IF(C186=2,J186*Geometry!$H$24,0)+IF(C186=3,J186*Geometry!$I$24,0)+IF(C186=4,J186*Geometry!$J$24,0)+IF(C186=5,J186*Geometry!$K$24,0)</f>
        <v>0</v>
      </c>
    </row>
    <row r="187" spans="1:16">
      <c r="A187">
        <f t="shared" si="28"/>
        <v>181</v>
      </c>
      <c r="C187" s="7">
        <f t="shared" si="33"/>
        <v>3</v>
      </c>
      <c r="D187" s="69">
        <f>D186+Geometry!$C$15</f>
        <v>1110</v>
      </c>
      <c r="E187" s="59">
        <f t="shared" si="29"/>
        <v>-795</v>
      </c>
      <c r="F187" s="4">
        <f>Geometry!$D$12*D187</f>
        <v>26.875058823529415</v>
      </c>
      <c r="G187" s="4">
        <f t="shared" si="30"/>
        <v>0</v>
      </c>
      <c r="H187" s="4">
        <f>IF(ABS(E187*E187)&lt;=Geometry!$E$10,SQRT(Geometry!$E$10-E187*E187),0)</f>
        <v>0</v>
      </c>
      <c r="I187" s="4">
        <f t="shared" si="31"/>
        <v>0</v>
      </c>
      <c r="J187">
        <f t="shared" si="32"/>
        <v>0</v>
      </c>
      <c r="K187" s="59">
        <f>IF(C187=1,J187*Geometry!$G$21,0)+IF(C187=2,J187*Geometry!$H$21,0)+IF(C187=3,J187*Geometry!$I$21,0)+IF(C187=4,J187*Geometry!$J$21,0)+IF(C187=5,J187*Geometry!$K$21,0)</f>
        <v>0</v>
      </c>
      <c r="L187" s="59">
        <f>IF(C187=1,J187*Geometry!$G$20,0)+IF(C187=2,J187*Geometry!$H$20,0)+IF(C187=3,J187*Geometry!$I$20,0)+IF(C187=4,J187*Geometry!$J$20,0)+IF(C187=5,J187*Geometry!$K$20,0)</f>
        <v>0</v>
      </c>
      <c r="M187" s="59">
        <f>IF(C187=1,J187*Geometry!$G$19,0)+IF(C187=2,J187*Geometry!$H$19,0)+IF(C187=3,J187*Geometry!$I$19,0)+IF(C187=4,J187*Geometry!$J$19,0)+IF(C187=5,J187*Geometry!$K$19,0)</f>
        <v>0</v>
      </c>
      <c r="N187" s="59">
        <f>IF(C187=1,J187*Geometry!$G$22,0)+IF(C187=2,J187*Geometry!$H$22,0)+IF(C187=3,J187*Geometry!$I$22,0)+IF(C187=4,J187*Geometry!$J$22,0)+IF(C187=5,J187*Geometry!$K$22,0)</f>
        <v>0</v>
      </c>
      <c r="O187" s="59">
        <f>IF(C187=1,J187*Geometry!$G$23,0)+IF(C187=2,J187*Geometry!$H$23,0)+IF(C187=3,J187*Geometry!$I$23,0)+IF(C187=4,J187*Geometry!$J$23,0)+IF(C187=5,J187*Geometry!$K$23,0)</f>
        <v>0</v>
      </c>
      <c r="P187">
        <f>IF(C187=1,J187*Geometry!$G$24,0)+IF(C187=2,J187*Geometry!$H$24,0)+IF(C187=3,J187*Geometry!$I$24,0)+IF(C187=4,J187*Geometry!$J$24,0)+IF(C187=5,J187*Geometry!$K$24,0)</f>
        <v>0</v>
      </c>
    </row>
    <row r="188" spans="1:16">
      <c r="A188">
        <f t="shared" si="28"/>
        <v>182</v>
      </c>
      <c r="C188" s="7">
        <f t="shared" si="33"/>
        <v>3</v>
      </c>
      <c r="D188" s="69">
        <f>D187+Geometry!$C$15</f>
        <v>1115</v>
      </c>
      <c r="E188" s="59">
        <f t="shared" si="29"/>
        <v>-800</v>
      </c>
      <c r="F188" s="4">
        <f>Geometry!$D$12*D188</f>
        <v>26.996117647058828</v>
      </c>
      <c r="G188" s="4">
        <f t="shared" si="30"/>
        <v>0</v>
      </c>
      <c r="H188" s="4">
        <f>IF(ABS(E188*E188)&lt;=Geometry!$E$10,SQRT(Geometry!$E$10-E188*E188),0)</f>
        <v>0</v>
      </c>
      <c r="I188" s="4">
        <f t="shared" si="31"/>
        <v>0</v>
      </c>
      <c r="J188">
        <f t="shared" si="32"/>
        <v>0</v>
      </c>
      <c r="K188" s="59">
        <f>IF(C188=1,J188*Geometry!$G$21,0)+IF(C188=2,J188*Geometry!$H$21,0)+IF(C188=3,J188*Geometry!$I$21,0)+IF(C188=4,J188*Geometry!$J$21,0)+IF(C188=5,J188*Geometry!$K$21,0)</f>
        <v>0</v>
      </c>
      <c r="L188" s="59">
        <f>IF(C188=1,J188*Geometry!$G$20,0)+IF(C188=2,J188*Geometry!$H$20,0)+IF(C188=3,J188*Geometry!$I$20,0)+IF(C188=4,J188*Geometry!$J$20,0)+IF(C188=5,J188*Geometry!$K$20,0)</f>
        <v>0</v>
      </c>
      <c r="M188" s="59">
        <f>IF(C188=1,J188*Geometry!$G$19,0)+IF(C188=2,J188*Geometry!$H$19,0)+IF(C188=3,J188*Geometry!$I$19,0)+IF(C188=4,J188*Geometry!$J$19,0)+IF(C188=5,J188*Geometry!$K$19,0)</f>
        <v>0</v>
      </c>
      <c r="N188" s="59">
        <f>IF(C188=1,J188*Geometry!$G$22,0)+IF(C188=2,J188*Geometry!$H$22,0)+IF(C188=3,J188*Geometry!$I$22,0)+IF(C188=4,J188*Geometry!$J$22,0)+IF(C188=5,J188*Geometry!$K$22,0)</f>
        <v>0</v>
      </c>
      <c r="O188" s="59">
        <f>IF(C188=1,J188*Geometry!$G$23,0)+IF(C188=2,J188*Geometry!$H$23,0)+IF(C188=3,J188*Geometry!$I$23,0)+IF(C188=4,J188*Geometry!$J$23,0)+IF(C188=5,J188*Geometry!$K$23,0)</f>
        <v>0</v>
      </c>
      <c r="P188">
        <f>IF(C188=1,J188*Geometry!$G$24,0)+IF(C188=2,J188*Geometry!$H$24,0)+IF(C188=3,J188*Geometry!$I$24,0)+IF(C188=4,J188*Geometry!$J$24,0)+IF(C188=5,J188*Geometry!$K$24,0)</f>
        <v>0</v>
      </c>
    </row>
    <row r="189" spans="1:16">
      <c r="A189">
        <f t="shared" si="28"/>
        <v>183</v>
      </c>
      <c r="C189" s="7">
        <f t="shared" si="33"/>
        <v>3</v>
      </c>
      <c r="D189" s="69">
        <f>D188+Geometry!$C$15</f>
        <v>1120</v>
      </c>
      <c r="E189" s="59">
        <f t="shared" si="29"/>
        <v>-805</v>
      </c>
      <c r="F189" s="4">
        <f>Geometry!$D$12*D189</f>
        <v>27.117176470588237</v>
      </c>
      <c r="G189" s="4">
        <f t="shared" si="30"/>
        <v>0</v>
      </c>
      <c r="H189" s="4">
        <f>IF(ABS(E189*E189)&lt;=Geometry!$E$10,SQRT(Geometry!$E$10-E189*E189),0)</f>
        <v>0</v>
      </c>
      <c r="I189" s="4">
        <f t="shared" si="31"/>
        <v>0</v>
      </c>
      <c r="J189">
        <f t="shared" si="32"/>
        <v>0</v>
      </c>
      <c r="K189" s="59">
        <f>IF(C189=1,J189*Geometry!$G$21,0)+IF(C189=2,J189*Geometry!$H$21,0)+IF(C189=3,J189*Geometry!$I$21,0)+IF(C189=4,J189*Geometry!$J$21,0)+IF(C189=5,J189*Geometry!$K$21,0)</f>
        <v>0</v>
      </c>
      <c r="L189" s="59">
        <f>IF(C189=1,J189*Geometry!$G$20,0)+IF(C189=2,J189*Geometry!$H$20,0)+IF(C189=3,J189*Geometry!$I$20,0)+IF(C189=4,J189*Geometry!$J$20,0)+IF(C189=5,J189*Geometry!$K$20,0)</f>
        <v>0</v>
      </c>
      <c r="M189" s="59">
        <f>IF(C189=1,J189*Geometry!$G$19,0)+IF(C189=2,J189*Geometry!$H$19,0)+IF(C189=3,J189*Geometry!$I$19,0)+IF(C189=4,J189*Geometry!$J$19,0)+IF(C189=5,J189*Geometry!$K$19,0)</f>
        <v>0</v>
      </c>
      <c r="N189" s="59">
        <f>IF(C189=1,J189*Geometry!$G$22,0)+IF(C189=2,J189*Geometry!$H$22,0)+IF(C189=3,J189*Geometry!$I$22,0)+IF(C189=4,J189*Geometry!$J$22,0)+IF(C189=5,J189*Geometry!$K$22,0)</f>
        <v>0</v>
      </c>
      <c r="O189" s="59">
        <f>IF(C189=1,J189*Geometry!$G$23,0)+IF(C189=2,J189*Geometry!$H$23,0)+IF(C189=3,J189*Geometry!$I$23,0)+IF(C189=4,J189*Geometry!$J$23,0)+IF(C189=5,J189*Geometry!$K$23,0)</f>
        <v>0</v>
      </c>
      <c r="P189">
        <f>IF(C189=1,J189*Geometry!$G$24,0)+IF(C189=2,J189*Geometry!$H$24,0)+IF(C189=3,J189*Geometry!$I$24,0)+IF(C189=4,J189*Geometry!$J$24,0)+IF(C189=5,J189*Geometry!$K$24,0)</f>
        <v>0</v>
      </c>
    </row>
    <row r="190" spans="1:16">
      <c r="A190">
        <f t="shared" si="28"/>
        <v>184</v>
      </c>
      <c r="C190" s="7">
        <f t="shared" si="33"/>
        <v>3</v>
      </c>
      <c r="D190" s="69">
        <f>D189+Geometry!$C$15</f>
        <v>1125</v>
      </c>
      <c r="E190" s="59">
        <f t="shared" si="29"/>
        <v>-810</v>
      </c>
      <c r="F190" s="4">
        <f>Geometry!$D$12*D190</f>
        <v>27.238235294117651</v>
      </c>
      <c r="G190" s="4">
        <f t="shared" si="30"/>
        <v>0</v>
      </c>
      <c r="H190" s="4">
        <f>IF(ABS(E190*E190)&lt;=Geometry!$E$10,SQRT(Geometry!$E$10-E190*E190),0)</f>
        <v>0</v>
      </c>
      <c r="I190" s="4">
        <f t="shared" si="31"/>
        <v>0</v>
      </c>
      <c r="J190">
        <f t="shared" si="32"/>
        <v>0</v>
      </c>
      <c r="K190" s="59">
        <f>IF(C190=1,J190*Geometry!$G$21,0)+IF(C190=2,J190*Geometry!$H$21,0)+IF(C190=3,J190*Geometry!$I$21,0)+IF(C190=4,J190*Geometry!$J$21,0)+IF(C190=5,J190*Geometry!$K$21,0)</f>
        <v>0</v>
      </c>
      <c r="L190" s="59">
        <f>IF(C190=1,J190*Geometry!$G$20,0)+IF(C190=2,J190*Geometry!$H$20,0)+IF(C190=3,J190*Geometry!$I$20,0)+IF(C190=4,J190*Geometry!$J$20,0)+IF(C190=5,J190*Geometry!$K$20,0)</f>
        <v>0</v>
      </c>
      <c r="M190" s="59">
        <f>IF(C190=1,J190*Geometry!$G$19,0)+IF(C190=2,J190*Geometry!$H$19,0)+IF(C190=3,J190*Geometry!$I$19,0)+IF(C190=4,J190*Geometry!$J$19,0)+IF(C190=5,J190*Geometry!$K$19,0)</f>
        <v>0</v>
      </c>
      <c r="N190" s="59">
        <f>IF(C190=1,J190*Geometry!$G$22,0)+IF(C190=2,J190*Geometry!$H$22,0)+IF(C190=3,J190*Geometry!$I$22,0)+IF(C190=4,J190*Geometry!$J$22,0)+IF(C190=5,J190*Geometry!$K$22,0)</f>
        <v>0</v>
      </c>
      <c r="O190" s="59">
        <f>IF(C190=1,J190*Geometry!$G$23,0)+IF(C190=2,J190*Geometry!$H$23,0)+IF(C190=3,J190*Geometry!$I$23,0)+IF(C190=4,J190*Geometry!$J$23,0)+IF(C190=5,J190*Geometry!$K$23,0)</f>
        <v>0</v>
      </c>
      <c r="P190">
        <f>IF(C190=1,J190*Geometry!$G$24,0)+IF(C190=2,J190*Geometry!$H$24,0)+IF(C190=3,J190*Geometry!$I$24,0)+IF(C190=4,J190*Geometry!$J$24,0)+IF(C190=5,J190*Geometry!$K$24,0)</f>
        <v>0</v>
      </c>
    </row>
    <row r="191" spans="1:16">
      <c r="A191">
        <f t="shared" si="28"/>
        <v>185</v>
      </c>
      <c r="C191" s="7">
        <f t="shared" si="33"/>
        <v>3</v>
      </c>
      <c r="D191" s="69">
        <f>D190+Geometry!$C$15</f>
        <v>1130</v>
      </c>
      <c r="E191" s="59">
        <f t="shared" ref="E191:E198" si="34">E190-(D191-D190)</f>
        <v>-815</v>
      </c>
      <c r="F191" s="4">
        <f>Geometry!$D$12*D191</f>
        <v>27.359294117647064</v>
      </c>
      <c r="G191" s="4">
        <f t="shared" ref="G191:G198" si="35">IF(H191&gt;0,F191/9.8,0)</f>
        <v>0</v>
      </c>
      <c r="H191" s="4">
        <f>IF(ABS(E191*E191)&lt;=Geometry!$E$10,SQRT(Geometry!$E$10-E191*E191),0)</f>
        <v>0</v>
      </c>
      <c r="I191" s="4">
        <f t="shared" ref="I191:I198" si="36">IF(H191&gt;0,1,0)</f>
        <v>0</v>
      </c>
      <c r="J191">
        <f t="shared" ref="J191:J198" si="37">PI()*H191*H191</f>
        <v>0</v>
      </c>
      <c r="K191" s="59">
        <f>IF(C191=1,J191*Geometry!$G$21,0)+IF(C191=2,J191*Geometry!$H$21,0)+IF(C191=3,J191*Geometry!$I$21,0)+IF(C191=4,J191*Geometry!$J$21,0)+IF(C191=5,J191*Geometry!$K$21,0)</f>
        <v>0</v>
      </c>
      <c r="L191" s="59">
        <f>IF(C191=1,J191*Geometry!$G$20,0)+IF(C191=2,J191*Geometry!$H$20,0)+IF(C191=3,J191*Geometry!$I$20,0)+IF(C191=4,J191*Geometry!$J$20,0)+IF(C191=5,J191*Geometry!$K$20,0)</f>
        <v>0</v>
      </c>
      <c r="M191" s="59">
        <f>IF(C191=1,J191*Geometry!$G$19,0)+IF(C191=2,J191*Geometry!$H$19,0)+IF(C191=3,J191*Geometry!$I$19,0)+IF(C191=4,J191*Geometry!$J$19,0)+IF(C191=5,J191*Geometry!$K$19,0)</f>
        <v>0</v>
      </c>
      <c r="N191" s="59">
        <f>IF(C191=1,J191*Geometry!$G$22,0)+IF(C191=2,J191*Geometry!$H$22,0)+IF(C191=3,J191*Geometry!$I$22,0)+IF(C191=4,J191*Geometry!$J$22,0)+IF(C191=5,J191*Geometry!$K$22,0)</f>
        <v>0</v>
      </c>
      <c r="O191" s="59">
        <f>IF(C191=1,J191*Geometry!$G$23,0)+IF(C191=2,J191*Geometry!$H$23,0)+IF(C191=3,J191*Geometry!$I$23,0)+IF(C191=4,J191*Geometry!$J$23,0)+IF(C191=5,J191*Geometry!$K$23,0)</f>
        <v>0</v>
      </c>
      <c r="P191">
        <f>IF(C191=1,J191*Geometry!$G$24,0)+IF(C191=2,J191*Geometry!$H$24,0)+IF(C191=3,J191*Geometry!$I$24,0)+IF(C191=4,J191*Geometry!$J$24,0)+IF(C191=5,J191*Geometry!$K$24,0)</f>
        <v>0</v>
      </c>
    </row>
    <row r="192" spans="1:16">
      <c r="A192">
        <f t="shared" si="28"/>
        <v>186</v>
      </c>
      <c r="C192" s="7">
        <f t="shared" si="33"/>
        <v>3</v>
      </c>
      <c r="D192" s="69">
        <f>D191+Geometry!$C$15</f>
        <v>1135</v>
      </c>
      <c r="E192" s="59">
        <f t="shared" si="34"/>
        <v>-820</v>
      </c>
      <c r="F192" s="4">
        <f>Geometry!$D$12*D192</f>
        <v>27.480352941176474</v>
      </c>
      <c r="G192" s="4">
        <f t="shared" si="35"/>
        <v>0</v>
      </c>
      <c r="H192" s="4">
        <f>IF(ABS(E192*E192)&lt;=Geometry!$E$10,SQRT(Geometry!$E$10-E192*E192),0)</f>
        <v>0</v>
      </c>
      <c r="I192" s="4">
        <f t="shared" si="36"/>
        <v>0</v>
      </c>
      <c r="J192">
        <f t="shared" si="37"/>
        <v>0</v>
      </c>
      <c r="K192" s="59">
        <f>IF(C192=1,J192*Geometry!$G$21,0)+IF(C192=2,J192*Geometry!$H$21,0)+IF(C192=3,J192*Geometry!$I$21,0)+IF(C192=4,J192*Geometry!$J$21,0)+IF(C192=5,J192*Geometry!$K$21,0)</f>
        <v>0</v>
      </c>
      <c r="L192" s="59">
        <f>IF(C192=1,J192*Geometry!$G$20,0)+IF(C192=2,J192*Geometry!$H$20,0)+IF(C192=3,J192*Geometry!$I$20,0)+IF(C192=4,J192*Geometry!$J$20,0)+IF(C192=5,J192*Geometry!$K$20,0)</f>
        <v>0</v>
      </c>
      <c r="M192" s="59">
        <f>IF(C192=1,J192*Geometry!$G$19,0)+IF(C192=2,J192*Geometry!$H$19,0)+IF(C192=3,J192*Geometry!$I$19,0)+IF(C192=4,J192*Geometry!$J$19,0)+IF(C192=5,J192*Geometry!$K$19,0)</f>
        <v>0</v>
      </c>
      <c r="N192" s="59">
        <f>IF(C192=1,J192*Geometry!$G$22,0)+IF(C192=2,J192*Geometry!$H$22,0)+IF(C192=3,J192*Geometry!$I$22,0)+IF(C192=4,J192*Geometry!$J$22,0)+IF(C192=5,J192*Geometry!$K$22,0)</f>
        <v>0</v>
      </c>
      <c r="O192" s="59">
        <f>IF(C192=1,J192*Geometry!$G$23,0)+IF(C192=2,J192*Geometry!$H$23,0)+IF(C192=3,J192*Geometry!$I$23,0)+IF(C192=4,J192*Geometry!$J$23,0)+IF(C192=5,J192*Geometry!$K$23,0)</f>
        <v>0</v>
      </c>
      <c r="P192">
        <f>IF(C192=1,J192*Geometry!$G$24,0)+IF(C192=2,J192*Geometry!$H$24,0)+IF(C192=3,J192*Geometry!$I$24,0)+IF(C192=4,J192*Geometry!$J$24,0)+IF(C192=5,J192*Geometry!$K$24,0)</f>
        <v>0</v>
      </c>
    </row>
    <row r="193" spans="1:16">
      <c r="A193">
        <f t="shared" si="28"/>
        <v>187</v>
      </c>
      <c r="C193" s="7">
        <f t="shared" si="33"/>
        <v>3</v>
      </c>
      <c r="D193" s="69">
        <f>D192+Geometry!$C$15</f>
        <v>1140</v>
      </c>
      <c r="E193" s="59">
        <f t="shared" si="34"/>
        <v>-825</v>
      </c>
      <c r="F193" s="4">
        <f>Geometry!$D$12*D193</f>
        <v>27.601411764705887</v>
      </c>
      <c r="G193" s="4">
        <f t="shared" si="35"/>
        <v>0</v>
      </c>
      <c r="H193" s="4">
        <f>IF(ABS(E193*E193)&lt;=Geometry!$E$10,SQRT(Geometry!$E$10-E193*E193),0)</f>
        <v>0</v>
      </c>
      <c r="I193" s="4">
        <f t="shared" si="36"/>
        <v>0</v>
      </c>
      <c r="J193">
        <f t="shared" si="37"/>
        <v>0</v>
      </c>
      <c r="K193" s="59">
        <f>IF(C193=1,J193*Geometry!$G$21,0)+IF(C193=2,J193*Geometry!$H$21,0)+IF(C193=3,J193*Geometry!$I$21,0)+IF(C193=4,J193*Geometry!$J$21,0)+IF(C193=5,J193*Geometry!$K$21,0)</f>
        <v>0</v>
      </c>
      <c r="L193" s="59">
        <f>IF(C193=1,J193*Geometry!$G$20,0)+IF(C193=2,J193*Geometry!$H$20,0)+IF(C193=3,J193*Geometry!$I$20,0)+IF(C193=4,J193*Geometry!$J$20,0)+IF(C193=5,J193*Geometry!$K$20,0)</f>
        <v>0</v>
      </c>
      <c r="M193" s="59">
        <f>IF(C193=1,J193*Geometry!$G$19,0)+IF(C193=2,J193*Geometry!$H$19,0)+IF(C193=3,J193*Geometry!$I$19,0)+IF(C193=4,J193*Geometry!$J$19,0)+IF(C193=5,J193*Geometry!$K$19,0)</f>
        <v>0</v>
      </c>
      <c r="N193" s="59">
        <f>IF(C193=1,J193*Geometry!$G$22,0)+IF(C193=2,J193*Geometry!$H$22,0)+IF(C193=3,J193*Geometry!$I$22,0)+IF(C193=4,J193*Geometry!$J$22,0)+IF(C193=5,J193*Geometry!$K$22,0)</f>
        <v>0</v>
      </c>
      <c r="O193" s="59">
        <f>IF(C193=1,J193*Geometry!$G$23,0)+IF(C193=2,J193*Geometry!$H$23,0)+IF(C193=3,J193*Geometry!$I$23,0)+IF(C193=4,J193*Geometry!$J$23,0)+IF(C193=5,J193*Geometry!$K$23,0)</f>
        <v>0</v>
      </c>
      <c r="P193">
        <f>IF(C193=1,J193*Geometry!$G$24,0)+IF(C193=2,J193*Geometry!$H$24,0)+IF(C193=3,J193*Geometry!$I$24,0)+IF(C193=4,J193*Geometry!$J$24,0)+IF(C193=5,J193*Geometry!$K$24,0)</f>
        <v>0</v>
      </c>
    </row>
    <row r="194" spans="1:16">
      <c r="A194">
        <f t="shared" si="28"/>
        <v>188</v>
      </c>
      <c r="C194" s="7">
        <f t="shared" si="33"/>
        <v>3</v>
      </c>
      <c r="D194" s="69">
        <f>D193+Geometry!$C$15</f>
        <v>1145</v>
      </c>
      <c r="E194" s="59">
        <f t="shared" si="34"/>
        <v>-830</v>
      </c>
      <c r="F194" s="4">
        <f>Geometry!$D$12*D194</f>
        <v>27.722470588235296</v>
      </c>
      <c r="G194" s="4">
        <f t="shared" si="35"/>
        <v>0</v>
      </c>
      <c r="H194" s="4">
        <f>IF(ABS(E194*E194)&lt;=Geometry!$E$10,SQRT(Geometry!$E$10-E194*E194),0)</f>
        <v>0</v>
      </c>
      <c r="I194" s="4">
        <f t="shared" si="36"/>
        <v>0</v>
      </c>
      <c r="J194">
        <f t="shared" si="37"/>
        <v>0</v>
      </c>
      <c r="K194" s="59">
        <f>IF(C194=1,J194*Geometry!$G$21,0)+IF(C194=2,J194*Geometry!$H$21,0)+IF(C194=3,J194*Geometry!$I$21,0)+IF(C194=4,J194*Geometry!$J$21,0)+IF(C194=5,J194*Geometry!$K$21,0)</f>
        <v>0</v>
      </c>
      <c r="L194" s="59">
        <f>IF(C194=1,J194*Geometry!$G$20,0)+IF(C194=2,J194*Geometry!$H$20,0)+IF(C194=3,J194*Geometry!$I$20,0)+IF(C194=4,J194*Geometry!$J$20,0)+IF(C194=5,J194*Geometry!$K$20,0)</f>
        <v>0</v>
      </c>
      <c r="M194" s="59">
        <f>IF(C194=1,J194*Geometry!$G$19,0)+IF(C194=2,J194*Geometry!$H$19,0)+IF(C194=3,J194*Geometry!$I$19,0)+IF(C194=4,J194*Geometry!$J$19,0)+IF(C194=5,J194*Geometry!$K$19,0)</f>
        <v>0</v>
      </c>
      <c r="N194" s="59">
        <f>IF(C194=1,J194*Geometry!$G$22,0)+IF(C194=2,J194*Geometry!$H$22,0)+IF(C194=3,J194*Geometry!$I$22,0)+IF(C194=4,J194*Geometry!$J$22,0)+IF(C194=5,J194*Geometry!$K$22,0)</f>
        <v>0</v>
      </c>
      <c r="O194" s="59">
        <f>IF(C194=1,J194*Geometry!$G$23,0)+IF(C194=2,J194*Geometry!$H$23,0)+IF(C194=3,J194*Geometry!$I$23,0)+IF(C194=4,J194*Geometry!$J$23,0)+IF(C194=5,J194*Geometry!$K$23,0)</f>
        <v>0</v>
      </c>
      <c r="P194">
        <f>IF(C194=1,J194*Geometry!$G$24,0)+IF(C194=2,J194*Geometry!$H$24,0)+IF(C194=3,J194*Geometry!$I$24,0)+IF(C194=4,J194*Geometry!$J$24,0)+IF(C194=5,J194*Geometry!$K$24,0)</f>
        <v>0</v>
      </c>
    </row>
    <row r="195" spans="1:16">
      <c r="A195">
        <f t="shared" si="28"/>
        <v>189</v>
      </c>
      <c r="C195" s="7">
        <f t="shared" si="33"/>
        <v>3</v>
      </c>
      <c r="D195" s="69">
        <f>D194+Geometry!$C$15</f>
        <v>1150</v>
      </c>
      <c r="E195" s="59">
        <f t="shared" si="34"/>
        <v>-835</v>
      </c>
      <c r="F195" s="4">
        <f>Geometry!$D$12*D195</f>
        <v>27.84352941176471</v>
      </c>
      <c r="G195" s="4">
        <f t="shared" si="35"/>
        <v>0</v>
      </c>
      <c r="H195" s="4">
        <f>IF(ABS(E195*E195)&lt;=Geometry!$E$10,SQRT(Geometry!$E$10-E195*E195),0)</f>
        <v>0</v>
      </c>
      <c r="I195" s="4">
        <f t="shared" si="36"/>
        <v>0</v>
      </c>
      <c r="J195">
        <f t="shared" si="37"/>
        <v>0</v>
      </c>
      <c r="K195" s="59">
        <f>IF(C195=1,J195*Geometry!$G$21,0)+IF(C195=2,J195*Geometry!$H$21,0)+IF(C195=3,J195*Geometry!$I$21,0)+IF(C195=4,J195*Geometry!$J$21,0)+IF(C195=5,J195*Geometry!$K$21,0)</f>
        <v>0</v>
      </c>
      <c r="L195" s="59">
        <f>IF(C195=1,J195*Geometry!$G$20,0)+IF(C195=2,J195*Geometry!$H$20,0)+IF(C195=3,J195*Geometry!$I$20,0)+IF(C195=4,J195*Geometry!$J$20,0)+IF(C195=5,J195*Geometry!$K$20,0)</f>
        <v>0</v>
      </c>
      <c r="M195" s="59">
        <f>IF(C195=1,J195*Geometry!$G$19,0)+IF(C195=2,J195*Geometry!$H$19,0)+IF(C195=3,J195*Geometry!$I$19,0)+IF(C195=4,J195*Geometry!$J$19,0)+IF(C195=5,J195*Geometry!$K$19,0)</f>
        <v>0</v>
      </c>
      <c r="N195" s="59">
        <f>IF(C195=1,J195*Geometry!$G$22,0)+IF(C195=2,J195*Geometry!$H$22,0)+IF(C195=3,J195*Geometry!$I$22,0)+IF(C195=4,J195*Geometry!$J$22,0)+IF(C195=5,J195*Geometry!$K$22,0)</f>
        <v>0</v>
      </c>
      <c r="O195" s="59">
        <f>IF(C195=1,J195*Geometry!$G$23,0)+IF(C195=2,J195*Geometry!$H$23,0)+IF(C195=3,J195*Geometry!$I$23,0)+IF(C195=4,J195*Geometry!$J$23,0)+IF(C195=5,J195*Geometry!$K$23,0)</f>
        <v>0</v>
      </c>
      <c r="P195">
        <f>IF(C195=1,J195*Geometry!$G$24,0)+IF(C195=2,J195*Geometry!$H$24,0)+IF(C195=3,J195*Geometry!$I$24,0)+IF(C195=4,J195*Geometry!$J$24,0)+IF(C195=5,J195*Geometry!$K$24,0)</f>
        <v>0</v>
      </c>
    </row>
    <row r="196" spans="1:16">
      <c r="A196">
        <f t="shared" si="28"/>
        <v>190</v>
      </c>
      <c r="C196" s="7">
        <f t="shared" si="33"/>
        <v>3</v>
      </c>
      <c r="D196" s="69">
        <f>D195+Geometry!$C$15</f>
        <v>1155</v>
      </c>
      <c r="E196" s="59">
        <f t="shared" si="34"/>
        <v>-840</v>
      </c>
      <c r="F196" s="4">
        <f>Geometry!$D$12*D196</f>
        <v>27.964588235294123</v>
      </c>
      <c r="G196" s="4">
        <f t="shared" si="35"/>
        <v>0</v>
      </c>
      <c r="H196" s="4">
        <f>IF(ABS(E196*E196)&lt;=Geometry!$E$10,SQRT(Geometry!$E$10-E196*E196),0)</f>
        <v>0</v>
      </c>
      <c r="I196" s="4">
        <f t="shared" si="36"/>
        <v>0</v>
      </c>
      <c r="J196">
        <f t="shared" si="37"/>
        <v>0</v>
      </c>
      <c r="K196" s="59">
        <f>IF(C196=1,J196*Geometry!$G$21,0)+IF(C196=2,J196*Geometry!$H$21,0)+IF(C196=3,J196*Geometry!$I$21,0)+IF(C196=4,J196*Geometry!$J$21,0)+IF(C196=5,J196*Geometry!$K$21,0)</f>
        <v>0</v>
      </c>
      <c r="L196" s="59">
        <f>IF(C196=1,J196*Geometry!$G$20,0)+IF(C196=2,J196*Geometry!$H$20,0)+IF(C196=3,J196*Geometry!$I$20,0)+IF(C196=4,J196*Geometry!$J$20,0)+IF(C196=5,J196*Geometry!$K$20,0)</f>
        <v>0</v>
      </c>
      <c r="M196" s="59">
        <f>IF(C196=1,J196*Geometry!$G$19,0)+IF(C196=2,J196*Geometry!$H$19,0)+IF(C196=3,J196*Geometry!$I$19,0)+IF(C196=4,J196*Geometry!$J$19,0)+IF(C196=5,J196*Geometry!$K$19,0)</f>
        <v>0</v>
      </c>
      <c r="N196" s="59">
        <f>IF(C196=1,J196*Geometry!$G$22,0)+IF(C196=2,J196*Geometry!$H$22,0)+IF(C196=3,J196*Geometry!$I$22,0)+IF(C196=4,J196*Geometry!$J$22,0)+IF(C196=5,J196*Geometry!$K$22,0)</f>
        <v>0</v>
      </c>
      <c r="O196" s="59">
        <f>IF(C196=1,J196*Geometry!$G$23,0)+IF(C196=2,J196*Geometry!$H$23,0)+IF(C196=3,J196*Geometry!$I$23,0)+IF(C196=4,J196*Geometry!$J$23,0)+IF(C196=5,J196*Geometry!$K$23,0)</f>
        <v>0</v>
      </c>
      <c r="P196">
        <f>IF(C196=1,J196*Geometry!$G$24,0)+IF(C196=2,J196*Geometry!$H$24,0)+IF(C196=3,J196*Geometry!$I$24,0)+IF(C196=4,J196*Geometry!$J$24,0)+IF(C196=5,J196*Geometry!$K$24,0)</f>
        <v>0</v>
      </c>
    </row>
    <row r="197" spans="1:16">
      <c r="A197">
        <f t="shared" si="28"/>
        <v>191</v>
      </c>
      <c r="C197" s="7">
        <f t="shared" si="33"/>
        <v>3</v>
      </c>
      <c r="D197" s="69">
        <f>D196+Geometry!$C$15</f>
        <v>1160</v>
      </c>
      <c r="E197" s="59">
        <f t="shared" si="34"/>
        <v>-845</v>
      </c>
      <c r="F197" s="4">
        <f>Geometry!$D$12*D197</f>
        <v>28.085647058823533</v>
      </c>
      <c r="G197" s="4">
        <f t="shared" si="35"/>
        <v>0</v>
      </c>
      <c r="H197" s="4">
        <f>IF(ABS(E197*E197)&lt;=Geometry!$E$10,SQRT(Geometry!$E$10-E197*E197),0)</f>
        <v>0</v>
      </c>
      <c r="I197" s="4">
        <f t="shared" si="36"/>
        <v>0</v>
      </c>
      <c r="J197">
        <f t="shared" si="37"/>
        <v>0</v>
      </c>
      <c r="K197" s="59">
        <f>IF(C197=1,J197*Geometry!$G$21,0)+IF(C197=2,J197*Geometry!$H$21,0)+IF(C197=3,J197*Geometry!$I$21,0)+IF(C197=4,J197*Geometry!$J$21,0)+IF(C197=5,J197*Geometry!$K$21,0)</f>
        <v>0</v>
      </c>
      <c r="L197" s="59">
        <f>IF(C197=1,J197*Geometry!$G$20,0)+IF(C197=2,J197*Geometry!$H$20,0)+IF(C197=3,J197*Geometry!$I$20,0)+IF(C197=4,J197*Geometry!$J$20,0)+IF(C197=5,J197*Geometry!$K$20,0)</f>
        <v>0</v>
      </c>
      <c r="M197" s="59">
        <f>IF(C197=1,J197*Geometry!$G$19,0)+IF(C197=2,J197*Geometry!$H$19,0)+IF(C197=3,J197*Geometry!$I$19,0)+IF(C197=4,J197*Geometry!$J$19,0)+IF(C197=5,J197*Geometry!$K$19,0)</f>
        <v>0</v>
      </c>
      <c r="N197" s="59">
        <f>IF(C197=1,J197*Geometry!$G$22,0)+IF(C197=2,J197*Geometry!$H$22,0)+IF(C197=3,J197*Geometry!$I$22,0)+IF(C197=4,J197*Geometry!$J$22,0)+IF(C197=5,J197*Geometry!$K$22,0)</f>
        <v>0</v>
      </c>
      <c r="O197" s="59">
        <f>IF(C197=1,J197*Geometry!$G$23,0)+IF(C197=2,J197*Geometry!$H$23,0)+IF(C197=3,J197*Geometry!$I$23,0)+IF(C197=4,J197*Geometry!$J$23,0)+IF(C197=5,J197*Geometry!$K$23,0)</f>
        <v>0</v>
      </c>
      <c r="P197">
        <f>IF(C197=1,J197*Geometry!$G$24,0)+IF(C197=2,J197*Geometry!$H$24,0)+IF(C197=3,J197*Geometry!$I$24,0)+IF(C197=4,J197*Geometry!$J$24,0)+IF(C197=5,J197*Geometry!$K$24,0)</f>
        <v>0</v>
      </c>
    </row>
    <row r="198" spans="1:16">
      <c r="A198">
        <f t="shared" si="28"/>
        <v>192</v>
      </c>
      <c r="C198" s="7">
        <f t="shared" si="33"/>
        <v>3</v>
      </c>
      <c r="D198" s="69">
        <f>D197+Geometry!$C$15</f>
        <v>1165</v>
      </c>
      <c r="E198" s="59">
        <f t="shared" si="34"/>
        <v>-850</v>
      </c>
      <c r="F198" s="4">
        <f>Geometry!$D$12*D198</f>
        <v>28.206705882352946</v>
      </c>
      <c r="G198" s="4">
        <f t="shared" si="35"/>
        <v>0</v>
      </c>
      <c r="H198" s="4">
        <f>IF(ABS(E198*E198)&lt;=Geometry!$E$10,SQRT(Geometry!$E$10-E198*E198),0)</f>
        <v>0</v>
      </c>
      <c r="I198" s="4">
        <f t="shared" si="36"/>
        <v>0</v>
      </c>
      <c r="J198">
        <f t="shared" si="37"/>
        <v>0</v>
      </c>
      <c r="K198" s="59">
        <f>IF(C198=1,J198*Geometry!$G$21,0)+IF(C198=2,J198*Geometry!$H$21,0)+IF(C198=3,J198*Geometry!$I$21,0)+IF(C198=4,J198*Geometry!$J$21,0)+IF(C198=5,J198*Geometry!$K$21,0)</f>
        <v>0</v>
      </c>
      <c r="L198" s="59">
        <f>IF(C198=1,J198*Geometry!$G$20,0)+IF(C198=2,J198*Geometry!$H$20,0)+IF(C198=3,J198*Geometry!$I$20,0)+IF(C198=4,J198*Geometry!$J$20,0)+IF(C198=5,J198*Geometry!$K$20,0)</f>
        <v>0</v>
      </c>
      <c r="M198" s="59">
        <f>IF(C198=1,J198*Geometry!$G$19,0)+IF(C198=2,J198*Geometry!$H$19,0)+IF(C198=3,J198*Geometry!$I$19,0)+IF(C198=4,J198*Geometry!$J$19,0)+IF(C198=5,J198*Geometry!$K$19,0)</f>
        <v>0</v>
      </c>
      <c r="N198" s="59">
        <f>IF(C198=1,J198*Geometry!$G$22,0)+IF(C198=2,J198*Geometry!$H$22,0)+IF(C198=3,J198*Geometry!$I$22,0)+IF(C198=4,J198*Geometry!$J$22,0)+IF(C198=5,J198*Geometry!$K$22,0)</f>
        <v>0</v>
      </c>
      <c r="O198" s="59">
        <f>IF(C198=1,J198*Geometry!$G$23,0)+IF(C198=2,J198*Geometry!$H$23,0)+IF(C198=3,J198*Geometry!$I$23,0)+IF(C198=4,J198*Geometry!$J$23,0)+IF(C198=5,J198*Geometry!$K$23,0)</f>
        <v>0</v>
      </c>
      <c r="P198">
        <f>IF(C198=1,J198*Geometry!$G$24,0)+IF(C198=2,J198*Geometry!$H$24,0)+IF(C198=3,J198*Geometry!$I$24,0)+IF(C198=4,J198*Geometry!$J$24,0)+IF(C198=5,J198*Geometry!$K$24,0)</f>
        <v>0</v>
      </c>
    </row>
    <row r="199" spans="1:16">
      <c r="A199">
        <f t="shared" si="28"/>
        <v>193</v>
      </c>
      <c r="C199" s="7">
        <f t="shared" si="33"/>
        <v>3</v>
      </c>
      <c r="D199" s="69">
        <f>D198+Geometry!$C$15</f>
        <v>1170</v>
      </c>
      <c r="E199" s="59">
        <f t="shared" ref="E199:E208" si="38">E198-(D199-D198)</f>
        <v>-855</v>
      </c>
      <c r="F199" s="4">
        <f>Geometry!$D$12*D199</f>
        <v>28.327764705882355</v>
      </c>
      <c r="G199" s="4">
        <f t="shared" ref="G199:G208" si="39">IF(H199&gt;0,F199/9.8,0)</f>
        <v>0</v>
      </c>
      <c r="H199" s="4">
        <f>IF(ABS(E199*E199)&lt;=Geometry!$E$10,SQRT(Geometry!$E$10-E199*E199),0)</f>
        <v>0</v>
      </c>
      <c r="I199" s="4">
        <f t="shared" ref="I199:I208" si="40">IF(H199&gt;0,1,0)</f>
        <v>0</v>
      </c>
      <c r="J199">
        <f t="shared" ref="J199:J208" si="41">PI()*H199*H199</f>
        <v>0</v>
      </c>
      <c r="K199" s="59">
        <f>IF(C199=1,J199*Geometry!$G$21,0)+IF(C199=2,J199*Geometry!$H$21,0)+IF(C199=3,J199*Geometry!$I$21,0)+IF(C199=4,J199*Geometry!$J$21,0)+IF(C199=5,J199*Geometry!$K$21,0)</f>
        <v>0</v>
      </c>
      <c r="L199" s="59">
        <f>IF(C199=1,J199*Geometry!$G$20,0)+IF(C199=2,J199*Geometry!$H$20,0)+IF(C199=3,J199*Geometry!$I$20,0)+IF(C199=4,J199*Geometry!$J$20,0)+IF(C199=5,J199*Geometry!$K$20,0)</f>
        <v>0</v>
      </c>
      <c r="M199" s="59">
        <f>IF(C199=1,J199*Geometry!$G$19,0)+IF(C199=2,J199*Geometry!$H$19,0)+IF(C199=3,J199*Geometry!$I$19,0)+IF(C199=4,J199*Geometry!$J$19,0)+IF(C199=5,J199*Geometry!$K$19,0)</f>
        <v>0</v>
      </c>
      <c r="N199" s="59">
        <f>IF(C199=1,J199*Geometry!$G$22,0)+IF(C199=2,J199*Geometry!$H$22,0)+IF(C199=3,J199*Geometry!$I$22,0)+IF(C199=4,J199*Geometry!$J$22,0)+IF(C199=5,J199*Geometry!$K$22,0)</f>
        <v>0</v>
      </c>
      <c r="O199" s="59">
        <f>IF(C199=1,J199*Geometry!$G$23,0)+IF(C199=2,J199*Geometry!$H$23,0)+IF(C199=3,J199*Geometry!$I$23,0)+IF(C199=4,J199*Geometry!$J$23,0)+IF(C199=5,J199*Geometry!$K$23,0)</f>
        <v>0</v>
      </c>
      <c r="P199">
        <f>IF(C199=1,J199*Geometry!$G$24,0)+IF(C199=2,J199*Geometry!$H$24,0)+IF(C199=3,J199*Geometry!$I$24,0)+IF(C199=4,J199*Geometry!$J$24,0)+IF(C199=5,J199*Geometry!$K$24,0)</f>
        <v>0</v>
      </c>
    </row>
    <row r="200" spans="1:16">
      <c r="A200">
        <f t="shared" si="28"/>
        <v>194</v>
      </c>
      <c r="C200" s="7">
        <f t="shared" ref="C200:C208" si="42">IF(A200&gt;$C$1-$C$4,3,IF(A200&lt;2,3,IF(A200&lt;=$C$2-$C$3,1,IF(A200&gt;$C$2,1,2))))</f>
        <v>3</v>
      </c>
      <c r="D200" s="69">
        <f>D199+Geometry!$C$15</f>
        <v>1175</v>
      </c>
      <c r="E200" s="59">
        <f t="shared" si="38"/>
        <v>-860</v>
      </c>
      <c r="F200" s="4">
        <f>Geometry!$D$12*D200</f>
        <v>28.448823529411769</v>
      </c>
      <c r="G200" s="4">
        <f t="shared" si="39"/>
        <v>0</v>
      </c>
      <c r="H200" s="4">
        <f>IF(ABS(E200*E200)&lt;=Geometry!$E$10,SQRT(Geometry!$E$10-E200*E200),0)</f>
        <v>0</v>
      </c>
      <c r="I200" s="4">
        <f t="shared" si="40"/>
        <v>0</v>
      </c>
      <c r="J200">
        <f t="shared" si="41"/>
        <v>0</v>
      </c>
      <c r="K200" s="59">
        <f>IF(C200=1,J200*Geometry!$G$21,0)+IF(C200=2,J200*Geometry!$H$21,0)+IF(C200=3,J200*Geometry!$I$21,0)+IF(C200=4,J200*Geometry!$J$21,0)+IF(C200=5,J200*Geometry!$K$21,0)</f>
        <v>0</v>
      </c>
      <c r="L200" s="59">
        <f>IF(C200=1,J200*Geometry!$G$20,0)+IF(C200=2,J200*Geometry!$H$20,0)+IF(C200=3,J200*Geometry!$I$20,0)+IF(C200=4,J200*Geometry!$J$20,0)+IF(C200=5,J200*Geometry!$K$20,0)</f>
        <v>0</v>
      </c>
      <c r="M200" s="59">
        <f>IF(C200=1,J200*Geometry!$G$19,0)+IF(C200=2,J200*Geometry!$H$19,0)+IF(C200=3,J200*Geometry!$I$19,0)+IF(C200=4,J200*Geometry!$J$19,0)+IF(C200=5,J200*Geometry!$K$19,0)</f>
        <v>0</v>
      </c>
      <c r="N200" s="59">
        <f>IF(C200=1,J200*Geometry!$G$22,0)+IF(C200=2,J200*Geometry!$H$22,0)+IF(C200=3,J200*Geometry!$I$22,0)+IF(C200=4,J200*Geometry!$J$22,0)+IF(C200=5,J200*Geometry!$K$22,0)</f>
        <v>0</v>
      </c>
      <c r="O200" s="59">
        <f>IF(C200=1,J200*Geometry!$G$23,0)+IF(C200=2,J200*Geometry!$H$23,0)+IF(C200=3,J200*Geometry!$I$23,0)+IF(C200=4,J200*Geometry!$J$23,0)+IF(C200=5,J200*Geometry!$K$23,0)</f>
        <v>0</v>
      </c>
      <c r="P200">
        <f>IF(C200=1,J200*Geometry!$G$24,0)+IF(C200=2,J200*Geometry!$H$24,0)+IF(C200=3,J200*Geometry!$I$24,0)+IF(C200=4,J200*Geometry!$J$24,0)+IF(C200=5,J200*Geometry!$K$24,0)</f>
        <v>0</v>
      </c>
    </row>
    <row r="201" spans="1:16">
      <c r="A201">
        <f t="shared" si="28"/>
        <v>195</v>
      </c>
      <c r="C201" s="7">
        <f t="shared" si="42"/>
        <v>3</v>
      </c>
      <c r="D201" s="69">
        <f>D200+Geometry!$C$15</f>
        <v>1180</v>
      </c>
      <c r="E201" s="59">
        <f t="shared" si="38"/>
        <v>-865</v>
      </c>
      <c r="F201" s="4">
        <f>Geometry!$D$12*D201</f>
        <v>28.569882352941182</v>
      </c>
      <c r="G201" s="4">
        <f t="shared" si="39"/>
        <v>0</v>
      </c>
      <c r="H201" s="4">
        <f>IF(ABS(E201*E201)&lt;=Geometry!$E$10,SQRT(Geometry!$E$10-E201*E201),0)</f>
        <v>0</v>
      </c>
      <c r="I201" s="4">
        <f t="shared" si="40"/>
        <v>0</v>
      </c>
      <c r="J201">
        <f t="shared" si="41"/>
        <v>0</v>
      </c>
      <c r="K201" s="59">
        <f>IF(C201=1,J201*Geometry!$G$21,0)+IF(C201=2,J201*Geometry!$H$21,0)+IF(C201=3,J201*Geometry!$I$21,0)+IF(C201=4,J201*Geometry!$J$21,0)+IF(C201=5,J201*Geometry!$K$21,0)</f>
        <v>0</v>
      </c>
      <c r="L201" s="59">
        <f>IF(C201=1,J201*Geometry!$G$20,0)+IF(C201=2,J201*Geometry!$H$20,0)+IF(C201=3,J201*Geometry!$I$20,0)+IF(C201=4,J201*Geometry!$J$20,0)+IF(C201=5,J201*Geometry!$K$20,0)</f>
        <v>0</v>
      </c>
      <c r="M201" s="59">
        <f>IF(C201=1,J201*Geometry!$G$19,0)+IF(C201=2,J201*Geometry!$H$19,0)+IF(C201=3,J201*Geometry!$I$19,0)+IF(C201=4,J201*Geometry!$J$19,0)+IF(C201=5,J201*Geometry!$K$19,0)</f>
        <v>0</v>
      </c>
      <c r="N201" s="59">
        <f>IF(C201=1,J201*Geometry!$G$22,0)+IF(C201=2,J201*Geometry!$H$22,0)+IF(C201=3,J201*Geometry!$I$22,0)+IF(C201=4,J201*Geometry!$J$22,0)+IF(C201=5,J201*Geometry!$K$22,0)</f>
        <v>0</v>
      </c>
      <c r="O201" s="59">
        <f>IF(C201=1,J201*Geometry!$G$23,0)+IF(C201=2,J201*Geometry!$H$23,0)+IF(C201=3,J201*Geometry!$I$23,0)+IF(C201=4,J201*Geometry!$J$23,0)+IF(C201=5,J201*Geometry!$K$23,0)</f>
        <v>0</v>
      </c>
      <c r="P201">
        <f>IF(C201=1,J201*Geometry!$G$24,0)+IF(C201=2,J201*Geometry!$H$24,0)+IF(C201=3,J201*Geometry!$I$24,0)+IF(C201=4,J201*Geometry!$J$24,0)+IF(C201=5,J201*Geometry!$K$24,0)</f>
        <v>0</v>
      </c>
    </row>
    <row r="202" spans="1:16">
      <c r="A202">
        <f t="shared" si="28"/>
        <v>196</v>
      </c>
      <c r="C202" s="7">
        <f t="shared" si="42"/>
        <v>3</v>
      </c>
      <c r="D202" s="69">
        <f>D201+Geometry!$C$15</f>
        <v>1185</v>
      </c>
      <c r="E202" s="59">
        <f t="shared" si="38"/>
        <v>-870</v>
      </c>
      <c r="F202" s="4">
        <f>Geometry!$D$12*D202</f>
        <v>28.690941176470592</v>
      </c>
      <c r="G202" s="4">
        <f t="shared" si="39"/>
        <v>0</v>
      </c>
      <c r="H202" s="4">
        <f>IF(ABS(E202*E202)&lt;=Geometry!$E$10,SQRT(Geometry!$E$10-E202*E202),0)</f>
        <v>0</v>
      </c>
      <c r="I202" s="4">
        <f t="shared" si="40"/>
        <v>0</v>
      </c>
      <c r="J202">
        <f t="shared" si="41"/>
        <v>0</v>
      </c>
      <c r="K202" s="59">
        <f>IF(C202=1,J202*Geometry!$G$21,0)+IF(C202=2,J202*Geometry!$H$21,0)+IF(C202=3,J202*Geometry!$I$21,0)+IF(C202=4,J202*Geometry!$J$21,0)+IF(C202=5,J202*Geometry!$K$21,0)</f>
        <v>0</v>
      </c>
      <c r="L202" s="59">
        <f>IF(C202=1,J202*Geometry!$G$20,0)+IF(C202=2,J202*Geometry!$H$20,0)+IF(C202=3,J202*Geometry!$I$20,0)+IF(C202=4,J202*Geometry!$J$20,0)+IF(C202=5,J202*Geometry!$K$20,0)</f>
        <v>0</v>
      </c>
      <c r="M202" s="59">
        <f>IF(C202=1,J202*Geometry!$G$19,0)+IF(C202=2,J202*Geometry!$H$19,0)+IF(C202=3,J202*Geometry!$I$19,0)+IF(C202=4,J202*Geometry!$J$19,0)+IF(C202=5,J202*Geometry!$K$19,0)</f>
        <v>0</v>
      </c>
      <c r="N202" s="59">
        <f>IF(C202=1,J202*Geometry!$G$22,0)+IF(C202=2,J202*Geometry!$H$22,0)+IF(C202=3,J202*Geometry!$I$22,0)+IF(C202=4,J202*Geometry!$J$22,0)+IF(C202=5,J202*Geometry!$K$22,0)</f>
        <v>0</v>
      </c>
      <c r="O202" s="59">
        <f>IF(C202=1,J202*Geometry!$G$23,0)+IF(C202=2,J202*Geometry!$H$23,0)+IF(C202=3,J202*Geometry!$I$23,0)+IF(C202=4,J202*Geometry!$J$23,0)+IF(C202=5,J202*Geometry!$K$23,0)</f>
        <v>0</v>
      </c>
      <c r="P202">
        <f>IF(C202=1,J202*Geometry!$G$24,0)+IF(C202=2,J202*Geometry!$H$24,0)+IF(C202=3,J202*Geometry!$I$24,0)+IF(C202=4,J202*Geometry!$J$24,0)+IF(C202=5,J202*Geometry!$K$24,0)</f>
        <v>0</v>
      </c>
    </row>
    <row r="203" spans="1:16">
      <c r="A203">
        <f t="shared" si="28"/>
        <v>197</v>
      </c>
      <c r="C203" s="7">
        <f t="shared" si="42"/>
        <v>3</v>
      </c>
      <c r="D203" s="69">
        <f>D202+Geometry!$C$15</f>
        <v>1190</v>
      </c>
      <c r="E203" s="59">
        <f t="shared" si="38"/>
        <v>-875</v>
      </c>
      <c r="F203" s="4">
        <f>Geometry!$D$12*D203</f>
        <v>28.812000000000005</v>
      </c>
      <c r="G203" s="4">
        <f t="shared" si="39"/>
        <v>0</v>
      </c>
      <c r="H203" s="4">
        <f>IF(ABS(E203*E203)&lt;=Geometry!$E$10,SQRT(Geometry!$E$10-E203*E203),0)</f>
        <v>0</v>
      </c>
      <c r="I203" s="4">
        <f t="shared" si="40"/>
        <v>0</v>
      </c>
      <c r="J203">
        <f t="shared" si="41"/>
        <v>0</v>
      </c>
      <c r="K203" s="59">
        <f>IF(C203=1,J203*Geometry!$G$21,0)+IF(C203=2,J203*Geometry!$H$21,0)+IF(C203=3,J203*Geometry!$I$21,0)+IF(C203=4,J203*Geometry!$J$21,0)+IF(C203=5,J203*Geometry!$K$21,0)</f>
        <v>0</v>
      </c>
      <c r="L203" s="59">
        <f>IF(C203=1,J203*Geometry!$G$20,0)+IF(C203=2,J203*Geometry!$H$20,0)+IF(C203=3,J203*Geometry!$I$20,0)+IF(C203=4,J203*Geometry!$J$20,0)+IF(C203=5,J203*Geometry!$K$20,0)</f>
        <v>0</v>
      </c>
      <c r="M203" s="59">
        <f>IF(C203=1,J203*Geometry!$G$19,0)+IF(C203=2,J203*Geometry!$H$19,0)+IF(C203=3,J203*Geometry!$I$19,0)+IF(C203=4,J203*Geometry!$J$19,0)+IF(C203=5,J203*Geometry!$K$19,0)</f>
        <v>0</v>
      </c>
      <c r="N203" s="59">
        <f>IF(C203=1,J203*Geometry!$G$22,0)+IF(C203=2,J203*Geometry!$H$22,0)+IF(C203=3,J203*Geometry!$I$22,0)+IF(C203=4,J203*Geometry!$J$22,0)+IF(C203=5,J203*Geometry!$K$22,0)</f>
        <v>0</v>
      </c>
      <c r="O203" s="59">
        <f>IF(C203=1,J203*Geometry!$G$23,0)+IF(C203=2,J203*Geometry!$H$23,0)+IF(C203=3,J203*Geometry!$I$23,0)+IF(C203=4,J203*Geometry!$J$23,0)+IF(C203=5,J203*Geometry!$K$23,0)</f>
        <v>0</v>
      </c>
      <c r="P203">
        <f>IF(C203=1,J203*Geometry!$G$24,0)+IF(C203=2,J203*Geometry!$H$24,0)+IF(C203=3,J203*Geometry!$I$24,0)+IF(C203=4,J203*Geometry!$J$24,0)+IF(C203=5,J203*Geometry!$K$24,0)</f>
        <v>0</v>
      </c>
    </row>
    <row r="204" spans="1:16">
      <c r="A204">
        <f t="shared" si="28"/>
        <v>198</v>
      </c>
      <c r="C204" s="7">
        <f t="shared" si="42"/>
        <v>3</v>
      </c>
      <c r="D204" s="69">
        <f>D203+Geometry!$C$15</f>
        <v>1195</v>
      </c>
      <c r="E204" s="59">
        <f t="shared" si="38"/>
        <v>-880</v>
      </c>
      <c r="F204" s="4">
        <f>Geometry!$D$12*D204</f>
        <v>28.933058823529414</v>
      </c>
      <c r="G204" s="4">
        <f t="shared" si="39"/>
        <v>0</v>
      </c>
      <c r="H204" s="4">
        <f>IF(ABS(E204*E204)&lt;=Geometry!$E$10,SQRT(Geometry!$E$10-E204*E204),0)</f>
        <v>0</v>
      </c>
      <c r="I204" s="4">
        <f t="shared" si="40"/>
        <v>0</v>
      </c>
      <c r="J204">
        <f t="shared" si="41"/>
        <v>0</v>
      </c>
      <c r="K204" s="59">
        <f>IF(C204=1,J204*Geometry!$G$21,0)+IF(C204=2,J204*Geometry!$H$21,0)+IF(C204=3,J204*Geometry!$I$21,0)+IF(C204=4,J204*Geometry!$J$21,0)+IF(C204=5,J204*Geometry!$K$21,0)</f>
        <v>0</v>
      </c>
      <c r="L204" s="59">
        <f>IF(C204=1,J204*Geometry!$G$20,0)+IF(C204=2,J204*Geometry!$H$20,0)+IF(C204=3,J204*Geometry!$I$20,0)+IF(C204=4,J204*Geometry!$J$20,0)+IF(C204=5,J204*Geometry!$K$20,0)</f>
        <v>0</v>
      </c>
      <c r="M204" s="59">
        <f>IF(C204=1,J204*Geometry!$G$19,0)+IF(C204=2,J204*Geometry!$H$19,0)+IF(C204=3,J204*Geometry!$I$19,0)+IF(C204=4,J204*Geometry!$J$19,0)+IF(C204=5,J204*Geometry!$K$19,0)</f>
        <v>0</v>
      </c>
      <c r="N204" s="59">
        <f>IF(C204=1,J204*Geometry!$G$22,0)+IF(C204=2,J204*Geometry!$H$22,0)+IF(C204=3,J204*Geometry!$I$22,0)+IF(C204=4,J204*Geometry!$J$22,0)+IF(C204=5,J204*Geometry!$K$22,0)</f>
        <v>0</v>
      </c>
      <c r="O204" s="59">
        <f>IF(C204=1,J204*Geometry!$G$23,0)+IF(C204=2,J204*Geometry!$H$23,0)+IF(C204=3,J204*Geometry!$I$23,0)+IF(C204=4,J204*Geometry!$J$23,0)+IF(C204=5,J204*Geometry!$K$23,0)</f>
        <v>0</v>
      </c>
      <c r="P204">
        <f>IF(C204=1,J204*Geometry!$G$24,0)+IF(C204=2,J204*Geometry!$H$24,0)+IF(C204=3,J204*Geometry!$I$24,0)+IF(C204=4,J204*Geometry!$J$24,0)+IF(C204=5,J204*Geometry!$K$24,0)</f>
        <v>0</v>
      </c>
    </row>
    <row r="205" spans="1:16">
      <c r="A205">
        <f t="shared" si="28"/>
        <v>199</v>
      </c>
      <c r="C205" s="7">
        <f t="shared" si="42"/>
        <v>3</v>
      </c>
      <c r="D205" s="69">
        <f>D204+Geometry!$C$15</f>
        <v>1200</v>
      </c>
      <c r="E205" s="59">
        <f t="shared" si="38"/>
        <v>-885</v>
      </c>
      <c r="F205" s="4">
        <f>Geometry!$D$12*D205</f>
        <v>29.054117647058828</v>
      </c>
      <c r="G205" s="4">
        <f t="shared" si="39"/>
        <v>0</v>
      </c>
      <c r="H205" s="4">
        <f>IF(ABS(E205*E205)&lt;=Geometry!$E$10,SQRT(Geometry!$E$10-E205*E205),0)</f>
        <v>0</v>
      </c>
      <c r="I205" s="4">
        <f t="shared" si="40"/>
        <v>0</v>
      </c>
      <c r="J205">
        <f t="shared" si="41"/>
        <v>0</v>
      </c>
      <c r="K205" s="59">
        <f>IF(C205=1,J205*Geometry!$G$21,0)+IF(C205=2,J205*Geometry!$H$21,0)+IF(C205=3,J205*Geometry!$I$21,0)+IF(C205=4,J205*Geometry!$J$21,0)+IF(C205=5,J205*Geometry!$K$21,0)</f>
        <v>0</v>
      </c>
      <c r="L205" s="59">
        <f>IF(C205=1,J205*Geometry!$G$20,0)+IF(C205=2,J205*Geometry!$H$20,0)+IF(C205=3,J205*Geometry!$I$20,0)+IF(C205=4,J205*Geometry!$J$20,0)+IF(C205=5,J205*Geometry!$K$20,0)</f>
        <v>0</v>
      </c>
      <c r="M205" s="59">
        <f>IF(C205=1,J205*Geometry!$G$19,0)+IF(C205=2,J205*Geometry!$H$19,0)+IF(C205=3,J205*Geometry!$I$19,0)+IF(C205=4,J205*Geometry!$J$19,0)+IF(C205=5,J205*Geometry!$K$19,0)</f>
        <v>0</v>
      </c>
      <c r="N205" s="59">
        <f>IF(C205=1,J205*Geometry!$G$22,0)+IF(C205=2,J205*Geometry!$H$22,0)+IF(C205=3,J205*Geometry!$I$22,0)+IF(C205=4,J205*Geometry!$J$22,0)+IF(C205=5,J205*Geometry!$K$22,0)</f>
        <v>0</v>
      </c>
      <c r="O205" s="59">
        <f>IF(C205=1,J205*Geometry!$G$23,0)+IF(C205=2,J205*Geometry!$H$23,0)+IF(C205=3,J205*Geometry!$I$23,0)+IF(C205=4,J205*Geometry!$J$23,0)+IF(C205=5,J205*Geometry!$K$23,0)</f>
        <v>0</v>
      </c>
      <c r="P205">
        <f>IF(C205=1,J205*Geometry!$G$24,0)+IF(C205=2,J205*Geometry!$H$24,0)+IF(C205=3,J205*Geometry!$I$24,0)+IF(C205=4,J205*Geometry!$J$24,0)+IF(C205=5,J205*Geometry!$K$24,0)</f>
        <v>0</v>
      </c>
    </row>
    <row r="206" spans="1:16">
      <c r="A206">
        <f t="shared" si="28"/>
        <v>200</v>
      </c>
      <c r="C206" s="7">
        <f t="shared" si="42"/>
        <v>3</v>
      </c>
      <c r="D206" s="69">
        <f>D205+Geometry!$C$15</f>
        <v>1205</v>
      </c>
      <c r="E206" s="59">
        <f t="shared" si="38"/>
        <v>-890</v>
      </c>
      <c r="F206" s="4">
        <f>Geometry!$D$12*D206</f>
        <v>29.175176470588241</v>
      </c>
      <c r="G206" s="4">
        <f t="shared" si="39"/>
        <v>0</v>
      </c>
      <c r="H206" s="4">
        <f>IF(ABS(E206*E206)&lt;=Geometry!$E$10,SQRT(Geometry!$E$10-E206*E206),0)</f>
        <v>0</v>
      </c>
      <c r="I206" s="4">
        <f t="shared" si="40"/>
        <v>0</v>
      </c>
      <c r="J206">
        <f t="shared" si="41"/>
        <v>0</v>
      </c>
      <c r="K206" s="59">
        <f>IF(C206=1,J206*Geometry!$G$21,0)+IF(C206=2,J206*Geometry!$H$21,0)+IF(C206=3,J206*Geometry!$I$21,0)+IF(C206=4,J206*Geometry!$J$21,0)+IF(C206=5,J206*Geometry!$K$21,0)</f>
        <v>0</v>
      </c>
      <c r="L206" s="59">
        <f>IF(C206=1,J206*Geometry!$G$20,0)+IF(C206=2,J206*Geometry!$H$20,0)+IF(C206=3,J206*Geometry!$I$20,0)+IF(C206=4,J206*Geometry!$J$20,0)+IF(C206=5,J206*Geometry!$K$20,0)</f>
        <v>0</v>
      </c>
      <c r="M206" s="59">
        <f>IF(C206=1,J206*Geometry!$G$19,0)+IF(C206=2,J206*Geometry!$H$19,0)+IF(C206=3,J206*Geometry!$I$19,0)+IF(C206=4,J206*Geometry!$J$19,0)+IF(C206=5,J206*Geometry!$K$19,0)</f>
        <v>0</v>
      </c>
      <c r="N206" s="59">
        <f>IF(C206=1,J206*Geometry!$G$22,0)+IF(C206=2,J206*Geometry!$H$22,0)+IF(C206=3,J206*Geometry!$I$22,0)+IF(C206=4,J206*Geometry!$J$22,0)+IF(C206=5,J206*Geometry!$K$22,0)</f>
        <v>0</v>
      </c>
      <c r="O206" s="59">
        <f>IF(C206=1,J206*Geometry!$G$23,0)+IF(C206=2,J206*Geometry!$H$23,0)+IF(C206=3,J206*Geometry!$I$23,0)+IF(C206=4,J206*Geometry!$J$23,0)+IF(C206=5,J206*Geometry!$K$23,0)</f>
        <v>0</v>
      </c>
      <c r="P206">
        <f>IF(C206=1,J206*Geometry!$G$24,0)+IF(C206=2,J206*Geometry!$H$24,0)+IF(C206=3,J206*Geometry!$I$24,0)+IF(C206=4,J206*Geometry!$J$24,0)+IF(C206=5,J206*Geometry!$K$24,0)</f>
        <v>0</v>
      </c>
    </row>
    <row r="207" spans="1:16">
      <c r="A207">
        <f t="shared" si="28"/>
        <v>201</v>
      </c>
      <c r="C207" s="7">
        <f t="shared" si="42"/>
        <v>3</v>
      </c>
      <c r="D207" s="69">
        <f>D206+Geometry!$C$15</f>
        <v>1210</v>
      </c>
      <c r="E207" s="59">
        <f t="shared" si="38"/>
        <v>-895</v>
      </c>
      <c r="F207" s="4">
        <f>Geometry!$D$12*D207</f>
        <v>29.29623529411765</v>
      </c>
      <c r="G207" s="4">
        <f t="shared" si="39"/>
        <v>0</v>
      </c>
      <c r="H207" s="4">
        <f>IF(ABS(E207*E207)&lt;=Geometry!$E$10,SQRT(Geometry!$E$10-E207*E207),0)</f>
        <v>0</v>
      </c>
      <c r="I207" s="4">
        <f t="shared" si="40"/>
        <v>0</v>
      </c>
      <c r="J207">
        <f t="shared" si="41"/>
        <v>0</v>
      </c>
    </row>
    <row r="208" spans="1:16">
      <c r="A208">
        <f t="shared" si="28"/>
        <v>202</v>
      </c>
      <c r="C208" s="7">
        <f t="shared" si="42"/>
        <v>3</v>
      </c>
      <c r="D208" s="69">
        <f>D207+Geometry!$C$15</f>
        <v>1215</v>
      </c>
      <c r="E208" s="59">
        <f t="shared" si="38"/>
        <v>-900</v>
      </c>
      <c r="F208" s="4">
        <f>Geometry!$D$12*D208</f>
        <v>29.417294117647064</v>
      </c>
      <c r="G208" s="4">
        <f t="shared" si="39"/>
        <v>0</v>
      </c>
      <c r="H208" s="4">
        <f>IF(ABS(E208*E208)&lt;=Geometry!$E$10,SQRT(Geometry!$E$10-E208*E208),0)</f>
        <v>0</v>
      </c>
      <c r="I208" s="4">
        <f t="shared" si="40"/>
        <v>0</v>
      </c>
      <c r="J208">
        <f t="shared" si="41"/>
        <v>0</v>
      </c>
    </row>
  </sheetData>
  <pageMargins left="0.7" right="0.7" top="0.75" bottom="0.75" header="0.3" footer="0.3"/>
  <pageSetup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D0D86-477E-CD4E-8E1C-4C6B21809367}">
  <dimension ref="A1:H8"/>
  <sheetViews>
    <sheetView workbookViewId="0"/>
  </sheetViews>
  <sheetFormatPr baseColWidth="10" defaultRowHeight="16"/>
  <cols>
    <col min="1" max="1" width="17.33203125" bestFit="1" customWidth="1"/>
    <col min="7" max="7" width="55.6640625" bestFit="1" customWidth="1"/>
    <col min="8" max="8" width="46.6640625" bestFit="1" customWidth="1"/>
  </cols>
  <sheetData>
    <row r="1" spans="1:8">
      <c r="A1" t="s">
        <v>335</v>
      </c>
    </row>
    <row r="2" spans="1:8">
      <c r="B2" t="s">
        <v>337</v>
      </c>
      <c r="C2" t="s">
        <v>338</v>
      </c>
      <c r="D2" t="s">
        <v>330</v>
      </c>
      <c r="E2" t="s">
        <v>339</v>
      </c>
    </row>
    <row r="3" spans="1:8">
      <c r="A3" t="s">
        <v>336</v>
      </c>
      <c r="B3">
        <v>1240000</v>
      </c>
      <c r="C3" s="68">
        <v>930000000</v>
      </c>
      <c r="D3">
        <v>110</v>
      </c>
      <c r="E3">
        <f>C3/B3</f>
        <v>750</v>
      </c>
      <c r="G3" t="s">
        <v>333</v>
      </c>
      <c r="H3" t="s">
        <v>334</v>
      </c>
    </row>
    <row r="4" spans="1:8">
      <c r="A4" t="s">
        <v>340</v>
      </c>
      <c r="B4">
        <v>217045</v>
      </c>
      <c r="C4">
        <v>40000000</v>
      </c>
      <c r="D4">
        <v>64</v>
      </c>
      <c r="E4">
        <f>C4/B4</f>
        <v>184.29357967241816</v>
      </c>
      <c r="G4" t="s">
        <v>341</v>
      </c>
    </row>
    <row r="5" spans="1:8">
      <c r="A5" t="s">
        <v>343</v>
      </c>
      <c r="B5">
        <v>52000</v>
      </c>
      <c r="D5">
        <v>36</v>
      </c>
    </row>
    <row r="7" spans="1:8">
      <c r="B7">
        <f>222.97</f>
        <v>222.97</v>
      </c>
      <c r="C7">
        <f>74.4*2000/2.2</f>
        <v>67636.363636363632</v>
      </c>
      <c r="D7">
        <v>1</v>
      </c>
      <c r="E7">
        <f>C7/B7</f>
        <v>303.34288754704056</v>
      </c>
      <c r="G7" t="s">
        <v>344</v>
      </c>
    </row>
    <row r="8" spans="1:8">
      <c r="G8" t="s">
        <v>345</v>
      </c>
    </row>
  </sheetData>
  <pageMargins left="0.7" right="0.7" top="0.75" bottom="0.75" header="0.3" footer="0.3"/>
  <pageSetup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3CF4E-982B-F64A-90C0-F8C4D2081E9D}">
  <dimension ref="A1:J57"/>
  <sheetViews>
    <sheetView workbookViewId="0"/>
  </sheetViews>
  <sheetFormatPr baseColWidth="10" defaultRowHeight="16"/>
  <cols>
    <col min="1" max="1" width="16.5" customWidth="1"/>
    <col min="3" max="3" width="28" customWidth="1"/>
    <col min="5" max="5" width="43.5" bestFit="1" customWidth="1"/>
    <col min="6" max="6" width="11.6640625" bestFit="1" customWidth="1"/>
  </cols>
  <sheetData>
    <row r="1" spans="1:10">
      <c r="A1" t="s">
        <v>156</v>
      </c>
      <c r="C1">
        <f>Vehicle!B16</f>
        <v>1000</v>
      </c>
      <c r="J1" s="3"/>
    </row>
    <row r="2" spans="1:10" ht="18">
      <c r="A2" t="s">
        <v>852</v>
      </c>
      <c r="C2" s="3">
        <f>Vehicle!B8</f>
        <v>476527502.13524342</v>
      </c>
      <c r="D2" t="s">
        <v>5</v>
      </c>
      <c r="I2" s="119"/>
    </row>
    <row r="3" spans="1:10">
      <c r="A3" t="s">
        <v>852</v>
      </c>
      <c r="C3" s="4">
        <f>Vehicle!B9</f>
        <v>15.100555406467754</v>
      </c>
      <c r="D3" t="s">
        <v>7</v>
      </c>
      <c r="H3" s="3"/>
      <c r="I3" s="3"/>
    </row>
    <row r="4" spans="1:10">
      <c r="A4" t="s">
        <v>163</v>
      </c>
      <c r="C4" s="3">
        <f>C7*3600*24*365.26</f>
        <v>1476922561.5795512</v>
      </c>
      <c r="D4" t="s">
        <v>5</v>
      </c>
    </row>
    <row r="5" spans="1:10">
      <c r="A5" t="s">
        <v>163</v>
      </c>
      <c r="C5" s="3">
        <f>C4/3600/24</f>
        <v>17094.011129392955</v>
      </c>
      <c r="D5" t="s">
        <v>491</v>
      </c>
    </row>
    <row r="6" spans="1:10">
      <c r="A6" t="s">
        <v>163</v>
      </c>
      <c r="C6" s="4">
        <f>Vehicle!B15</f>
        <v>35.100555406467755</v>
      </c>
      <c r="D6" t="s">
        <v>7</v>
      </c>
    </row>
    <row r="7" spans="1:10">
      <c r="A7" t="s">
        <v>166</v>
      </c>
      <c r="C7" s="4">
        <f>C6*1.3333</f>
        <v>46.799570523443457</v>
      </c>
      <c r="D7" t="s">
        <v>7</v>
      </c>
    </row>
    <row r="8" spans="1:10">
      <c r="A8" t="s">
        <v>206</v>
      </c>
      <c r="C8" s="4">
        <f>5*10000000</f>
        <v>50000000</v>
      </c>
      <c r="D8" t="s">
        <v>174</v>
      </c>
      <c r="E8" t="s">
        <v>756</v>
      </c>
    </row>
    <row r="9" spans="1:10">
      <c r="C9" s="3">
        <f>C8*Conversion!C37</f>
        <v>4320000000</v>
      </c>
      <c r="D9" t="s">
        <v>790</v>
      </c>
    </row>
    <row r="10" spans="1:10">
      <c r="C10" s="3"/>
    </row>
    <row r="11" spans="1:10">
      <c r="A11" t="s">
        <v>157</v>
      </c>
      <c r="C11" s="16">
        <f>1*18775</f>
        <v>18775</v>
      </c>
      <c r="D11" t="s">
        <v>172</v>
      </c>
      <c r="E11" t="s">
        <v>171</v>
      </c>
    </row>
    <row r="12" spans="1:10">
      <c r="A12" t="s">
        <v>158</v>
      </c>
      <c r="C12" s="3">
        <f>(C11*C1)/Conversion!B2</f>
        <v>51403.148528405203</v>
      </c>
      <c r="D12" t="s">
        <v>791</v>
      </c>
    </row>
    <row r="13" spans="1:10">
      <c r="C13" s="3">
        <f>C12*Conversion!B37</f>
        <v>594.94384870839349</v>
      </c>
      <c r="D13" t="s">
        <v>174</v>
      </c>
    </row>
    <row r="14" spans="1:10">
      <c r="C14" s="3"/>
      <c r="E14" t="s">
        <v>578</v>
      </c>
    </row>
    <row r="15" spans="1:10">
      <c r="A15" t="s">
        <v>237</v>
      </c>
      <c r="C15" s="59">
        <f>SUM(Crops!AD:AD)*Conversion!B32</f>
        <v>42518.508895458501</v>
      </c>
      <c r="D15" t="s">
        <v>172</v>
      </c>
      <c r="E15" t="s">
        <v>576</v>
      </c>
    </row>
    <row r="16" spans="1:10">
      <c r="C16" s="59">
        <f>C15/Conversion!B2</f>
        <v>116.4093330471143</v>
      </c>
      <c r="D16" t="s">
        <v>792</v>
      </c>
      <c r="E16" t="s">
        <v>577</v>
      </c>
    </row>
    <row r="17" spans="1:7">
      <c r="C17" s="4">
        <f>C15*Conversion!B36</f>
        <v>1.3473302436008601</v>
      </c>
      <c r="D17" t="s">
        <v>174</v>
      </c>
      <c r="E17" t="s">
        <v>781</v>
      </c>
    </row>
    <row r="18" spans="1:7">
      <c r="C18" s="4"/>
      <c r="E18" t="s">
        <v>578</v>
      </c>
    </row>
    <row r="19" spans="1:7">
      <c r="A19" t="s">
        <v>786</v>
      </c>
      <c r="E19" s="4" t="s">
        <v>780</v>
      </c>
    </row>
    <row r="20" spans="1:7">
      <c r="E20" s="4"/>
    </row>
    <row r="21" spans="1:7">
      <c r="C21" t="s">
        <v>818</v>
      </c>
      <c r="D21" t="s">
        <v>816</v>
      </c>
      <c r="E21" s="4" t="s">
        <v>817</v>
      </c>
    </row>
    <row r="22" spans="1:7">
      <c r="A22" t="s">
        <v>814</v>
      </c>
      <c r="C22">
        <v>120000</v>
      </c>
      <c r="D22" s="3">
        <v>1000</v>
      </c>
      <c r="E22" s="3">
        <v>100</v>
      </c>
      <c r="G22" t="s">
        <v>575</v>
      </c>
    </row>
    <row r="23" spans="1:7">
      <c r="A23" t="s">
        <v>815</v>
      </c>
      <c r="C23">
        <v>0.1</v>
      </c>
      <c r="D23" s="3">
        <v>100</v>
      </c>
      <c r="E23" s="3">
        <v>100</v>
      </c>
    </row>
    <row r="24" spans="1:7">
      <c r="A24" t="s">
        <v>782</v>
      </c>
      <c r="C24">
        <f>24-8</f>
        <v>16</v>
      </c>
      <c r="D24" s="4">
        <v>12</v>
      </c>
      <c r="E24" s="4">
        <v>24</v>
      </c>
    </row>
    <row r="25" spans="1:7">
      <c r="A25" t="s">
        <v>159</v>
      </c>
      <c r="C25">
        <v>266</v>
      </c>
      <c r="D25">
        <v>266</v>
      </c>
      <c r="E25">
        <v>266</v>
      </c>
      <c r="G25" t="s">
        <v>579</v>
      </c>
    </row>
    <row r="26" spans="1:7">
      <c r="A26" t="s">
        <v>337</v>
      </c>
      <c r="C26" s="3">
        <f>Vehicle!C34+Vehicle!B36</f>
        <v>4830664.2143381694</v>
      </c>
      <c r="D26" s="3">
        <f>Vehicle!B35+Vehicle!B38</f>
        <v>647305.32742059929</v>
      </c>
      <c r="E26" s="3">
        <f>Vehicle!C40-C26-D26</f>
        <v>1208910.4214071049</v>
      </c>
    </row>
    <row r="27" spans="1:7">
      <c r="A27" t="s">
        <v>784</v>
      </c>
      <c r="C27" s="3">
        <f>C22/C25*C26</f>
        <v>2179247013.987144</v>
      </c>
      <c r="D27" s="3">
        <f>D22/D25*D26</f>
        <v>2433478.6745135314</v>
      </c>
      <c r="E27" s="3">
        <f>E22/E25*E26</f>
        <v>454477.60203274619</v>
      </c>
      <c r="G27" t="s">
        <v>785</v>
      </c>
    </row>
    <row r="28" spans="1:7">
      <c r="A28" t="s">
        <v>173</v>
      </c>
      <c r="C28" s="3">
        <f>C22/C25*C26*C24*3.6+C23*C25*C26*(24-C24)*3.6</f>
        <v>129225303246.97969</v>
      </c>
      <c r="D28" s="3">
        <f>D22/D25*D26*D24*3.6+D23*D25*D26*(24-D24)*3.6</f>
        <v>743936624124.29797</v>
      </c>
      <c r="E28" s="3">
        <f>E22/E25*E26*E24*3.6+E23*E25*E26*(24-E24)*3.6</f>
        <v>39266864.815629274</v>
      </c>
      <c r="G28" t="s">
        <v>783</v>
      </c>
    </row>
    <row r="29" spans="1:7">
      <c r="C29" s="3"/>
    </row>
    <row r="30" spans="1:7">
      <c r="A30" t="s">
        <v>179</v>
      </c>
      <c r="C30" s="3">
        <v>0.04</v>
      </c>
      <c r="D30" t="s">
        <v>180</v>
      </c>
    </row>
    <row r="31" spans="1:7">
      <c r="A31" t="s">
        <v>184</v>
      </c>
      <c r="C31" s="3">
        <f>SUM(C27:E27)*C30</f>
        <v>87285398.810547605</v>
      </c>
      <c r="D31" s="47" t="s">
        <v>52</v>
      </c>
    </row>
    <row r="32" spans="1:7">
      <c r="C32" s="3"/>
      <c r="D32" s="47"/>
    </row>
    <row r="33" spans="1:6">
      <c r="A33" t="s">
        <v>787</v>
      </c>
      <c r="C33" s="3">
        <f>C13+C8+C17+SUM(C27:E27)</f>
        <v>2232135566.5548692</v>
      </c>
      <c r="D33" s="47"/>
      <c r="E33" s="4">
        <f>C33/10000000</f>
        <v>223.21355665548691</v>
      </c>
    </row>
    <row r="34" spans="1:6">
      <c r="A34" t="s">
        <v>788</v>
      </c>
      <c r="C34" s="3">
        <f>C12+C9+C16+SUM(C28:E28)</f>
        <v>877521245755.65125</v>
      </c>
      <c r="D34" t="s">
        <v>236</v>
      </c>
      <c r="E34" s="4">
        <f>C34/10000000</f>
        <v>87752.124575565118</v>
      </c>
      <c r="F34" t="s">
        <v>580</v>
      </c>
    </row>
    <row r="35" spans="1:6">
      <c r="A35" t="s">
        <v>752</v>
      </c>
      <c r="C35" s="3">
        <f>C34*Conversion!B2</f>
        <v>320514635012251.62</v>
      </c>
      <c r="D35" t="s">
        <v>236</v>
      </c>
      <c r="E35" s="4"/>
    </row>
    <row r="36" spans="1:6">
      <c r="C36" s="3"/>
      <c r="E36" s="3"/>
    </row>
    <row r="37" spans="1:6">
      <c r="A37" t="s">
        <v>582</v>
      </c>
      <c r="B37" t="s">
        <v>583</v>
      </c>
    </row>
    <row r="38" spans="1:6">
      <c r="A38" t="s">
        <v>178</v>
      </c>
      <c r="C38" s="55">
        <f>(100+3000)/7000000000/Conversion!C4</f>
        <v>5.0520903105145081E-11</v>
      </c>
      <c r="D38" t="s">
        <v>176</v>
      </c>
      <c r="E38" t="s">
        <v>169</v>
      </c>
      <c r="F38" t="s">
        <v>56</v>
      </c>
    </row>
    <row r="39" spans="1:6">
      <c r="A39" t="s">
        <v>181</v>
      </c>
      <c r="C39" s="55">
        <v>1E-3</v>
      </c>
      <c r="D39" t="s">
        <v>167</v>
      </c>
    </row>
    <row r="40" spans="1:6">
      <c r="A40" t="s">
        <v>162</v>
      </c>
      <c r="C40" s="3">
        <v>1.1000000000000001</v>
      </c>
    </row>
    <row r="41" spans="1:6">
      <c r="A41" t="s">
        <v>795</v>
      </c>
      <c r="C41" s="3">
        <f>C33*C39</f>
        <v>2232135.5665548691</v>
      </c>
    </row>
    <row r="42" spans="1:6">
      <c r="A42" t="s">
        <v>182</v>
      </c>
      <c r="C42" s="3">
        <f>C35*C38*Conversion!C4</f>
        <v>141942195.50542572</v>
      </c>
      <c r="D42" t="s">
        <v>52</v>
      </c>
    </row>
    <row r="43" spans="1:6">
      <c r="A43" t="s">
        <v>591</v>
      </c>
      <c r="C43" s="3">
        <f>C56</f>
        <v>126227.808</v>
      </c>
    </row>
    <row r="44" spans="1:6">
      <c r="C44" s="46"/>
    </row>
    <row r="45" spans="1:6">
      <c r="A45" t="s">
        <v>183</v>
      </c>
      <c r="C45" s="21">
        <f>C7*(C42-C43)</f>
        <v>6636926381.6060543</v>
      </c>
      <c r="D45" t="s">
        <v>52</v>
      </c>
      <c r="E45" t="s">
        <v>794</v>
      </c>
      <c r="F45" s="4"/>
    </row>
    <row r="46" spans="1:6">
      <c r="C46" s="4">
        <f>C45/Conversion!$B$31</f>
        <v>6.2426740477263269</v>
      </c>
      <c r="D46" t="s">
        <v>187</v>
      </c>
    </row>
    <row r="47" spans="1:6">
      <c r="C47" s="3"/>
    </row>
    <row r="48" spans="1:6">
      <c r="A48" t="s">
        <v>586</v>
      </c>
      <c r="E48" t="s">
        <v>592</v>
      </c>
    </row>
    <row r="49" spans="1:5">
      <c r="A49" t="s">
        <v>587</v>
      </c>
      <c r="C49">
        <f>Geometry!E45</f>
        <v>152053.084433746</v>
      </c>
    </row>
    <row r="50" spans="1:5">
      <c r="E50" s="3">
        <f>Geometry!E49</f>
        <v>1001020234.8968967</v>
      </c>
    </row>
    <row r="51" spans="1:5">
      <c r="A51" t="s">
        <v>584</v>
      </c>
      <c r="C51" s="3">
        <f>0.02*10000/6.022E+23*18.0152/1000</f>
        <v>5.983128528727997E-24</v>
      </c>
      <c r="D51" t="s">
        <v>259</v>
      </c>
    </row>
    <row r="52" spans="1:5">
      <c r="A52" t="s">
        <v>585</v>
      </c>
      <c r="C52" s="3">
        <f>C51*Conversion!$C$3</f>
        <v>1.8880929979090003E-16</v>
      </c>
      <c r="D52" t="s">
        <v>590</v>
      </c>
    </row>
    <row r="53" spans="1:5">
      <c r="A53" t="s">
        <v>588</v>
      </c>
      <c r="C53" s="3">
        <f>4/1000</f>
        <v>4.0000000000000001E-3</v>
      </c>
      <c r="D53" t="s">
        <v>259</v>
      </c>
    </row>
    <row r="54" spans="1:5">
      <c r="C54" s="3">
        <f>C53*Conversion!$C$3</f>
        <v>126227.808</v>
      </c>
      <c r="D54" t="s">
        <v>590</v>
      </c>
    </row>
    <row r="55" spans="1:5">
      <c r="A55" t="s">
        <v>589</v>
      </c>
      <c r="C55">
        <f>4/1000</f>
        <v>4.0000000000000001E-3</v>
      </c>
      <c r="D55" t="s">
        <v>259</v>
      </c>
      <c r="E55" s="83">
        <f>C56/E50</f>
        <v>1.260991572393152E-4</v>
      </c>
    </row>
    <row r="56" spans="1:5">
      <c r="C56" s="3">
        <f>C55*Conversion!$C$3</f>
        <v>126227.808</v>
      </c>
      <c r="D56" t="s">
        <v>590</v>
      </c>
    </row>
    <row r="57" spans="1:5">
      <c r="A57" t="s">
        <v>593</v>
      </c>
      <c r="C57" s="3">
        <f>C56+C54+C52</f>
        <v>252455.61600000001</v>
      </c>
    </row>
  </sheetData>
  <pageMargins left="0.7" right="0.7" top="0.75" bottom="0.75" header="0.3" footer="0.3"/>
  <pageSetup orientation="portrait" horizontalDpi="0" verticalDpi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473055-BCCC-804F-A1C5-A1102032AA92}">
  <dimension ref="A1:F412"/>
  <sheetViews>
    <sheetView workbookViewId="0">
      <selection sqref="A1:D1"/>
    </sheetView>
  </sheetViews>
  <sheetFormatPr baseColWidth="10" defaultRowHeight="16"/>
  <cols>
    <col min="1" max="1" width="15.83203125" bestFit="1" customWidth="1"/>
    <col min="2" max="3" width="12.1640625" bestFit="1" customWidth="1"/>
    <col min="4" max="4" width="12.6640625" bestFit="1" customWidth="1"/>
    <col min="5" max="5" width="11.33203125" bestFit="1" customWidth="1"/>
    <col min="6" max="6" width="11.6640625" bestFit="1" customWidth="1"/>
  </cols>
  <sheetData>
    <row r="1" spans="1:6">
      <c r="A1" s="141" t="s">
        <v>66</v>
      </c>
      <c r="B1" s="141"/>
      <c r="C1" s="141"/>
      <c r="D1" s="141"/>
    </row>
    <row r="2" spans="1:6">
      <c r="A2" s="141" t="s">
        <v>67</v>
      </c>
      <c r="B2" s="141"/>
      <c r="C2" s="141"/>
      <c r="D2" s="3">
        <f>Vehicle!B61+Vehicle!B73</f>
        <v>87210005010</v>
      </c>
    </row>
    <row r="3" spans="1:6">
      <c r="A3" s="141" t="s">
        <v>54</v>
      </c>
      <c r="B3" s="141"/>
      <c r="C3" s="141"/>
      <c r="D3" s="3">
        <f>Vehicle!B62</f>
        <v>30000000000</v>
      </c>
    </row>
    <row r="4" spans="1:6">
      <c r="A4" s="141" t="s">
        <v>8</v>
      </c>
      <c r="B4" s="141"/>
      <c r="C4" s="141"/>
      <c r="D4">
        <f>Vehicle!B4</f>
        <v>9.8000000000000007</v>
      </c>
    </row>
    <row r="5" spans="1:6">
      <c r="A5" s="141" t="s">
        <v>189</v>
      </c>
      <c r="B5" s="141"/>
      <c r="C5" s="141"/>
      <c r="D5" s="3">
        <f>'Power Consumption'!C38</f>
        <v>5.0520903105145081E-11</v>
      </c>
      <c r="E5" t="s">
        <v>176</v>
      </c>
    </row>
    <row r="6" spans="1:6">
      <c r="A6" s="25" t="s">
        <v>190</v>
      </c>
      <c r="B6" s="25"/>
      <c r="C6" s="25"/>
      <c r="D6" s="3">
        <f>Conversion!C36</f>
        <v>31557.600000000002</v>
      </c>
    </row>
    <row r="7" spans="1:6">
      <c r="A7" s="141" t="s">
        <v>12</v>
      </c>
      <c r="B7" s="141"/>
      <c r="C7" s="141"/>
      <c r="D7">
        <f>Conversion!B3*0.25</f>
        <v>7889400</v>
      </c>
    </row>
    <row r="8" spans="1:6">
      <c r="A8" s="25" t="s">
        <v>188</v>
      </c>
      <c r="B8" s="25"/>
      <c r="C8" s="25"/>
      <c r="D8" s="3">
        <f>'Power Consumption'!C42*0.25</f>
        <v>35485548.87635643</v>
      </c>
    </row>
    <row r="9" spans="1:6">
      <c r="A9" s="141" t="s">
        <v>78</v>
      </c>
      <c r="B9" s="141"/>
      <c r="C9" s="141"/>
      <c r="D9" s="49">
        <f>SUM(D12:D76)</f>
        <v>2271191893.2885885</v>
      </c>
      <c r="E9" s="24">
        <f>D9/D3</f>
        <v>7.5706396442952947E-2</v>
      </c>
    </row>
    <row r="11" spans="1:6">
      <c r="A11" t="s">
        <v>13</v>
      </c>
      <c r="B11" t="s">
        <v>68</v>
      </c>
      <c r="C11" t="s">
        <v>57</v>
      </c>
      <c r="D11" t="s">
        <v>69</v>
      </c>
      <c r="E11" t="s">
        <v>207</v>
      </c>
    </row>
    <row r="12" spans="1:6">
      <c r="A12">
        <v>0</v>
      </c>
      <c r="B12" s="21">
        <f>D2+D3</f>
        <v>117210005010</v>
      </c>
      <c r="C12" s="21">
        <f>IF(B12&gt;$D$2,B12*$D$4/1000,0)</f>
        <v>1148658049.098</v>
      </c>
      <c r="D12" s="21">
        <f>C12*$D$6*$D$5</f>
        <v>1831.3267225210557</v>
      </c>
      <c r="E12" s="48">
        <f>1-(($B$12-B12)/$D$3)</f>
        <v>1</v>
      </c>
      <c r="F12" s="21">
        <f>D12</f>
        <v>1831.3267225210557</v>
      </c>
    </row>
    <row r="13" spans="1:6">
      <c r="A13">
        <f>A12+0.25</f>
        <v>0.25</v>
      </c>
      <c r="B13" s="21">
        <f>B12-D12-$D$8</f>
        <v>117174517629.79692</v>
      </c>
      <c r="C13" s="21">
        <f t="shared" ref="C13:C76" si="0">IF(B13&gt;$D$2,B13*$D$4/1000,0)</f>
        <v>1148310272.7720101</v>
      </c>
      <c r="D13" s="21">
        <f t="shared" ref="D13:D76" si="1">C13*$D$6*$D$5+$D$8</f>
        <v>35487379.648612738</v>
      </c>
      <c r="E13" s="48">
        <f t="shared" ref="E13:E76" si="2">1-(($B$12-B13)/$D$3)</f>
        <v>0.99881708732656405</v>
      </c>
      <c r="F13" s="21">
        <f>F12+D13</f>
        <v>35489210.975335255</v>
      </c>
    </row>
    <row r="14" spans="1:6">
      <c r="A14">
        <f>A13+0.25</f>
        <v>0.5</v>
      </c>
      <c r="B14" s="21">
        <f t="shared" ref="B14:B77" si="3">B13-D13-$D$8</f>
        <v>117103544701.27196</v>
      </c>
      <c r="C14" s="21">
        <f t="shared" si="0"/>
        <v>1147614738.0724654</v>
      </c>
      <c r="D14" s="21">
        <f t="shared" si="1"/>
        <v>35487378.539708935</v>
      </c>
      <c r="E14" s="48">
        <f t="shared" si="2"/>
        <v>0.99645132304239858</v>
      </c>
      <c r="F14" s="21">
        <f t="shared" ref="F14:F77" si="4">F13+D14</f>
        <v>70976589.515044183</v>
      </c>
    </row>
    <row r="15" spans="1:6">
      <c r="A15">
        <f t="shared" ref="A15:A29" si="5">A14+0.25</f>
        <v>0.75</v>
      </c>
      <c r="B15" s="21">
        <f t="shared" si="3"/>
        <v>117032571773.8559</v>
      </c>
      <c r="C15" s="21">
        <f t="shared" si="0"/>
        <v>1146919203.3837879</v>
      </c>
      <c r="D15" s="21">
        <f t="shared" si="1"/>
        <v>35487377.430805147</v>
      </c>
      <c r="E15" s="48">
        <f t="shared" si="2"/>
        <v>0.99408555879519656</v>
      </c>
      <c r="F15" s="21">
        <f t="shared" si="4"/>
        <v>106463966.94584933</v>
      </c>
    </row>
    <row r="16" spans="1:6">
      <c r="A16">
        <f t="shared" si="5"/>
        <v>1</v>
      </c>
      <c r="B16" s="21">
        <f t="shared" si="3"/>
        <v>116961598847.54874</v>
      </c>
      <c r="C16" s="21">
        <f t="shared" si="0"/>
        <v>1146223668.7059777</v>
      </c>
      <c r="D16" s="21">
        <f t="shared" si="1"/>
        <v>35487376.321901374</v>
      </c>
      <c r="E16" s="48">
        <f t="shared" si="2"/>
        <v>0.99171979458495785</v>
      </c>
      <c r="F16" s="21">
        <f t="shared" si="4"/>
        <v>141951343.26775071</v>
      </c>
    </row>
    <row r="17" spans="1:6">
      <c r="A17">
        <f t="shared" si="5"/>
        <v>1.25</v>
      </c>
      <c r="B17" s="21">
        <f t="shared" si="3"/>
        <v>116890625922.35048</v>
      </c>
      <c r="C17" s="21">
        <f t="shared" si="0"/>
        <v>1145528134.0390346</v>
      </c>
      <c r="D17" s="21">
        <f t="shared" si="1"/>
        <v>35487375.212997623</v>
      </c>
      <c r="E17" s="48">
        <f t="shared" si="2"/>
        <v>0.98935403041168268</v>
      </c>
      <c r="F17" s="21">
        <f t="shared" si="4"/>
        <v>177438718.48074833</v>
      </c>
    </row>
    <row r="18" spans="1:6">
      <c r="A18">
        <f t="shared" si="5"/>
        <v>1.5</v>
      </c>
      <c r="B18" s="21">
        <f t="shared" si="3"/>
        <v>116819652998.26112</v>
      </c>
      <c r="C18" s="21">
        <f t="shared" si="0"/>
        <v>1144832599.3829589</v>
      </c>
      <c r="D18" s="21">
        <f t="shared" si="1"/>
        <v>35487374.104093887</v>
      </c>
      <c r="E18" s="48">
        <f t="shared" si="2"/>
        <v>0.98698826627537084</v>
      </c>
      <c r="F18" s="21">
        <f t="shared" si="4"/>
        <v>212926092.58484221</v>
      </c>
    </row>
    <row r="19" spans="1:6">
      <c r="A19">
        <f t="shared" si="5"/>
        <v>1.75</v>
      </c>
      <c r="B19" s="21">
        <f t="shared" si="3"/>
        <v>116748680075.28067</v>
      </c>
      <c r="C19" s="21">
        <f t="shared" si="0"/>
        <v>1144137064.7377508</v>
      </c>
      <c r="D19" s="21">
        <f t="shared" si="1"/>
        <v>35487372.995190166</v>
      </c>
      <c r="E19" s="48">
        <f t="shared" si="2"/>
        <v>0.98462250217602232</v>
      </c>
      <c r="F19" s="21">
        <f t="shared" si="4"/>
        <v>248413465.58003238</v>
      </c>
    </row>
    <row r="20" spans="1:6">
      <c r="A20">
        <f t="shared" si="5"/>
        <v>2</v>
      </c>
      <c r="B20" s="21">
        <f t="shared" si="3"/>
        <v>116677707153.40912</v>
      </c>
      <c r="C20" s="21">
        <f t="shared" si="0"/>
        <v>1143441530.1034095</v>
      </c>
      <c r="D20" s="21">
        <f t="shared" si="1"/>
        <v>35487371.886286467</v>
      </c>
      <c r="E20" s="48">
        <f t="shared" si="2"/>
        <v>0.98225673811363734</v>
      </c>
      <c r="F20" s="21">
        <f t="shared" si="4"/>
        <v>283900837.46631885</v>
      </c>
    </row>
    <row r="21" spans="1:6">
      <c r="A21">
        <f t="shared" si="5"/>
        <v>2.25</v>
      </c>
      <c r="B21" s="21">
        <f t="shared" si="3"/>
        <v>116606734232.64647</v>
      </c>
      <c r="C21" s="21">
        <f t="shared" si="0"/>
        <v>1142745995.4799356</v>
      </c>
      <c r="D21" s="21">
        <f t="shared" si="1"/>
        <v>35487370.777382784</v>
      </c>
      <c r="E21" s="48">
        <f t="shared" si="2"/>
        <v>0.97989097408821568</v>
      </c>
      <c r="F21" s="21">
        <f t="shared" si="4"/>
        <v>319388208.24370164</v>
      </c>
    </row>
    <row r="22" spans="1:6">
      <c r="A22">
        <f t="shared" si="5"/>
        <v>2.5</v>
      </c>
      <c r="B22" s="21">
        <f t="shared" si="3"/>
        <v>116535761312.99272</v>
      </c>
      <c r="C22" s="21">
        <f t="shared" si="0"/>
        <v>1142050460.8673289</v>
      </c>
      <c r="D22" s="21">
        <f t="shared" si="1"/>
        <v>35487369.668479115</v>
      </c>
      <c r="E22" s="48">
        <f t="shared" si="2"/>
        <v>0.97752521009975735</v>
      </c>
      <c r="F22" s="21">
        <f t="shared" si="4"/>
        <v>354875577.91218078</v>
      </c>
    </row>
    <row r="23" spans="1:6">
      <c r="A23">
        <f t="shared" si="5"/>
        <v>2.75</v>
      </c>
      <c r="B23" s="21">
        <f t="shared" si="3"/>
        <v>116464788394.44789</v>
      </c>
      <c r="C23" s="21">
        <f t="shared" si="0"/>
        <v>1141354926.2655892</v>
      </c>
      <c r="D23" s="21">
        <f t="shared" si="1"/>
        <v>35487368.559575461</v>
      </c>
      <c r="E23" s="48">
        <f t="shared" si="2"/>
        <v>0.975159446148263</v>
      </c>
      <c r="F23" s="21">
        <f t="shared" si="4"/>
        <v>390362946.47175622</v>
      </c>
    </row>
    <row r="24" spans="1:6">
      <c r="A24">
        <f t="shared" si="5"/>
        <v>3</v>
      </c>
      <c r="B24" s="21">
        <f t="shared" si="3"/>
        <v>116393815477.01196</v>
      </c>
      <c r="C24" s="21">
        <f t="shared" si="0"/>
        <v>1140659391.6747172</v>
      </c>
      <c r="D24" s="21">
        <f t="shared" si="1"/>
        <v>35487367.450671829</v>
      </c>
      <c r="E24" s="48">
        <f t="shared" si="2"/>
        <v>0.97279368223373208</v>
      </c>
      <c r="F24" s="21">
        <f t="shared" si="4"/>
        <v>425850313.92242807</v>
      </c>
    </row>
    <row r="25" spans="1:6">
      <c r="A25">
        <f t="shared" si="5"/>
        <v>3.25</v>
      </c>
      <c r="B25" s="21">
        <f t="shared" si="3"/>
        <v>116322842560.68494</v>
      </c>
      <c r="C25" s="21">
        <f t="shared" si="0"/>
        <v>1139963857.0947125</v>
      </c>
      <c r="D25" s="21">
        <f t="shared" si="1"/>
        <v>35487366.34176822</v>
      </c>
      <c r="E25" s="48">
        <f t="shared" si="2"/>
        <v>0.9704279183561646</v>
      </c>
      <c r="F25" s="21">
        <f t="shared" si="4"/>
        <v>461337680.26419628</v>
      </c>
    </row>
    <row r="26" spans="1:6">
      <c r="A26">
        <f t="shared" si="5"/>
        <v>3.5</v>
      </c>
      <c r="B26" s="21">
        <f t="shared" si="3"/>
        <v>116251869645.46681</v>
      </c>
      <c r="C26" s="21">
        <f t="shared" si="0"/>
        <v>1139268322.5255749</v>
      </c>
      <c r="D26" s="21">
        <f t="shared" si="1"/>
        <v>35487365.232864618</v>
      </c>
      <c r="E26" s="48">
        <f t="shared" si="2"/>
        <v>0.96806215451556044</v>
      </c>
      <c r="F26" s="21">
        <f t="shared" si="4"/>
        <v>496825045.49706089</v>
      </c>
    </row>
    <row r="27" spans="1:6">
      <c r="A27">
        <f t="shared" si="5"/>
        <v>3.75</v>
      </c>
      <c r="B27" s="21">
        <f t="shared" si="3"/>
        <v>116180896731.35759</v>
      </c>
      <c r="C27" s="21">
        <f t="shared" si="0"/>
        <v>1138572787.9673045</v>
      </c>
      <c r="D27" s="21">
        <f t="shared" si="1"/>
        <v>35487364.123961039</v>
      </c>
      <c r="E27" s="48">
        <f t="shared" si="2"/>
        <v>0.96569639071191971</v>
      </c>
      <c r="F27" s="21">
        <f t="shared" si="4"/>
        <v>532312409.62102193</v>
      </c>
    </row>
    <row r="28" spans="1:6">
      <c r="A28">
        <f t="shared" si="5"/>
        <v>4</v>
      </c>
      <c r="B28" s="21">
        <f t="shared" si="3"/>
        <v>116109923818.35727</v>
      </c>
      <c r="C28" s="21">
        <f t="shared" si="0"/>
        <v>1137877253.4199014</v>
      </c>
      <c r="D28" s="21">
        <f t="shared" si="1"/>
        <v>35487363.015057474</v>
      </c>
      <c r="E28" s="48">
        <f t="shared" si="2"/>
        <v>0.9633306269452423</v>
      </c>
      <c r="F28" s="21">
        <f t="shared" si="4"/>
        <v>567799772.63607943</v>
      </c>
    </row>
    <row r="29" spans="1:6">
      <c r="A29">
        <f t="shared" si="5"/>
        <v>4.25</v>
      </c>
      <c r="B29" s="21">
        <f t="shared" si="3"/>
        <v>116038950906.46585</v>
      </c>
      <c r="C29" s="21">
        <f t="shared" si="0"/>
        <v>1137181718.8833654</v>
      </c>
      <c r="D29" s="21">
        <f t="shared" si="1"/>
        <v>35487361.906153932</v>
      </c>
      <c r="E29" s="48">
        <f t="shared" si="2"/>
        <v>0.96096486321552832</v>
      </c>
      <c r="F29" s="21">
        <f t="shared" si="4"/>
        <v>603287134.54223335</v>
      </c>
    </row>
    <row r="30" spans="1:6">
      <c r="A30">
        <f t="shared" ref="A30:A43" si="6">A29+0.25</f>
        <v>4.5</v>
      </c>
      <c r="B30" s="21">
        <f t="shared" si="3"/>
        <v>115967977995.68333</v>
      </c>
      <c r="C30" s="21">
        <f t="shared" si="0"/>
        <v>1136486184.3576968</v>
      </c>
      <c r="D30" s="21">
        <f t="shared" si="1"/>
        <v>35487360.797250405</v>
      </c>
      <c r="E30" s="48">
        <f t="shared" si="2"/>
        <v>0.95859909952277778</v>
      </c>
      <c r="F30" s="21">
        <f t="shared" si="4"/>
        <v>638774495.33948374</v>
      </c>
    </row>
    <row r="31" spans="1:6">
      <c r="A31">
        <f t="shared" si="6"/>
        <v>4.75</v>
      </c>
      <c r="B31" s="21">
        <f t="shared" si="3"/>
        <v>115897005086.00972</v>
      </c>
      <c r="C31" s="21">
        <f t="shared" si="0"/>
        <v>1135790649.8428953</v>
      </c>
      <c r="D31" s="21">
        <f t="shared" si="1"/>
        <v>35487359.688346893</v>
      </c>
      <c r="E31" s="48">
        <f t="shared" si="2"/>
        <v>0.95623333586699066</v>
      </c>
      <c r="F31" s="21">
        <f t="shared" si="4"/>
        <v>674261855.0278306</v>
      </c>
    </row>
    <row r="32" spans="1:6">
      <c r="A32">
        <f t="shared" si="6"/>
        <v>5</v>
      </c>
      <c r="B32" s="21">
        <f t="shared" si="3"/>
        <v>115826032177.44501</v>
      </c>
      <c r="C32" s="21">
        <f t="shared" si="0"/>
        <v>1135095115.3389611</v>
      </c>
      <c r="D32" s="21">
        <f t="shared" si="1"/>
        <v>35487358.579443395</v>
      </c>
      <c r="E32" s="48">
        <f t="shared" si="2"/>
        <v>0.95386757224816687</v>
      </c>
      <c r="F32" s="21">
        <f t="shared" si="4"/>
        <v>709749213.60727406</v>
      </c>
    </row>
    <row r="33" spans="1:6">
      <c r="A33">
        <f t="shared" si="6"/>
        <v>5.25</v>
      </c>
      <c r="B33" s="21">
        <f t="shared" si="3"/>
        <v>115755059269.98921</v>
      </c>
      <c r="C33" s="21">
        <f t="shared" si="0"/>
        <v>1134399580.8458943</v>
      </c>
      <c r="D33" s="21">
        <f t="shared" si="1"/>
        <v>35487357.47053992</v>
      </c>
      <c r="E33" s="48">
        <f t="shared" si="2"/>
        <v>0.95150180866630707</v>
      </c>
      <c r="F33" s="21">
        <f t="shared" si="4"/>
        <v>745236571.07781398</v>
      </c>
    </row>
    <row r="34" spans="1:6">
      <c r="A34">
        <f t="shared" si="6"/>
        <v>5.5</v>
      </c>
      <c r="B34" s="21">
        <f t="shared" si="3"/>
        <v>115684086363.64232</v>
      </c>
      <c r="C34" s="21">
        <f t="shared" si="0"/>
        <v>1133704046.3636949</v>
      </c>
      <c r="D34" s="21">
        <f t="shared" si="1"/>
        <v>35487356.36163646</v>
      </c>
      <c r="E34" s="48">
        <f t="shared" si="2"/>
        <v>0.94913604512141059</v>
      </c>
      <c r="F34" s="21">
        <f t="shared" si="4"/>
        <v>780723927.4394505</v>
      </c>
    </row>
    <row r="35" spans="1:6">
      <c r="A35">
        <f t="shared" si="6"/>
        <v>5.75</v>
      </c>
      <c r="B35" s="21">
        <f t="shared" si="3"/>
        <v>115613113458.40433</v>
      </c>
      <c r="C35" s="21">
        <f t="shared" si="0"/>
        <v>1133008511.8923626</v>
      </c>
      <c r="D35" s="21">
        <f t="shared" si="1"/>
        <v>35487355.252733022</v>
      </c>
      <c r="E35" s="48">
        <f t="shared" si="2"/>
        <v>0.94677028161347754</v>
      </c>
      <c r="F35" s="21">
        <f t="shared" si="4"/>
        <v>816211282.69218349</v>
      </c>
    </row>
    <row r="36" spans="1:6">
      <c r="A36">
        <f t="shared" si="6"/>
        <v>6</v>
      </c>
      <c r="B36" s="21">
        <f t="shared" si="3"/>
        <v>115542140554.27524</v>
      </c>
      <c r="C36" s="21">
        <f t="shared" si="0"/>
        <v>1132312977.4318974</v>
      </c>
      <c r="D36" s="21">
        <f t="shared" si="1"/>
        <v>35487354.143829599</v>
      </c>
      <c r="E36" s="48">
        <f t="shared" si="2"/>
        <v>0.94440451814250792</v>
      </c>
      <c r="F36" s="21">
        <f t="shared" si="4"/>
        <v>851698636.83601308</v>
      </c>
    </row>
    <row r="37" spans="1:6">
      <c r="A37">
        <f t="shared" si="6"/>
        <v>6.25</v>
      </c>
      <c r="B37" s="21">
        <f t="shared" si="3"/>
        <v>115471167651.25505</v>
      </c>
      <c r="C37" s="21">
        <f t="shared" si="0"/>
        <v>1131617442.9822996</v>
      </c>
      <c r="D37" s="21">
        <f t="shared" si="1"/>
        <v>35487353.034926191</v>
      </c>
      <c r="E37" s="48">
        <f t="shared" si="2"/>
        <v>0.94203875470850174</v>
      </c>
      <c r="F37" s="21">
        <f t="shared" si="4"/>
        <v>887185989.87093925</v>
      </c>
    </row>
    <row r="38" spans="1:6">
      <c r="A38">
        <f t="shared" si="6"/>
        <v>6.5</v>
      </c>
      <c r="B38" s="21">
        <f t="shared" si="3"/>
        <v>115400194749.34377</v>
      </c>
      <c r="C38" s="21">
        <f t="shared" si="0"/>
        <v>1130921908.5435691</v>
      </c>
      <c r="D38" s="21">
        <f t="shared" si="1"/>
        <v>35487351.926022798</v>
      </c>
      <c r="E38" s="48">
        <f t="shared" si="2"/>
        <v>0.93967299131145887</v>
      </c>
      <c r="F38" s="21">
        <f t="shared" si="4"/>
        <v>922673341.79696202</v>
      </c>
    </row>
    <row r="39" spans="1:6">
      <c r="A39">
        <f t="shared" si="6"/>
        <v>6.75</v>
      </c>
      <c r="B39" s="21">
        <f t="shared" si="3"/>
        <v>115329221848.54138</v>
      </c>
      <c r="C39" s="21">
        <f t="shared" si="0"/>
        <v>1130226374.1157055</v>
      </c>
      <c r="D39" s="21">
        <f t="shared" si="1"/>
        <v>35487350.817119427</v>
      </c>
      <c r="E39" s="48">
        <f t="shared" si="2"/>
        <v>0.93730722795137944</v>
      </c>
      <c r="F39" s="21">
        <f t="shared" si="4"/>
        <v>958160692.6140815</v>
      </c>
    </row>
    <row r="40" spans="1:6">
      <c r="A40">
        <f t="shared" si="6"/>
        <v>7</v>
      </c>
      <c r="B40" s="21">
        <f t="shared" si="3"/>
        <v>115258248948.8479</v>
      </c>
      <c r="C40" s="21">
        <f t="shared" si="0"/>
        <v>1129530839.6987095</v>
      </c>
      <c r="D40" s="21">
        <f t="shared" si="1"/>
        <v>35487349.708216071</v>
      </c>
      <c r="E40" s="48">
        <f t="shared" si="2"/>
        <v>0.93494146462826333</v>
      </c>
      <c r="F40" s="21">
        <f t="shared" si="4"/>
        <v>993648042.32229757</v>
      </c>
    </row>
    <row r="41" spans="1:6">
      <c r="A41">
        <f t="shared" si="6"/>
        <v>7.25</v>
      </c>
      <c r="B41" s="21">
        <f t="shared" si="3"/>
        <v>115187276050.26332</v>
      </c>
      <c r="C41" s="21">
        <f t="shared" si="0"/>
        <v>1128835305.2925806</v>
      </c>
      <c r="D41" s="21">
        <f t="shared" si="1"/>
        <v>35487348.599312738</v>
      </c>
      <c r="E41" s="48">
        <f t="shared" si="2"/>
        <v>0.93257570134211065</v>
      </c>
      <c r="F41" s="21">
        <f t="shared" si="4"/>
        <v>1029135390.9216104</v>
      </c>
    </row>
    <row r="42" spans="1:6">
      <c r="A42">
        <f t="shared" si="6"/>
        <v>7.5</v>
      </c>
      <c r="B42" s="21">
        <f t="shared" si="3"/>
        <v>115116303152.78764</v>
      </c>
      <c r="C42" s="21">
        <f t="shared" si="0"/>
        <v>1128139770.8973191</v>
      </c>
      <c r="D42" s="21">
        <f t="shared" si="1"/>
        <v>35487347.490409419</v>
      </c>
      <c r="E42" s="48">
        <f t="shared" si="2"/>
        <v>0.93020993809292141</v>
      </c>
      <c r="F42" s="21">
        <f t="shared" si="4"/>
        <v>1064622738.4120197</v>
      </c>
    </row>
    <row r="43" spans="1:6">
      <c r="A43">
        <f t="shared" si="6"/>
        <v>7.75</v>
      </c>
      <c r="B43" s="21">
        <f t="shared" si="3"/>
        <v>115045330256.42088</v>
      </c>
      <c r="C43" s="21">
        <f t="shared" si="0"/>
        <v>1127444236.5129249</v>
      </c>
      <c r="D43" s="21">
        <f t="shared" si="1"/>
        <v>35487346.381506115</v>
      </c>
      <c r="E43" s="48">
        <f t="shared" si="2"/>
        <v>0.92784417488069615</v>
      </c>
      <c r="F43" s="21">
        <f t="shared" si="4"/>
        <v>1100110084.7935259</v>
      </c>
    </row>
    <row r="44" spans="1:6">
      <c r="A44">
        <f t="shared" ref="A44:A79" si="7">A43+0.25</f>
        <v>8</v>
      </c>
      <c r="B44" s="21">
        <f t="shared" si="3"/>
        <v>114974357361.16302</v>
      </c>
      <c r="C44" s="21">
        <f t="shared" si="0"/>
        <v>1126748702.1393976</v>
      </c>
      <c r="D44" s="21">
        <f t="shared" si="1"/>
        <v>35487345.272602826</v>
      </c>
      <c r="E44" s="48">
        <f t="shared" si="2"/>
        <v>0.92547841170543421</v>
      </c>
      <c r="F44" s="21">
        <f t="shared" si="4"/>
        <v>1135597430.0661287</v>
      </c>
    </row>
    <row r="45" spans="1:6">
      <c r="A45">
        <f t="shared" si="7"/>
        <v>8.25</v>
      </c>
      <c r="B45" s="21">
        <f t="shared" si="3"/>
        <v>114903384467.01407</v>
      </c>
      <c r="C45" s="21">
        <f t="shared" si="0"/>
        <v>1126053167.7767379</v>
      </c>
      <c r="D45" s="21">
        <f t="shared" si="1"/>
        <v>35487344.16369956</v>
      </c>
      <c r="E45" s="48">
        <f t="shared" si="2"/>
        <v>0.9231126485671356</v>
      </c>
      <c r="F45" s="21">
        <f t="shared" si="4"/>
        <v>1171084774.2298284</v>
      </c>
    </row>
    <row r="46" spans="1:6">
      <c r="A46">
        <f t="shared" si="7"/>
        <v>8.5</v>
      </c>
      <c r="B46" s="21">
        <f t="shared" si="3"/>
        <v>114832411573.97401</v>
      </c>
      <c r="C46" s="21">
        <f t="shared" si="0"/>
        <v>1125357633.4249454</v>
      </c>
      <c r="D46" s="21">
        <f t="shared" si="1"/>
        <v>35487343.054796308</v>
      </c>
      <c r="E46" s="48">
        <f t="shared" si="2"/>
        <v>0.92074688546580052</v>
      </c>
      <c r="F46" s="21">
        <f t="shared" si="4"/>
        <v>1206572117.2846246</v>
      </c>
    </row>
    <row r="47" spans="1:6">
      <c r="A47">
        <f t="shared" si="7"/>
        <v>8.75</v>
      </c>
      <c r="B47" s="21">
        <f t="shared" si="3"/>
        <v>114761438682.04286</v>
      </c>
      <c r="C47" s="21">
        <f t="shared" si="0"/>
        <v>1124662099.0840201</v>
      </c>
      <c r="D47" s="21">
        <f t="shared" si="1"/>
        <v>35487341.945893072</v>
      </c>
      <c r="E47" s="48">
        <f t="shared" si="2"/>
        <v>0.91838112240142877</v>
      </c>
      <c r="F47" s="21">
        <f t="shared" si="4"/>
        <v>1242059459.2305176</v>
      </c>
    </row>
    <row r="48" spans="1:6">
      <c r="A48">
        <f t="shared" si="7"/>
        <v>9</v>
      </c>
      <c r="B48" s="21">
        <f t="shared" si="3"/>
        <v>114690465791.22061</v>
      </c>
      <c r="C48" s="21">
        <f t="shared" si="0"/>
        <v>1123966564.753962</v>
      </c>
      <c r="D48" s="21">
        <f t="shared" si="1"/>
        <v>35487340.836989857</v>
      </c>
      <c r="E48" s="48">
        <f t="shared" si="2"/>
        <v>0.91601535937402034</v>
      </c>
      <c r="F48" s="21">
        <f t="shared" si="4"/>
        <v>1277546800.0675075</v>
      </c>
    </row>
    <row r="49" spans="1:6">
      <c r="A49">
        <f t="shared" si="7"/>
        <v>9.25</v>
      </c>
      <c r="B49" s="21">
        <f t="shared" si="3"/>
        <v>114619492901.50726</v>
      </c>
      <c r="C49" s="21">
        <f t="shared" si="0"/>
        <v>1123271030.4347713</v>
      </c>
      <c r="D49" s="21">
        <f t="shared" si="1"/>
        <v>35487339.728086658</v>
      </c>
      <c r="E49" s="48">
        <f t="shared" si="2"/>
        <v>0.91364959638357546</v>
      </c>
      <c r="F49" s="21">
        <f t="shared" si="4"/>
        <v>1313034139.7955942</v>
      </c>
    </row>
    <row r="50" spans="1:6">
      <c r="A50">
        <f t="shared" si="7"/>
        <v>9.5</v>
      </c>
      <c r="B50" s="21">
        <f t="shared" si="3"/>
        <v>114548520012.90282</v>
      </c>
      <c r="C50" s="21">
        <f t="shared" si="0"/>
        <v>1122575496.1264477</v>
      </c>
      <c r="D50" s="21">
        <f t="shared" si="1"/>
        <v>35487338.619183481</v>
      </c>
      <c r="E50" s="48">
        <f t="shared" si="2"/>
        <v>0.91128383343009389</v>
      </c>
      <c r="F50" s="21">
        <f t="shared" si="4"/>
        <v>1348521478.4147778</v>
      </c>
    </row>
    <row r="51" spans="1:6">
      <c r="A51">
        <f t="shared" si="7"/>
        <v>9.75</v>
      </c>
      <c r="B51" s="21">
        <f t="shared" si="3"/>
        <v>114477547125.40727</v>
      </c>
      <c r="C51" s="21">
        <f t="shared" si="0"/>
        <v>1121879961.8289914</v>
      </c>
      <c r="D51" s="21">
        <f t="shared" si="1"/>
        <v>35487337.510280311</v>
      </c>
      <c r="E51" s="48">
        <f t="shared" si="2"/>
        <v>0.90891807051357576</v>
      </c>
      <c r="F51" s="21">
        <f t="shared" si="4"/>
        <v>1384008815.9250581</v>
      </c>
    </row>
    <row r="52" spans="1:6">
      <c r="A52">
        <f t="shared" si="7"/>
        <v>10</v>
      </c>
      <c r="B52" s="21">
        <f t="shared" si="3"/>
        <v>114406574239.02063</v>
      </c>
      <c r="C52" s="21">
        <f t="shared" si="0"/>
        <v>1121184427.5424023</v>
      </c>
      <c r="D52" s="21">
        <f t="shared" si="1"/>
        <v>35487336.401377164</v>
      </c>
      <c r="E52" s="48">
        <f t="shared" si="2"/>
        <v>0.90655230763402095</v>
      </c>
      <c r="F52" s="21">
        <f t="shared" si="4"/>
        <v>1419496152.3264353</v>
      </c>
    </row>
    <row r="53" spans="1:6">
      <c r="A53">
        <f t="shared" si="7"/>
        <v>10.25</v>
      </c>
      <c r="B53" s="21">
        <f t="shared" si="3"/>
        <v>114335601353.74289</v>
      </c>
      <c r="C53" s="21">
        <f t="shared" si="0"/>
        <v>1120488893.2666805</v>
      </c>
      <c r="D53" s="21">
        <f t="shared" si="1"/>
        <v>35487335.292474039</v>
      </c>
      <c r="E53" s="48">
        <f t="shared" si="2"/>
        <v>0.90418654479142968</v>
      </c>
      <c r="F53" s="21">
        <f t="shared" si="4"/>
        <v>1454983487.6189094</v>
      </c>
    </row>
    <row r="54" spans="1:6">
      <c r="A54">
        <f t="shared" si="7"/>
        <v>10.5</v>
      </c>
      <c r="B54" s="21">
        <f t="shared" si="3"/>
        <v>114264628469.57405</v>
      </c>
      <c r="C54" s="21">
        <f t="shared" si="0"/>
        <v>1119793359.0018256</v>
      </c>
      <c r="D54" s="21">
        <f t="shared" si="1"/>
        <v>35487334.183570921</v>
      </c>
      <c r="E54" s="48">
        <f t="shared" si="2"/>
        <v>0.90182078198580173</v>
      </c>
      <c r="F54" s="21">
        <f t="shared" si="4"/>
        <v>1490470821.8024802</v>
      </c>
    </row>
    <row r="55" spans="1:6">
      <c r="A55">
        <f t="shared" si="7"/>
        <v>10.75</v>
      </c>
      <c r="B55" s="21">
        <f t="shared" si="3"/>
        <v>114193655586.51411</v>
      </c>
      <c r="C55" s="21">
        <f t="shared" si="0"/>
        <v>1119097824.7478385</v>
      </c>
      <c r="D55" s="21">
        <f t="shared" si="1"/>
        <v>35487333.074667826</v>
      </c>
      <c r="E55" s="48">
        <f t="shared" si="2"/>
        <v>0.89945501921713711</v>
      </c>
      <c r="F55" s="21">
        <f t="shared" si="4"/>
        <v>1525958154.8771482</v>
      </c>
    </row>
    <row r="56" spans="1:6">
      <c r="A56">
        <f t="shared" si="7"/>
        <v>11</v>
      </c>
      <c r="B56" s="21">
        <f t="shared" si="3"/>
        <v>114122682704.5631</v>
      </c>
      <c r="C56" s="21">
        <f t="shared" si="0"/>
        <v>1118402290.5047185</v>
      </c>
      <c r="D56" s="21">
        <f t="shared" si="1"/>
        <v>35487331.965764754</v>
      </c>
      <c r="E56" s="48">
        <f t="shared" si="2"/>
        <v>0.89708925648543647</v>
      </c>
      <c r="F56" s="21">
        <f t="shared" si="4"/>
        <v>1561445486.8429129</v>
      </c>
    </row>
    <row r="57" spans="1:6">
      <c r="A57">
        <f t="shared" si="7"/>
        <v>11.25</v>
      </c>
      <c r="B57" s="21">
        <f t="shared" si="3"/>
        <v>114051709823.72098</v>
      </c>
      <c r="C57" s="21">
        <f t="shared" si="0"/>
        <v>1117706756.2724655</v>
      </c>
      <c r="D57" s="21">
        <f t="shared" si="1"/>
        <v>35487330.856861688</v>
      </c>
      <c r="E57" s="48">
        <f t="shared" si="2"/>
        <v>0.89472349379069926</v>
      </c>
      <c r="F57" s="21">
        <f t="shared" si="4"/>
        <v>1596932817.6997745</v>
      </c>
    </row>
    <row r="58" spans="1:6">
      <c r="A58">
        <f t="shared" si="7"/>
        <v>11.5</v>
      </c>
      <c r="B58" s="21">
        <f t="shared" si="3"/>
        <v>113980736943.98776</v>
      </c>
      <c r="C58" s="21">
        <f t="shared" si="0"/>
        <v>1117011222.05108</v>
      </c>
      <c r="D58" s="21">
        <f t="shared" si="1"/>
        <v>35487329.747958645</v>
      </c>
      <c r="E58" s="48">
        <f t="shared" si="2"/>
        <v>0.89235773113292538</v>
      </c>
      <c r="F58" s="21">
        <f t="shared" si="4"/>
        <v>1632420147.4477332</v>
      </c>
    </row>
    <row r="59" spans="1:6">
      <c r="A59">
        <f t="shared" si="7"/>
        <v>11.75</v>
      </c>
      <c r="B59" s="21">
        <f t="shared" si="3"/>
        <v>113909764065.36345</v>
      </c>
      <c r="C59" s="21">
        <f t="shared" si="0"/>
        <v>1116315687.8405619</v>
      </c>
      <c r="D59" s="21">
        <f t="shared" si="1"/>
        <v>35487328.639055625</v>
      </c>
      <c r="E59" s="48">
        <f t="shared" si="2"/>
        <v>0.88999196851211493</v>
      </c>
      <c r="F59" s="21">
        <f t="shared" si="4"/>
        <v>1667907476.0867889</v>
      </c>
    </row>
    <row r="60" spans="1:6">
      <c r="A60">
        <f t="shared" si="7"/>
        <v>12</v>
      </c>
      <c r="B60" s="21">
        <f t="shared" si="3"/>
        <v>113838791187.84804</v>
      </c>
      <c r="C60" s="21">
        <f t="shared" si="0"/>
        <v>1115620153.6409109</v>
      </c>
      <c r="D60" s="21">
        <f t="shared" si="1"/>
        <v>35487327.530152611</v>
      </c>
      <c r="E60" s="48">
        <f t="shared" si="2"/>
        <v>0.88762620592826791</v>
      </c>
      <c r="F60" s="21">
        <f t="shared" si="4"/>
        <v>1703394803.6169415</v>
      </c>
    </row>
    <row r="61" spans="1:6">
      <c r="A61">
        <f t="shared" si="7"/>
        <v>12.25</v>
      </c>
      <c r="B61" s="21">
        <f t="shared" si="3"/>
        <v>113767818311.44153</v>
      </c>
      <c r="C61" s="21">
        <f t="shared" si="0"/>
        <v>1114924619.452127</v>
      </c>
      <c r="D61" s="21">
        <f t="shared" si="1"/>
        <v>35487326.421249621</v>
      </c>
      <c r="E61" s="48">
        <f t="shared" si="2"/>
        <v>0.88526044338138432</v>
      </c>
      <c r="F61" s="21">
        <f t="shared" si="4"/>
        <v>1738882130.0381911</v>
      </c>
    </row>
    <row r="62" spans="1:6">
      <c r="A62">
        <f t="shared" si="7"/>
        <v>12.5</v>
      </c>
      <c r="B62" s="21">
        <f t="shared" si="3"/>
        <v>113696845436.14392</v>
      </c>
      <c r="C62" s="21">
        <f t="shared" si="0"/>
        <v>1114229085.2742105</v>
      </c>
      <c r="D62" s="21">
        <f t="shared" si="1"/>
        <v>35487325.312346652</v>
      </c>
      <c r="E62" s="48">
        <f t="shared" si="2"/>
        <v>0.88289468087146405</v>
      </c>
      <c r="F62" s="21">
        <f t="shared" si="4"/>
        <v>1774369455.3505378</v>
      </c>
    </row>
    <row r="63" spans="1:6">
      <c r="A63">
        <f t="shared" si="7"/>
        <v>12.75</v>
      </c>
      <c r="B63" s="21">
        <f t="shared" si="3"/>
        <v>113625872561.95522</v>
      </c>
      <c r="C63" s="21">
        <f t="shared" si="0"/>
        <v>1113533551.107161</v>
      </c>
      <c r="D63" s="21">
        <f t="shared" si="1"/>
        <v>35487324.203443691</v>
      </c>
      <c r="E63" s="48">
        <f t="shared" si="2"/>
        <v>0.88052891839850722</v>
      </c>
      <c r="F63" s="21">
        <f t="shared" si="4"/>
        <v>1809856779.5539815</v>
      </c>
    </row>
    <row r="64" spans="1:6">
      <c r="A64">
        <f t="shared" si="7"/>
        <v>13</v>
      </c>
      <c r="B64" s="21">
        <f t="shared" si="3"/>
        <v>113554899688.87541</v>
      </c>
      <c r="C64" s="21">
        <f t="shared" si="0"/>
        <v>1112838016.950979</v>
      </c>
      <c r="D64" s="21">
        <f t="shared" si="1"/>
        <v>35487323.094540752</v>
      </c>
      <c r="E64" s="48">
        <f t="shared" si="2"/>
        <v>0.87816315596251371</v>
      </c>
      <c r="F64" s="21">
        <f t="shared" si="4"/>
        <v>1845344102.6485224</v>
      </c>
    </row>
    <row r="65" spans="1:6">
      <c r="A65">
        <f t="shared" si="7"/>
        <v>13.25</v>
      </c>
      <c r="B65" s="21">
        <f t="shared" si="3"/>
        <v>113483926816.90451</v>
      </c>
      <c r="C65" s="21">
        <f t="shared" si="0"/>
        <v>1112142482.8056643</v>
      </c>
      <c r="D65" s="21">
        <f t="shared" si="1"/>
        <v>35487321.985637836</v>
      </c>
      <c r="E65" s="48">
        <f t="shared" si="2"/>
        <v>0.87579739356348374</v>
      </c>
      <c r="F65" s="21">
        <f t="shared" si="4"/>
        <v>1880831424.6341603</v>
      </c>
    </row>
    <row r="66" spans="1:6">
      <c r="A66">
        <f t="shared" si="7"/>
        <v>13.5</v>
      </c>
      <c r="B66" s="21">
        <f t="shared" si="3"/>
        <v>113412953946.04251</v>
      </c>
      <c r="C66" s="21">
        <f t="shared" si="0"/>
        <v>1111446948.6712167</v>
      </c>
      <c r="D66" s="21">
        <f t="shared" si="1"/>
        <v>35487320.876734927</v>
      </c>
      <c r="E66" s="48">
        <f t="shared" si="2"/>
        <v>0.87343163120141698</v>
      </c>
      <c r="F66" s="21">
        <f t="shared" si="4"/>
        <v>1916318745.5108953</v>
      </c>
    </row>
    <row r="67" spans="1:6">
      <c r="A67">
        <f t="shared" si="7"/>
        <v>13.75</v>
      </c>
      <c r="B67" s="21">
        <f t="shared" si="3"/>
        <v>113341981076.28941</v>
      </c>
      <c r="C67" s="21">
        <f t="shared" si="0"/>
        <v>1110751414.5476363</v>
      </c>
      <c r="D67" s="21">
        <f t="shared" si="1"/>
        <v>35487319.767832041</v>
      </c>
      <c r="E67" s="48">
        <f t="shared" si="2"/>
        <v>0.87106586887631376</v>
      </c>
      <c r="F67" s="21">
        <f t="shared" si="4"/>
        <v>1951806065.2787273</v>
      </c>
    </row>
    <row r="68" spans="1:6">
      <c r="A68">
        <f t="shared" si="7"/>
        <v>14</v>
      </c>
      <c r="B68" s="21">
        <f t="shared" si="3"/>
        <v>113271008207.64522</v>
      </c>
      <c r="C68" s="21">
        <f t="shared" si="0"/>
        <v>1110055880.4349232</v>
      </c>
      <c r="D68" s="21">
        <f t="shared" si="1"/>
        <v>35487318.658929169</v>
      </c>
      <c r="E68" s="48">
        <f t="shared" si="2"/>
        <v>0.86870010658817387</v>
      </c>
      <c r="F68" s="21">
        <f t="shared" si="4"/>
        <v>1987293383.9376564</v>
      </c>
    </row>
    <row r="69" spans="1:6">
      <c r="A69">
        <f t="shared" si="7"/>
        <v>14.25</v>
      </c>
      <c r="B69" s="21">
        <f t="shared" si="3"/>
        <v>113200035340.10992</v>
      </c>
      <c r="C69" s="21">
        <f t="shared" si="0"/>
        <v>1109360346.3330774</v>
      </c>
      <c r="D69" s="21">
        <f t="shared" si="1"/>
        <v>35487317.55002632</v>
      </c>
      <c r="E69" s="48">
        <f t="shared" si="2"/>
        <v>0.86633434433699752</v>
      </c>
      <c r="F69" s="21">
        <f t="shared" si="4"/>
        <v>2022780701.4876828</v>
      </c>
    </row>
    <row r="70" spans="1:6">
      <c r="A70">
        <f t="shared" si="7"/>
        <v>14.5</v>
      </c>
      <c r="B70" s="21">
        <f t="shared" si="3"/>
        <v>113129062473.68353</v>
      </c>
      <c r="C70" s="21">
        <f t="shared" si="0"/>
        <v>1108664812.2420986</v>
      </c>
      <c r="D70" s="21">
        <f t="shared" si="1"/>
        <v>35487316.441123486</v>
      </c>
      <c r="E70" s="48">
        <f t="shared" si="2"/>
        <v>0.86396858212278449</v>
      </c>
      <c r="F70" s="21">
        <f t="shared" si="4"/>
        <v>2058268017.9288063</v>
      </c>
    </row>
    <row r="71" spans="1:6">
      <c r="A71">
        <f t="shared" si="7"/>
        <v>14.75</v>
      </c>
      <c r="B71" s="21">
        <f t="shared" si="3"/>
        <v>113058089608.36606</v>
      </c>
      <c r="C71" s="21">
        <f t="shared" si="0"/>
        <v>1107969278.1619875</v>
      </c>
      <c r="D71" s="21">
        <f t="shared" si="1"/>
        <v>35487315.332220666</v>
      </c>
      <c r="E71" s="48">
        <f t="shared" si="2"/>
        <v>0.86160281994553523</v>
      </c>
      <c r="F71" s="21">
        <f t="shared" si="4"/>
        <v>2093755333.2610269</v>
      </c>
    </row>
    <row r="72" spans="1:6">
      <c r="A72">
        <f t="shared" si="7"/>
        <v>15</v>
      </c>
      <c r="B72" s="21">
        <f t="shared" si="3"/>
        <v>112987116744.15749</v>
      </c>
      <c r="C72" s="21">
        <f t="shared" si="0"/>
        <v>1107273744.0927434</v>
      </c>
      <c r="D72" s="21">
        <f t="shared" si="1"/>
        <v>35487314.223317869</v>
      </c>
      <c r="E72" s="48">
        <f t="shared" si="2"/>
        <v>0.8592370578052495</v>
      </c>
      <c r="F72" s="21">
        <f t="shared" si="4"/>
        <v>2129242647.4843447</v>
      </c>
    </row>
    <row r="73" spans="1:6">
      <c r="A73">
        <f t="shared" si="7"/>
        <v>15.25</v>
      </c>
      <c r="B73" s="21">
        <f t="shared" si="3"/>
        <v>112916143881.05782</v>
      </c>
      <c r="C73" s="21">
        <f t="shared" si="0"/>
        <v>1106578210.0343666</v>
      </c>
      <c r="D73" s="21">
        <f t="shared" si="1"/>
        <v>35487313.114415079</v>
      </c>
      <c r="E73" s="48">
        <f t="shared" si="2"/>
        <v>0.85687129570192722</v>
      </c>
      <c r="F73" s="21">
        <f t="shared" si="4"/>
        <v>2164729960.5987597</v>
      </c>
    </row>
    <row r="74" spans="1:6">
      <c r="A74">
        <f t="shared" si="7"/>
        <v>15.5</v>
      </c>
      <c r="B74" s="21">
        <f t="shared" si="3"/>
        <v>112845171019.06705</v>
      </c>
      <c r="C74" s="21">
        <f t="shared" si="0"/>
        <v>1105882675.9868572</v>
      </c>
      <c r="D74" s="21">
        <f t="shared" si="1"/>
        <v>35487312.00551232</v>
      </c>
      <c r="E74" s="48">
        <f t="shared" si="2"/>
        <v>0.85450553363556825</v>
      </c>
      <c r="F74" s="21">
        <f t="shared" si="4"/>
        <v>2200217272.6042719</v>
      </c>
    </row>
    <row r="75" spans="1:6">
      <c r="A75">
        <f t="shared" si="7"/>
        <v>15.75</v>
      </c>
      <c r="B75" s="21">
        <f t="shared" si="3"/>
        <v>112774198158.18518</v>
      </c>
      <c r="C75" s="21">
        <f t="shared" si="0"/>
        <v>1105187141.9502149</v>
      </c>
      <c r="D75" s="21">
        <f t="shared" si="1"/>
        <v>35487310.896609567</v>
      </c>
      <c r="E75" s="48">
        <f t="shared" si="2"/>
        <v>0.85213977160617271</v>
      </c>
      <c r="F75" s="21">
        <f t="shared" si="4"/>
        <v>2235704583.5008817</v>
      </c>
    </row>
    <row r="76" spans="1:6">
      <c r="A76">
        <f t="shared" si="7"/>
        <v>16</v>
      </c>
      <c r="B76" s="21">
        <f t="shared" si="3"/>
        <v>112703225298.41222</v>
      </c>
      <c r="C76" s="21">
        <f t="shared" si="0"/>
        <v>1104491607.9244397</v>
      </c>
      <c r="D76" s="21">
        <f t="shared" si="1"/>
        <v>35487309.787706837</v>
      </c>
      <c r="E76" s="48">
        <f t="shared" si="2"/>
        <v>0.8497740096137405</v>
      </c>
      <c r="F76" s="21">
        <f t="shared" si="4"/>
        <v>2271191893.2885885</v>
      </c>
    </row>
    <row r="77" spans="1:6">
      <c r="A77">
        <f t="shared" si="7"/>
        <v>16.25</v>
      </c>
      <c r="B77" s="21">
        <f t="shared" si="3"/>
        <v>112632252439.74815</v>
      </c>
      <c r="C77" s="21">
        <f t="shared" ref="C77:C140" si="8">IF(B77&gt;$D$2,B77*$D$4/1000,0)</f>
        <v>1103796073.9095321</v>
      </c>
      <c r="D77" s="21">
        <f t="shared" ref="D77:D140" si="9">C77*$D$6*$D$5+$D$8</f>
        <v>35487308.678804122</v>
      </c>
      <c r="E77" s="48">
        <f t="shared" ref="E77:E140" si="10">1-(($B$12-B77)/$D$3)</f>
        <v>0.84740824765827183</v>
      </c>
      <c r="F77" s="21">
        <f t="shared" si="4"/>
        <v>2306679201.9673924</v>
      </c>
    </row>
    <row r="78" spans="1:6">
      <c r="A78">
        <f t="shared" si="7"/>
        <v>16.5</v>
      </c>
      <c r="B78" s="21">
        <f t="shared" ref="B78:B141" si="11">B77-D77-$D$8</f>
        <v>112561279582.19299</v>
      </c>
      <c r="C78" s="21">
        <f t="shared" si="8"/>
        <v>1103100539.9054914</v>
      </c>
      <c r="D78" s="21">
        <f t="shared" si="9"/>
        <v>35487307.569901429</v>
      </c>
      <c r="E78" s="48">
        <f t="shared" si="10"/>
        <v>0.84504248573976648</v>
      </c>
    </row>
    <row r="79" spans="1:6">
      <c r="A79">
        <f t="shared" si="7"/>
        <v>16.75</v>
      </c>
      <c r="B79" s="21">
        <f t="shared" si="11"/>
        <v>112490306725.74673</v>
      </c>
      <c r="C79" s="21">
        <f t="shared" si="8"/>
        <v>1102405005.9123182</v>
      </c>
      <c r="D79" s="21">
        <f t="shared" si="9"/>
        <v>35487306.460998744</v>
      </c>
      <c r="E79" s="48">
        <f t="shared" si="10"/>
        <v>0.84267672385822445</v>
      </c>
    </row>
    <row r="80" spans="1:6">
      <c r="A80">
        <f t="shared" ref="A80:A112" si="12">A79+0.25</f>
        <v>17</v>
      </c>
      <c r="B80" s="21">
        <f t="shared" si="11"/>
        <v>112419333870.40938</v>
      </c>
      <c r="C80" s="21">
        <f t="shared" si="8"/>
        <v>1101709471.930012</v>
      </c>
      <c r="D80" s="21">
        <f t="shared" si="9"/>
        <v>35487305.352096088</v>
      </c>
      <c r="E80" s="48">
        <f t="shared" si="10"/>
        <v>0.84031096201364597</v>
      </c>
    </row>
    <row r="81" spans="1:5">
      <c r="A81">
        <f t="shared" si="12"/>
        <v>17.25</v>
      </c>
      <c r="B81" s="21">
        <f t="shared" si="11"/>
        <v>112348361016.18092</v>
      </c>
      <c r="C81" s="21">
        <f t="shared" si="8"/>
        <v>1101013937.9585733</v>
      </c>
      <c r="D81" s="21">
        <f t="shared" si="9"/>
        <v>35487304.24319344</v>
      </c>
      <c r="E81" s="48">
        <f t="shared" si="10"/>
        <v>0.8379452002060308</v>
      </c>
    </row>
    <row r="82" spans="1:5">
      <c r="A82">
        <f t="shared" si="12"/>
        <v>17.5</v>
      </c>
      <c r="B82" s="21">
        <f t="shared" si="11"/>
        <v>112277388163.06137</v>
      </c>
      <c r="C82" s="21">
        <f t="shared" si="8"/>
        <v>1100318403.9980016</v>
      </c>
      <c r="D82" s="21">
        <f t="shared" si="9"/>
        <v>35487303.134290814</v>
      </c>
      <c r="E82" s="48">
        <f t="shared" si="10"/>
        <v>0.83557943843537896</v>
      </c>
    </row>
    <row r="83" spans="1:5">
      <c r="A83">
        <f t="shared" si="12"/>
        <v>17.75</v>
      </c>
      <c r="B83" s="21">
        <f t="shared" si="11"/>
        <v>112206415311.05072</v>
      </c>
      <c r="C83" s="21">
        <f t="shared" si="8"/>
        <v>1099622870.0482972</v>
      </c>
      <c r="D83" s="21">
        <f t="shared" si="9"/>
        <v>35487302.025388204</v>
      </c>
      <c r="E83" s="48">
        <f t="shared" si="10"/>
        <v>0.83321367670169066</v>
      </c>
    </row>
    <row r="84" spans="1:5">
      <c r="A84">
        <f t="shared" si="12"/>
        <v>18</v>
      </c>
      <c r="B84" s="21">
        <f t="shared" si="11"/>
        <v>112135442460.14897</v>
      </c>
      <c r="C84" s="21">
        <f t="shared" si="8"/>
        <v>1098927336.1094599</v>
      </c>
      <c r="D84" s="21">
        <f t="shared" si="9"/>
        <v>35487300.916485608</v>
      </c>
      <c r="E84" s="48">
        <f t="shared" si="10"/>
        <v>0.83084791500496569</v>
      </c>
    </row>
    <row r="85" spans="1:5">
      <c r="A85">
        <f t="shared" si="12"/>
        <v>18.25</v>
      </c>
      <c r="B85" s="21">
        <f t="shared" si="11"/>
        <v>112064469610.35612</v>
      </c>
      <c r="C85" s="21">
        <f t="shared" si="8"/>
        <v>1098231802.1814902</v>
      </c>
      <c r="D85" s="21">
        <f t="shared" si="9"/>
        <v>35487299.807583034</v>
      </c>
      <c r="E85" s="48">
        <f t="shared" si="10"/>
        <v>0.82848215334520414</v>
      </c>
    </row>
    <row r="86" spans="1:5">
      <c r="A86">
        <f t="shared" si="12"/>
        <v>18.5</v>
      </c>
      <c r="B86" s="21">
        <f t="shared" si="11"/>
        <v>111993496761.67218</v>
      </c>
      <c r="C86" s="21">
        <f t="shared" si="8"/>
        <v>1097536268.2643874</v>
      </c>
      <c r="D86" s="21">
        <f t="shared" si="9"/>
        <v>35487298.698680475</v>
      </c>
      <c r="E86" s="48">
        <f t="shared" si="10"/>
        <v>0.82611639172240603</v>
      </c>
    </row>
    <row r="87" spans="1:5">
      <c r="A87">
        <f t="shared" si="12"/>
        <v>18.75</v>
      </c>
      <c r="B87" s="21">
        <f t="shared" si="11"/>
        <v>111922523914.09714</v>
      </c>
      <c r="C87" s="21">
        <f t="shared" si="8"/>
        <v>1096840734.3581519</v>
      </c>
      <c r="D87" s="21">
        <f t="shared" si="9"/>
        <v>35487297.589777939</v>
      </c>
      <c r="E87" s="48">
        <f t="shared" si="10"/>
        <v>0.82375063013657124</v>
      </c>
    </row>
    <row r="88" spans="1:5">
      <c r="A88">
        <f t="shared" si="12"/>
        <v>19</v>
      </c>
      <c r="B88" s="21">
        <f t="shared" si="11"/>
        <v>111851551067.631</v>
      </c>
      <c r="C88" s="21">
        <f t="shared" si="8"/>
        <v>1096145200.4627838</v>
      </c>
      <c r="D88" s="21">
        <f t="shared" si="9"/>
        <v>35487296.480875418</v>
      </c>
      <c r="E88" s="48">
        <f t="shared" si="10"/>
        <v>0.82138486858769988</v>
      </c>
    </row>
    <row r="89" spans="1:5">
      <c r="A89">
        <f t="shared" si="12"/>
        <v>19.25</v>
      </c>
      <c r="B89" s="21">
        <f t="shared" si="11"/>
        <v>111780578222.27376</v>
      </c>
      <c r="C89" s="21">
        <f t="shared" si="8"/>
        <v>1095449666.5782831</v>
      </c>
      <c r="D89" s="21">
        <f t="shared" si="9"/>
        <v>35487295.371972911</v>
      </c>
      <c r="E89" s="48">
        <f t="shared" si="10"/>
        <v>0.81901910707579195</v>
      </c>
    </row>
    <row r="90" spans="1:5">
      <c r="A90">
        <f t="shared" si="12"/>
        <v>19.5</v>
      </c>
      <c r="B90" s="21">
        <f t="shared" si="11"/>
        <v>111709605378.02542</v>
      </c>
      <c r="C90" s="21">
        <f t="shared" si="8"/>
        <v>1094754132.7046492</v>
      </c>
      <c r="D90" s="21">
        <f t="shared" si="9"/>
        <v>35487294.263070419</v>
      </c>
      <c r="E90" s="48">
        <f t="shared" si="10"/>
        <v>0.81665334560084735</v>
      </c>
    </row>
    <row r="91" spans="1:5">
      <c r="A91">
        <f t="shared" si="12"/>
        <v>19.75</v>
      </c>
      <c r="B91" s="21">
        <f t="shared" si="11"/>
        <v>111638632534.88599</v>
      </c>
      <c r="C91" s="21">
        <f t="shared" si="8"/>
        <v>1094058598.8418827</v>
      </c>
      <c r="D91" s="21">
        <f t="shared" si="9"/>
        <v>35487293.15416795</v>
      </c>
      <c r="E91" s="48">
        <f t="shared" si="10"/>
        <v>0.81428758416286617</v>
      </c>
    </row>
    <row r="92" spans="1:5">
      <c r="A92">
        <f t="shared" si="12"/>
        <v>20</v>
      </c>
      <c r="B92" s="21">
        <f t="shared" si="11"/>
        <v>111567659692.85545</v>
      </c>
      <c r="C92" s="21">
        <f t="shared" si="8"/>
        <v>1093363064.9899836</v>
      </c>
      <c r="D92" s="21">
        <f t="shared" si="9"/>
        <v>35487292.045265496</v>
      </c>
      <c r="E92" s="48">
        <f t="shared" si="10"/>
        <v>0.81192182276184843</v>
      </c>
    </row>
    <row r="93" spans="1:5">
      <c r="A93">
        <f t="shared" si="12"/>
        <v>20.25</v>
      </c>
      <c r="B93" s="21">
        <f t="shared" si="11"/>
        <v>111496686851.93382</v>
      </c>
      <c r="C93" s="21">
        <f t="shared" si="8"/>
        <v>1092667531.1489515</v>
      </c>
      <c r="D93" s="21">
        <f t="shared" si="9"/>
        <v>35487290.936363056</v>
      </c>
      <c r="E93" s="48">
        <f t="shared" si="10"/>
        <v>0.80955606139779412</v>
      </c>
    </row>
    <row r="94" spans="1:5">
      <c r="A94">
        <f t="shared" si="12"/>
        <v>20.5</v>
      </c>
      <c r="B94" s="21">
        <f t="shared" si="11"/>
        <v>111425714012.12111</v>
      </c>
      <c r="C94" s="21">
        <f t="shared" si="8"/>
        <v>1091971997.3187871</v>
      </c>
      <c r="D94" s="21">
        <f t="shared" si="9"/>
        <v>35487289.827460639</v>
      </c>
      <c r="E94" s="48">
        <f t="shared" si="10"/>
        <v>0.80719030007070369</v>
      </c>
    </row>
    <row r="95" spans="1:5">
      <c r="A95">
        <f t="shared" si="12"/>
        <v>20.75</v>
      </c>
      <c r="B95" s="21">
        <f t="shared" si="11"/>
        <v>111354741173.4173</v>
      </c>
      <c r="C95" s="21">
        <f t="shared" si="8"/>
        <v>1091276463.4994895</v>
      </c>
      <c r="D95" s="21">
        <f t="shared" si="9"/>
        <v>35487288.718558237</v>
      </c>
      <c r="E95" s="48">
        <f t="shared" si="10"/>
        <v>0.80482453878057658</v>
      </c>
    </row>
    <row r="96" spans="1:5">
      <c r="A96">
        <f t="shared" si="12"/>
        <v>21</v>
      </c>
      <c r="B96" s="21">
        <f t="shared" si="11"/>
        <v>111283768335.82239</v>
      </c>
      <c r="C96" s="21">
        <f t="shared" si="8"/>
        <v>1090580929.6910594</v>
      </c>
      <c r="D96" s="21">
        <f t="shared" si="9"/>
        <v>35487287.60965585</v>
      </c>
      <c r="E96" s="48">
        <f t="shared" si="10"/>
        <v>0.8024587775274129</v>
      </c>
    </row>
    <row r="97" spans="1:5">
      <c r="A97">
        <f t="shared" si="12"/>
        <v>21.25</v>
      </c>
      <c r="B97" s="21">
        <f t="shared" si="11"/>
        <v>111212795499.33638</v>
      </c>
      <c r="C97" s="21">
        <f t="shared" si="8"/>
        <v>1089885395.8934965</v>
      </c>
      <c r="D97" s="21">
        <f t="shared" si="9"/>
        <v>35487286.500753485</v>
      </c>
      <c r="E97" s="48">
        <f t="shared" si="10"/>
        <v>0.80009301631121266</v>
      </c>
    </row>
    <row r="98" spans="1:5">
      <c r="A98">
        <f t="shared" si="12"/>
        <v>21.5</v>
      </c>
      <c r="B98" s="21">
        <f t="shared" si="11"/>
        <v>111141822663.95927</v>
      </c>
      <c r="C98" s="21">
        <f t="shared" si="8"/>
        <v>1089189862.106801</v>
      </c>
      <c r="D98" s="21">
        <f t="shared" si="9"/>
        <v>35487285.391851135</v>
      </c>
      <c r="E98" s="48">
        <f t="shared" si="10"/>
        <v>0.79772725513197584</v>
      </c>
    </row>
    <row r="99" spans="1:5">
      <c r="A99">
        <f t="shared" si="12"/>
        <v>21.75</v>
      </c>
      <c r="B99" s="21">
        <f t="shared" si="11"/>
        <v>111070849829.69107</v>
      </c>
      <c r="C99" s="21">
        <f t="shared" si="8"/>
        <v>1088494328.3309724</v>
      </c>
      <c r="D99" s="21">
        <f t="shared" si="9"/>
        <v>35487284.282948799</v>
      </c>
      <c r="E99" s="48">
        <f t="shared" si="10"/>
        <v>0.79536149398970235</v>
      </c>
    </row>
    <row r="100" spans="1:5">
      <c r="A100">
        <f t="shared" si="12"/>
        <v>22</v>
      </c>
      <c r="B100" s="21">
        <f t="shared" si="11"/>
        <v>110999876996.53177</v>
      </c>
      <c r="C100" s="21">
        <f t="shared" si="8"/>
        <v>1087798794.5660114</v>
      </c>
      <c r="D100" s="21">
        <f t="shared" si="9"/>
        <v>35487283.174046487</v>
      </c>
      <c r="E100" s="48">
        <f t="shared" si="10"/>
        <v>0.79299573288439229</v>
      </c>
    </row>
    <row r="101" spans="1:5">
      <c r="A101">
        <f t="shared" si="12"/>
        <v>22.25</v>
      </c>
      <c r="B101" s="21">
        <f t="shared" si="11"/>
        <v>110928904164.48137</v>
      </c>
      <c r="C101" s="21">
        <f t="shared" si="8"/>
        <v>1087103260.8119175</v>
      </c>
      <c r="D101" s="21">
        <f t="shared" si="9"/>
        <v>35487282.065144189</v>
      </c>
      <c r="E101" s="48">
        <f t="shared" si="10"/>
        <v>0.79062997181604566</v>
      </c>
    </row>
    <row r="102" spans="1:5">
      <c r="A102">
        <f t="shared" si="12"/>
        <v>22.5</v>
      </c>
      <c r="B102" s="21">
        <f t="shared" si="11"/>
        <v>110857931333.53987</v>
      </c>
      <c r="C102" s="21">
        <f t="shared" si="8"/>
        <v>1086407727.0686908</v>
      </c>
      <c r="D102" s="21">
        <f t="shared" si="9"/>
        <v>35487280.956241906</v>
      </c>
      <c r="E102" s="48">
        <f t="shared" si="10"/>
        <v>0.78826421078466236</v>
      </c>
    </row>
    <row r="103" spans="1:5">
      <c r="A103">
        <f t="shared" si="12"/>
        <v>22.75</v>
      </c>
      <c r="B103" s="21">
        <f t="shared" si="11"/>
        <v>110786958503.70728</v>
      </c>
      <c r="C103" s="21">
        <f t="shared" si="8"/>
        <v>1085712193.3363314</v>
      </c>
      <c r="D103" s="21">
        <f t="shared" si="9"/>
        <v>35487279.847339645</v>
      </c>
      <c r="E103" s="48">
        <f t="shared" si="10"/>
        <v>0.78589844979024248</v>
      </c>
    </row>
    <row r="104" spans="1:5">
      <c r="A104">
        <f t="shared" si="12"/>
        <v>23</v>
      </c>
      <c r="B104" s="21">
        <f t="shared" si="11"/>
        <v>110715985674.98358</v>
      </c>
      <c r="C104" s="21">
        <f t="shared" si="8"/>
        <v>1085016659.6148393</v>
      </c>
      <c r="D104" s="21">
        <f t="shared" si="9"/>
        <v>35487278.738437399</v>
      </c>
      <c r="E104" s="48">
        <f t="shared" si="10"/>
        <v>0.78353268883278604</v>
      </c>
    </row>
    <row r="105" spans="1:5">
      <c r="A105">
        <f t="shared" si="12"/>
        <v>23.25</v>
      </c>
      <c r="B105" s="21">
        <f t="shared" si="11"/>
        <v>110645012847.36879</v>
      </c>
      <c r="C105" s="21">
        <f t="shared" si="8"/>
        <v>1084321125.9042141</v>
      </c>
      <c r="D105" s="21">
        <f t="shared" si="9"/>
        <v>35487277.629535168</v>
      </c>
      <c r="E105" s="48">
        <f t="shared" si="10"/>
        <v>0.78116692791229303</v>
      </c>
    </row>
    <row r="106" spans="1:5">
      <c r="A106">
        <f t="shared" si="12"/>
        <v>23.5</v>
      </c>
      <c r="B106" s="21">
        <f t="shared" si="11"/>
        <v>110574040020.8629</v>
      </c>
      <c r="C106" s="21">
        <f t="shared" si="8"/>
        <v>1083625592.2044566</v>
      </c>
      <c r="D106" s="21">
        <f t="shared" si="9"/>
        <v>35487276.52063296</v>
      </c>
      <c r="E106" s="48">
        <f t="shared" si="10"/>
        <v>0.77880116702876334</v>
      </c>
    </row>
    <row r="107" spans="1:5">
      <c r="A107">
        <f t="shared" si="12"/>
        <v>23.75</v>
      </c>
      <c r="B107" s="21">
        <f t="shared" si="11"/>
        <v>110503067195.46591</v>
      </c>
      <c r="C107" s="21">
        <f t="shared" si="8"/>
        <v>1082930058.5155661</v>
      </c>
      <c r="D107" s="21">
        <f t="shared" si="9"/>
        <v>35487275.411730766</v>
      </c>
      <c r="E107" s="48">
        <f t="shared" si="10"/>
        <v>0.77643540618219709</v>
      </c>
    </row>
    <row r="108" spans="1:5">
      <c r="A108">
        <f t="shared" si="12"/>
        <v>24</v>
      </c>
      <c r="B108" s="21">
        <f t="shared" si="11"/>
        <v>110432094371.17783</v>
      </c>
      <c r="C108" s="21">
        <f t="shared" si="8"/>
        <v>1082234524.8375428</v>
      </c>
      <c r="D108" s="21">
        <f t="shared" si="9"/>
        <v>35487274.302828588</v>
      </c>
      <c r="E108" s="48">
        <f t="shared" si="10"/>
        <v>0.77406964537259415</v>
      </c>
    </row>
    <row r="109" spans="1:5">
      <c r="A109">
        <f t="shared" si="12"/>
        <v>24.25</v>
      </c>
      <c r="B109" s="21">
        <f t="shared" si="11"/>
        <v>110361121547.99864</v>
      </c>
      <c r="C109" s="21">
        <f t="shared" si="8"/>
        <v>1081538991.1703868</v>
      </c>
      <c r="D109" s="21">
        <f t="shared" si="9"/>
        <v>35487273.193926431</v>
      </c>
      <c r="E109" s="48">
        <f t="shared" si="10"/>
        <v>0.77170388459995476</v>
      </c>
    </row>
    <row r="110" spans="1:5">
      <c r="A110">
        <f t="shared" si="12"/>
        <v>24.5</v>
      </c>
      <c r="B110" s="21">
        <f t="shared" si="11"/>
        <v>110290148725.92836</v>
      </c>
      <c r="C110" s="21">
        <f t="shared" si="8"/>
        <v>1080843457.5140979</v>
      </c>
      <c r="D110" s="21">
        <f t="shared" si="9"/>
        <v>35487272.085024282</v>
      </c>
      <c r="E110" s="48">
        <f t="shared" si="10"/>
        <v>0.76933812386427869</v>
      </c>
    </row>
    <row r="111" spans="1:5">
      <c r="A111">
        <f t="shared" si="12"/>
        <v>24.75</v>
      </c>
      <c r="B111" s="21">
        <f t="shared" si="11"/>
        <v>110219175904.96698</v>
      </c>
      <c r="C111" s="21">
        <f t="shared" si="8"/>
        <v>1080147923.8686764</v>
      </c>
      <c r="D111" s="21">
        <f t="shared" si="9"/>
        <v>35487270.976122163</v>
      </c>
      <c r="E111" s="48">
        <f t="shared" si="10"/>
        <v>0.76697236316556605</v>
      </c>
    </row>
    <row r="112" spans="1:5">
      <c r="A112">
        <f t="shared" si="12"/>
        <v>25</v>
      </c>
      <c r="B112" s="21">
        <f t="shared" si="11"/>
        <v>110148203085.1145</v>
      </c>
      <c r="C112" s="21">
        <f t="shared" si="8"/>
        <v>1079452390.2341223</v>
      </c>
      <c r="D112" s="21">
        <f t="shared" si="9"/>
        <v>35487269.867220052</v>
      </c>
      <c r="E112" s="48">
        <f t="shared" si="10"/>
        <v>0.76460660250381673</v>
      </c>
    </row>
    <row r="113" spans="1:5">
      <c r="A113">
        <f t="shared" ref="A113:A130" si="13">A112+0.25</f>
        <v>25.25</v>
      </c>
      <c r="B113" s="21">
        <f t="shared" si="11"/>
        <v>110077230266.37093</v>
      </c>
      <c r="C113" s="21">
        <f t="shared" si="8"/>
        <v>1078756856.6104352</v>
      </c>
      <c r="D113" s="21">
        <f t="shared" si="9"/>
        <v>35487268.758317962</v>
      </c>
      <c r="E113" s="48">
        <f t="shared" si="10"/>
        <v>0.76224084187903085</v>
      </c>
    </row>
    <row r="114" spans="1:5">
      <c r="A114">
        <f t="shared" si="13"/>
        <v>25.5</v>
      </c>
      <c r="B114" s="21">
        <f t="shared" si="11"/>
        <v>110006257448.73625</v>
      </c>
      <c r="C114" s="21">
        <f t="shared" si="8"/>
        <v>1078061322.9976153</v>
      </c>
      <c r="D114" s="21">
        <f t="shared" si="9"/>
        <v>35487267.649415888</v>
      </c>
      <c r="E114" s="48">
        <f t="shared" si="10"/>
        <v>0.7598750812912084</v>
      </c>
    </row>
    <row r="115" spans="1:5">
      <c r="A115">
        <f t="shared" si="13"/>
        <v>25.75</v>
      </c>
      <c r="B115" s="21">
        <f t="shared" si="11"/>
        <v>109935284632.21048</v>
      </c>
      <c r="C115" s="21">
        <f t="shared" si="8"/>
        <v>1077365789.3956628</v>
      </c>
      <c r="D115" s="21">
        <f t="shared" si="9"/>
        <v>35487266.540513836</v>
      </c>
      <c r="E115" s="48">
        <f t="shared" si="10"/>
        <v>0.75750932074034938</v>
      </c>
    </row>
    <row r="116" spans="1:5">
      <c r="A116">
        <f t="shared" si="13"/>
        <v>26</v>
      </c>
      <c r="B116" s="21">
        <f t="shared" si="11"/>
        <v>109864311816.79361</v>
      </c>
      <c r="C116" s="21">
        <f t="shared" si="8"/>
        <v>1076670255.8045774</v>
      </c>
      <c r="D116" s="21">
        <f t="shared" si="9"/>
        <v>35487265.431611799</v>
      </c>
      <c r="E116" s="48">
        <f t="shared" si="10"/>
        <v>0.75514356022645368</v>
      </c>
    </row>
    <row r="117" spans="1:5">
      <c r="A117">
        <f t="shared" si="13"/>
        <v>26.25</v>
      </c>
      <c r="B117" s="21">
        <f t="shared" si="11"/>
        <v>109793339002.48564</v>
      </c>
      <c r="C117" s="21">
        <f t="shared" si="8"/>
        <v>1075974722.2243593</v>
      </c>
      <c r="D117" s="21">
        <f t="shared" si="9"/>
        <v>35487264.322709776</v>
      </c>
      <c r="E117" s="48">
        <f t="shared" si="10"/>
        <v>0.75277779974952141</v>
      </c>
    </row>
    <row r="118" spans="1:5">
      <c r="A118">
        <f t="shared" si="13"/>
        <v>26.5</v>
      </c>
      <c r="B118" s="21">
        <f t="shared" si="11"/>
        <v>109722366189.28658</v>
      </c>
      <c r="C118" s="21">
        <f t="shared" si="8"/>
        <v>1075279188.6550086</v>
      </c>
      <c r="D118" s="21">
        <f t="shared" si="9"/>
        <v>35487263.213807769</v>
      </c>
      <c r="E118" s="48">
        <f t="shared" si="10"/>
        <v>0.75041203930955247</v>
      </c>
    </row>
    <row r="119" spans="1:5">
      <c r="A119">
        <f t="shared" si="13"/>
        <v>26.75</v>
      </c>
      <c r="B119" s="21">
        <f t="shared" si="11"/>
        <v>109651393377.19641</v>
      </c>
      <c r="C119" s="21">
        <f t="shared" si="8"/>
        <v>1074583655.096525</v>
      </c>
      <c r="D119" s="21">
        <f t="shared" si="9"/>
        <v>35487262.104905784</v>
      </c>
      <c r="E119" s="48">
        <f t="shared" si="10"/>
        <v>0.74804627890654696</v>
      </c>
    </row>
    <row r="120" spans="1:5">
      <c r="A120">
        <f t="shared" si="13"/>
        <v>27</v>
      </c>
      <c r="B120" s="21">
        <f t="shared" si="11"/>
        <v>109580420566.21515</v>
      </c>
      <c r="C120" s="21">
        <f t="shared" si="8"/>
        <v>1073888121.5489085</v>
      </c>
      <c r="D120" s="21">
        <f t="shared" si="9"/>
        <v>35487260.996003821</v>
      </c>
      <c r="E120" s="48">
        <f t="shared" si="10"/>
        <v>0.74568051854050499</v>
      </c>
    </row>
    <row r="121" spans="1:5">
      <c r="A121">
        <f t="shared" si="13"/>
        <v>27.25</v>
      </c>
      <c r="B121" s="21">
        <f t="shared" si="11"/>
        <v>109509447756.34279</v>
      </c>
      <c r="C121" s="21">
        <f t="shared" si="8"/>
        <v>1073192588.0121595</v>
      </c>
      <c r="D121" s="21">
        <f t="shared" si="9"/>
        <v>35487259.887101866</v>
      </c>
      <c r="E121" s="48">
        <f t="shared" si="10"/>
        <v>0.74331475821142634</v>
      </c>
    </row>
    <row r="122" spans="1:5">
      <c r="A122">
        <f t="shared" si="13"/>
        <v>27.5</v>
      </c>
      <c r="B122" s="21">
        <f t="shared" si="11"/>
        <v>109438474947.57933</v>
      </c>
      <c r="C122" s="21">
        <f t="shared" si="8"/>
        <v>1072497054.4862775</v>
      </c>
      <c r="D122" s="21">
        <f t="shared" si="9"/>
        <v>35487258.778199933</v>
      </c>
      <c r="E122" s="48">
        <f t="shared" si="10"/>
        <v>0.74094899791931101</v>
      </c>
    </row>
    <row r="123" spans="1:5">
      <c r="A123">
        <f t="shared" si="13"/>
        <v>27.75</v>
      </c>
      <c r="B123" s="21">
        <f t="shared" si="11"/>
        <v>109367502139.92477</v>
      </c>
      <c r="C123" s="21">
        <f t="shared" si="8"/>
        <v>1071801520.9712628</v>
      </c>
      <c r="D123" s="21">
        <f t="shared" si="9"/>
        <v>35487257.669298016</v>
      </c>
      <c r="E123" s="48">
        <f t="shared" si="10"/>
        <v>0.73858323766415912</v>
      </c>
    </row>
    <row r="124" spans="1:5">
      <c r="A124">
        <f t="shared" si="13"/>
        <v>28</v>
      </c>
      <c r="B124" s="21">
        <f t="shared" si="11"/>
        <v>109296529333.37912</v>
      </c>
      <c r="C124" s="21">
        <f t="shared" si="8"/>
        <v>1071105987.4671155</v>
      </c>
      <c r="D124" s="21">
        <f t="shared" si="9"/>
        <v>35487256.560396113</v>
      </c>
      <c r="E124" s="48">
        <f t="shared" si="10"/>
        <v>0.73621747744597066</v>
      </c>
    </row>
    <row r="125" spans="1:5">
      <c r="A125">
        <f t="shared" si="13"/>
        <v>28.25</v>
      </c>
      <c r="B125" s="21">
        <f t="shared" si="11"/>
        <v>109225556527.94237</v>
      </c>
      <c r="C125" s="21">
        <f t="shared" si="8"/>
        <v>1070410453.9738353</v>
      </c>
      <c r="D125" s="21">
        <f t="shared" si="9"/>
        <v>35487255.451494232</v>
      </c>
      <c r="E125" s="48">
        <f t="shared" si="10"/>
        <v>0.73385171726474563</v>
      </c>
    </row>
    <row r="126" spans="1:5">
      <c r="A126">
        <f t="shared" si="13"/>
        <v>28.5</v>
      </c>
      <c r="B126" s="21">
        <f t="shared" si="11"/>
        <v>109154583723.61452</v>
      </c>
      <c r="C126" s="21">
        <f t="shared" si="8"/>
        <v>1069714920.4914224</v>
      </c>
      <c r="D126" s="21">
        <f t="shared" si="9"/>
        <v>35487254.342592366</v>
      </c>
      <c r="E126" s="48">
        <f t="shared" si="10"/>
        <v>0.73148595712048392</v>
      </c>
    </row>
    <row r="127" spans="1:5">
      <c r="A127">
        <f t="shared" si="13"/>
        <v>28.75</v>
      </c>
      <c r="B127" s="21">
        <f t="shared" si="11"/>
        <v>109083610920.39557</v>
      </c>
      <c r="C127" s="21">
        <f t="shared" si="8"/>
        <v>1069019387.0198767</v>
      </c>
      <c r="D127" s="21">
        <f t="shared" si="9"/>
        <v>35487253.233690523</v>
      </c>
      <c r="E127" s="48">
        <f t="shared" si="10"/>
        <v>0.72912019701318564</v>
      </c>
    </row>
    <row r="128" spans="1:5">
      <c r="A128">
        <f t="shared" si="13"/>
        <v>29</v>
      </c>
      <c r="B128" s="21">
        <f t="shared" si="11"/>
        <v>109012638118.28552</v>
      </c>
      <c r="C128" s="21">
        <f t="shared" si="8"/>
        <v>1068323853.5591983</v>
      </c>
      <c r="D128" s="21">
        <f t="shared" si="9"/>
        <v>35487252.124788694</v>
      </c>
      <c r="E128" s="48">
        <f t="shared" si="10"/>
        <v>0.72675443694285069</v>
      </c>
    </row>
    <row r="129" spans="1:5">
      <c r="A129">
        <f t="shared" si="13"/>
        <v>29.25</v>
      </c>
      <c r="B129" s="21">
        <f t="shared" si="11"/>
        <v>108941665317.28438</v>
      </c>
      <c r="C129" s="21">
        <f t="shared" si="8"/>
        <v>1067628320.1093869</v>
      </c>
      <c r="D129" s="21">
        <f t="shared" si="9"/>
        <v>35487251.01588688</v>
      </c>
      <c r="E129" s="48">
        <f t="shared" si="10"/>
        <v>0.72438867690947928</v>
      </c>
    </row>
    <row r="130" spans="1:5">
      <c r="A130">
        <f t="shared" si="13"/>
        <v>29.5</v>
      </c>
      <c r="B130" s="21">
        <f t="shared" si="11"/>
        <v>108870692517.39214</v>
      </c>
      <c r="C130" s="21">
        <f t="shared" si="8"/>
        <v>1066932786.6704429</v>
      </c>
      <c r="D130" s="21">
        <f t="shared" si="9"/>
        <v>35487249.906985082</v>
      </c>
      <c r="E130" s="48">
        <f t="shared" si="10"/>
        <v>0.72202291691307119</v>
      </c>
    </row>
    <row r="131" spans="1:5">
      <c r="A131">
        <f t="shared" ref="A131:A146" si="14">A130+0.25</f>
        <v>29.75</v>
      </c>
      <c r="B131" s="21">
        <f t="shared" si="11"/>
        <v>108799719718.6088</v>
      </c>
      <c r="C131" s="21">
        <f t="shared" si="8"/>
        <v>1066237253.2423662</v>
      </c>
      <c r="D131" s="21">
        <f t="shared" si="9"/>
        <v>35487248.798083305</v>
      </c>
      <c r="E131" s="48">
        <f t="shared" si="10"/>
        <v>0.71965715695362653</v>
      </c>
    </row>
    <row r="132" spans="1:5">
      <c r="A132">
        <f t="shared" si="14"/>
        <v>30</v>
      </c>
      <c r="B132" s="21">
        <f t="shared" si="11"/>
        <v>108728746920.93436</v>
      </c>
      <c r="C132" s="21">
        <f t="shared" si="8"/>
        <v>1065541719.8251567</v>
      </c>
      <c r="D132" s="21">
        <f t="shared" si="9"/>
        <v>35487247.689181544</v>
      </c>
      <c r="E132" s="48">
        <f t="shared" si="10"/>
        <v>0.71729139703114519</v>
      </c>
    </row>
    <row r="133" spans="1:5">
      <c r="A133">
        <f t="shared" si="14"/>
        <v>30.25</v>
      </c>
      <c r="B133" s="21">
        <f t="shared" si="11"/>
        <v>108657774124.36882</v>
      </c>
      <c r="C133" s="21">
        <f t="shared" si="8"/>
        <v>1064846186.4188145</v>
      </c>
      <c r="D133" s="21">
        <f t="shared" si="9"/>
        <v>35487246.580279797</v>
      </c>
      <c r="E133" s="48">
        <f t="shared" si="10"/>
        <v>0.7149256371456274</v>
      </c>
    </row>
    <row r="134" spans="1:5">
      <c r="A134">
        <f t="shared" si="14"/>
        <v>30.5</v>
      </c>
      <c r="B134" s="21">
        <f t="shared" si="11"/>
        <v>108586801328.91219</v>
      </c>
      <c r="C134" s="21">
        <f t="shared" si="8"/>
        <v>1064150653.0233395</v>
      </c>
      <c r="D134" s="21">
        <f t="shared" si="9"/>
        <v>35487245.471378073</v>
      </c>
      <c r="E134" s="48">
        <f t="shared" si="10"/>
        <v>0.71255987729707293</v>
      </c>
    </row>
    <row r="135" spans="1:5">
      <c r="A135">
        <f t="shared" si="14"/>
        <v>30.75</v>
      </c>
      <c r="B135" s="21">
        <f t="shared" si="11"/>
        <v>108515828534.56445</v>
      </c>
      <c r="C135" s="21">
        <f t="shared" si="8"/>
        <v>1063455119.6387317</v>
      </c>
      <c r="D135" s="21">
        <f t="shared" si="9"/>
        <v>35487244.362476364</v>
      </c>
      <c r="E135" s="48">
        <f t="shared" si="10"/>
        <v>0.71019411748548178</v>
      </c>
    </row>
    <row r="136" spans="1:5">
      <c r="A136">
        <f t="shared" si="14"/>
        <v>31</v>
      </c>
      <c r="B136" s="21">
        <f t="shared" si="11"/>
        <v>108444855741.32562</v>
      </c>
      <c r="C136" s="21">
        <f t="shared" si="8"/>
        <v>1062759586.2649912</v>
      </c>
      <c r="D136" s="21">
        <f t="shared" si="9"/>
        <v>35487243.253574669</v>
      </c>
      <c r="E136" s="48">
        <f t="shared" si="10"/>
        <v>0.70782835771085406</v>
      </c>
    </row>
    <row r="137" spans="1:5">
      <c r="A137">
        <f t="shared" si="14"/>
        <v>31.25</v>
      </c>
      <c r="B137" s="21">
        <f t="shared" si="11"/>
        <v>108373882949.19569</v>
      </c>
      <c r="C137" s="21">
        <f t="shared" si="8"/>
        <v>1062064052.902118</v>
      </c>
      <c r="D137" s="21">
        <f t="shared" si="9"/>
        <v>35487242.144672997</v>
      </c>
      <c r="E137" s="48">
        <f t="shared" si="10"/>
        <v>0.70546259797318978</v>
      </c>
    </row>
    <row r="138" spans="1:5">
      <c r="A138">
        <f t="shared" si="14"/>
        <v>31.5</v>
      </c>
      <c r="B138" s="21">
        <f t="shared" si="11"/>
        <v>108302910158.17467</v>
      </c>
      <c r="C138" s="21">
        <f t="shared" si="8"/>
        <v>1061368519.5501118</v>
      </c>
      <c r="D138" s="21">
        <f t="shared" si="9"/>
        <v>35487241.03577134</v>
      </c>
      <c r="E138" s="48">
        <f t="shared" si="10"/>
        <v>0.70309683827248892</v>
      </c>
    </row>
    <row r="139" spans="1:5">
      <c r="A139">
        <f t="shared" si="14"/>
        <v>31.75</v>
      </c>
      <c r="B139" s="21">
        <f t="shared" si="11"/>
        <v>108231937368.26254</v>
      </c>
      <c r="C139" s="21">
        <f t="shared" si="8"/>
        <v>1060672986.2089731</v>
      </c>
      <c r="D139" s="21">
        <f t="shared" si="9"/>
        <v>35487239.926869705</v>
      </c>
      <c r="E139" s="48">
        <f t="shared" si="10"/>
        <v>0.7007310786087515</v>
      </c>
    </row>
    <row r="140" spans="1:5">
      <c r="A140">
        <f t="shared" si="14"/>
        <v>32</v>
      </c>
      <c r="B140" s="21">
        <f t="shared" si="11"/>
        <v>108160964579.45932</v>
      </c>
      <c r="C140" s="21">
        <f t="shared" si="8"/>
        <v>1059977452.8787014</v>
      </c>
      <c r="D140" s="21">
        <f t="shared" si="9"/>
        <v>35487238.817968078</v>
      </c>
      <c r="E140" s="48">
        <f t="shared" si="10"/>
        <v>0.6983653189819774</v>
      </c>
    </row>
    <row r="141" spans="1:5">
      <c r="A141">
        <f t="shared" si="14"/>
        <v>32.25</v>
      </c>
      <c r="B141" s="21">
        <f t="shared" si="11"/>
        <v>108089991791.765</v>
      </c>
      <c r="C141" s="21">
        <f t="shared" ref="C141:C204" si="15">IF(B141&gt;$D$2,B141*$D$4/1000,0)</f>
        <v>1059281919.5592971</v>
      </c>
      <c r="D141" s="21">
        <f t="shared" ref="D141:D204" si="16">C141*$D$6*$D$5+$D$8</f>
        <v>35487237.709066473</v>
      </c>
      <c r="E141" s="48">
        <f t="shared" ref="E141:E204" si="17">1-(($B$12-B141)/$D$3)</f>
        <v>0.69599955939216662</v>
      </c>
    </row>
    <row r="142" spans="1:5">
      <c r="A142">
        <f t="shared" si="14"/>
        <v>32.5</v>
      </c>
      <c r="B142" s="21">
        <f t="shared" ref="B142:B205" si="18">B141-D141-$D$8</f>
        <v>108019019005.17958</v>
      </c>
      <c r="C142" s="21">
        <f t="shared" si="15"/>
        <v>1058586386.25076</v>
      </c>
      <c r="D142" s="21">
        <f t="shared" si="16"/>
        <v>35487236.60016489</v>
      </c>
      <c r="E142" s="48">
        <f t="shared" si="17"/>
        <v>0.69363379983931939</v>
      </c>
    </row>
    <row r="143" spans="1:5">
      <c r="A143">
        <f t="shared" si="14"/>
        <v>32.75</v>
      </c>
      <c r="B143" s="21">
        <f t="shared" si="18"/>
        <v>107948046219.70306</v>
      </c>
      <c r="C143" s="21">
        <f t="shared" si="15"/>
        <v>1057890852.9530901</v>
      </c>
      <c r="D143" s="21">
        <f t="shared" si="16"/>
        <v>35487235.491263315</v>
      </c>
      <c r="E143" s="48">
        <f t="shared" si="17"/>
        <v>0.69126804032343547</v>
      </c>
    </row>
    <row r="144" spans="1:5">
      <c r="A144">
        <f t="shared" si="14"/>
        <v>33</v>
      </c>
      <c r="B144" s="21">
        <f t="shared" si="18"/>
        <v>107877073435.33545</v>
      </c>
      <c r="C144" s="21">
        <f t="shared" si="15"/>
        <v>1057195319.6662874</v>
      </c>
      <c r="D144" s="21">
        <f t="shared" si="16"/>
        <v>35487234.382361762</v>
      </c>
      <c r="E144" s="48">
        <f t="shared" si="17"/>
        <v>0.68890228084451499</v>
      </c>
    </row>
    <row r="145" spans="1:5">
      <c r="A145">
        <f t="shared" si="14"/>
        <v>33.25</v>
      </c>
      <c r="B145" s="21">
        <f t="shared" si="18"/>
        <v>107806100652.07674</v>
      </c>
      <c r="C145" s="21">
        <f t="shared" si="15"/>
        <v>1056499786.390352</v>
      </c>
      <c r="D145" s="21">
        <f t="shared" si="16"/>
        <v>35487233.273460224</v>
      </c>
      <c r="E145" s="48">
        <f t="shared" si="17"/>
        <v>0.68653652140255783</v>
      </c>
    </row>
    <row r="146" spans="1:5">
      <c r="A146">
        <f t="shared" si="14"/>
        <v>33.5</v>
      </c>
      <c r="B146" s="21">
        <f t="shared" si="18"/>
        <v>107735127869.92693</v>
      </c>
      <c r="C146" s="21">
        <f t="shared" si="15"/>
        <v>1055804253.125284</v>
      </c>
      <c r="D146" s="21">
        <f t="shared" si="16"/>
        <v>35487232.164558709</v>
      </c>
      <c r="E146" s="48">
        <f t="shared" si="17"/>
        <v>0.68417076199756421</v>
      </c>
    </row>
    <row r="147" spans="1:5">
      <c r="A147">
        <f t="shared" ref="A147:A164" si="19">A146+0.25</f>
        <v>33.75</v>
      </c>
      <c r="B147" s="21">
        <f t="shared" si="18"/>
        <v>107664155088.886</v>
      </c>
      <c r="C147" s="21">
        <f t="shared" si="15"/>
        <v>1055108719.8710829</v>
      </c>
      <c r="D147" s="21">
        <f t="shared" si="16"/>
        <v>35487231.055657208</v>
      </c>
      <c r="E147" s="48">
        <f t="shared" si="17"/>
        <v>0.68180500262953336</v>
      </c>
    </row>
    <row r="148" spans="1:5">
      <c r="A148">
        <f t="shared" si="19"/>
        <v>34</v>
      </c>
      <c r="B148" s="21">
        <f t="shared" si="18"/>
        <v>107593182308.95398</v>
      </c>
      <c r="C148" s="21">
        <f t="shared" si="15"/>
        <v>1054413186.627749</v>
      </c>
      <c r="D148" s="21">
        <f t="shared" si="16"/>
        <v>35487229.946755722</v>
      </c>
      <c r="E148" s="48">
        <f t="shared" si="17"/>
        <v>0.67943924329846594</v>
      </c>
    </row>
    <row r="149" spans="1:5">
      <c r="A149">
        <f t="shared" si="19"/>
        <v>34.25</v>
      </c>
      <c r="B149" s="21">
        <f t="shared" si="18"/>
        <v>107522209530.13086</v>
      </c>
      <c r="C149" s="21">
        <f t="shared" si="15"/>
        <v>1053717653.3952825</v>
      </c>
      <c r="D149" s="21">
        <f t="shared" si="16"/>
        <v>35487228.837854259</v>
      </c>
      <c r="E149" s="48">
        <f t="shared" si="17"/>
        <v>0.67707348400436196</v>
      </c>
    </row>
    <row r="150" spans="1:5">
      <c r="A150">
        <f t="shared" si="19"/>
        <v>34.5</v>
      </c>
      <c r="B150" s="21">
        <f t="shared" si="18"/>
        <v>107451236752.41664</v>
      </c>
      <c r="C150" s="21">
        <f t="shared" si="15"/>
        <v>1053022120.173683</v>
      </c>
      <c r="D150" s="21">
        <f t="shared" si="16"/>
        <v>35487227.72895281</v>
      </c>
      <c r="E150" s="48">
        <f t="shared" si="17"/>
        <v>0.67470772474722129</v>
      </c>
    </row>
    <row r="151" spans="1:5">
      <c r="A151">
        <f t="shared" si="19"/>
        <v>34.75</v>
      </c>
      <c r="B151" s="21">
        <f t="shared" si="18"/>
        <v>107380263975.81133</v>
      </c>
      <c r="C151" s="21">
        <f t="shared" si="15"/>
        <v>1052326586.9629511</v>
      </c>
      <c r="D151" s="21">
        <f t="shared" si="16"/>
        <v>35487226.620051377</v>
      </c>
      <c r="E151" s="48">
        <f t="shared" si="17"/>
        <v>0.67234196552704417</v>
      </c>
    </row>
    <row r="152" spans="1:5">
      <c r="A152">
        <f t="shared" si="19"/>
        <v>35</v>
      </c>
      <c r="B152" s="21">
        <f t="shared" si="18"/>
        <v>107309291200.31491</v>
      </c>
      <c r="C152" s="21">
        <f t="shared" si="15"/>
        <v>1051631053.7630862</v>
      </c>
      <c r="D152" s="21">
        <f t="shared" si="16"/>
        <v>35487225.511149965</v>
      </c>
      <c r="E152" s="48">
        <f t="shared" si="17"/>
        <v>0.66997620634383037</v>
      </c>
    </row>
    <row r="153" spans="1:5">
      <c r="A153">
        <f t="shared" si="19"/>
        <v>35.25</v>
      </c>
      <c r="B153" s="21">
        <f t="shared" si="18"/>
        <v>107238318425.9274</v>
      </c>
      <c r="C153" s="21">
        <f t="shared" si="15"/>
        <v>1050935520.5740886</v>
      </c>
      <c r="D153" s="21">
        <f t="shared" si="16"/>
        <v>35487224.402248569</v>
      </c>
      <c r="E153" s="48">
        <f t="shared" si="17"/>
        <v>0.66761044719757989</v>
      </c>
    </row>
    <row r="154" spans="1:5">
      <c r="A154">
        <f t="shared" si="19"/>
        <v>35.5</v>
      </c>
      <c r="B154" s="21">
        <f t="shared" si="18"/>
        <v>107167345652.64879</v>
      </c>
      <c r="C154" s="21">
        <f t="shared" si="15"/>
        <v>1050239987.3959583</v>
      </c>
      <c r="D154" s="21">
        <f t="shared" si="16"/>
        <v>35487223.293347187</v>
      </c>
      <c r="E154" s="48">
        <f t="shared" si="17"/>
        <v>0.66524468808829296</v>
      </c>
    </row>
    <row r="155" spans="1:5">
      <c r="A155">
        <f t="shared" si="19"/>
        <v>35.75</v>
      </c>
      <c r="B155" s="21">
        <f t="shared" si="18"/>
        <v>107096372880.47908</v>
      </c>
      <c r="C155" s="21">
        <f t="shared" si="15"/>
        <v>1049544454.228695</v>
      </c>
      <c r="D155" s="21">
        <f t="shared" si="16"/>
        <v>35487222.184445821</v>
      </c>
      <c r="E155" s="48">
        <f t="shared" si="17"/>
        <v>0.66287892901596934</v>
      </c>
    </row>
    <row r="156" spans="1:5">
      <c r="A156">
        <f t="shared" si="19"/>
        <v>36</v>
      </c>
      <c r="B156" s="21">
        <f t="shared" si="18"/>
        <v>107025400109.41827</v>
      </c>
      <c r="C156" s="21">
        <f t="shared" si="15"/>
        <v>1048848921.0722992</v>
      </c>
      <c r="D156" s="21">
        <f t="shared" si="16"/>
        <v>35487221.075544477</v>
      </c>
      <c r="E156" s="48">
        <f t="shared" si="17"/>
        <v>0.66051316998060905</v>
      </c>
    </row>
    <row r="157" spans="1:5">
      <c r="A157">
        <f t="shared" si="19"/>
        <v>36.25</v>
      </c>
      <c r="B157" s="21">
        <f t="shared" si="18"/>
        <v>106954427339.46637</v>
      </c>
      <c r="C157" s="21">
        <f t="shared" si="15"/>
        <v>1048153387.9267704</v>
      </c>
      <c r="D157" s="21">
        <f t="shared" si="16"/>
        <v>35487219.966643155</v>
      </c>
      <c r="E157" s="48">
        <f t="shared" si="17"/>
        <v>0.6581474109822123</v>
      </c>
    </row>
    <row r="158" spans="1:5">
      <c r="A158">
        <f t="shared" si="19"/>
        <v>36.5</v>
      </c>
      <c r="B158" s="21">
        <f t="shared" si="18"/>
        <v>106883454570.62337</v>
      </c>
      <c r="C158" s="21">
        <f t="shared" si="15"/>
        <v>1047457854.7921091</v>
      </c>
      <c r="D158" s="21">
        <f t="shared" si="16"/>
        <v>35487218.85774184</v>
      </c>
      <c r="E158" s="48">
        <f t="shared" si="17"/>
        <v>0.65578165202077887</v>
      </c>
    </row>
    <row r="159" spans="1:5">
      <c r="A159">
        <f t="shared" si="19"/>
        <v>36.75</v>
      </c>
      <c r="B159" s="21">
        <f t="shared" si="18"/>
        <v>106812481802.88927</v>
      </c>
      <c r="C159" s="21">
        <f t="shared" si="15"/>
        <v>1046762321.6683149</v>
      </c>
      <c r="D159" s="21">
        <f t="shared" si="16"/>
        <v>35487217.748840548</v>
      </c>
      <c r="E159" s="48">
        <f t="shared" si="17"/>
        <v>0.65341589309630888</v>
      </c>
    </row>
    <row r="160" spans="1:5">
      <c r="A160">
        <f t="shared" si="19"/>
        <v>37</v>
      </c>
      <c r="B160" s="21">
        <f t="shared" si="18"/>
        <v>106741509036.26407</v>
      </c>
      <c r="C160" s="21">
        <f t="shared" si="15"/>
        <v>1046066788.555388</v>
      </c>
      <c r="D160" s="21">
        <f t="shared" si="16"/>
        <v>35487216.639939271</v>
      </c>
      <c r="E160" s="48">
        <f t="shared" si="17"/>
        <v>0.65105013420880231</v>
      </c>
    </row>
    <row r="161" spans="1:5">
      <c r="A161">
        <f t="shared" si="19"/>
        <v>37.25</v>
      </c>
      <c r="B161" s="21">
        <f t="shared" si="18"/>
        <v>106670536270.74777</v>
      </c>
      <c r="C161" s="21">
        <f t="shared" si="15"/>
        <v>1045371255.4533283</v>
      </c>
      <c r="D161" s="21">
        <f t="shared" si="16"/>
        <v>35487215.531038016</v>
      </c>
      <c r="E161" s="48">
        <f t="shared" si="17"/>
        <v>0.64868437535825907</v>
      </c>
    </row>
    <row r="162" spans="1:5">
      <c r="A162">
        <f t="shared" si="19"/>
        <v>37.5</v>
      </c>
      <c r="B162" s="21">
        <f t="shared" si="18"/>
        <v>106599563506.34038</v>
      </c>
      <c r="C162" s="21">
        <f t="shared" si="15"/>
        <v>1044675722.3621358</v>
      </c>
      <c r="D162" s="21">
        <f t="shared" si="16"/>
        <v>35487214.422136769</v>
      </c>
      <c r="E162" s="48">
        <f t="shared" si="17"/>
        <v>0.64631861654467926</v>
      </c>
    </row>
    <row r="163" spans="1:5">
      <c r="A163">
        <f t="shared" si="19"/>
        <v>37.75</v>
      </c>
      <c r="B163" s="21">
        <f t="shared" si="18"/>
        <v>106528590743.04189</v>
      </c>
      <c r="C163" s="21">
        <f t="shared" si="15"/>
        <v>1043980189.2818105</v>
      </c>
      <c r="D163" s="21">
        <f t="shared" si="16"/>
        <v>35487213.313235551</v>
      </c>
      <c r="E163" s="48">
        <f t="shared" si="17"/>
        <v>0.64395285776806288</v>
      </c>
    </row>
    <row r="164" spans="1:5">
      <c r="A164">
        <f t="shared" si="19"/>
        <v>38</v>
      </c>
      <c r="B164" s="21">
        <f t="shared" si="18"/>
        <v>106457617980.85229</v>
      </c>
      <c r="C164" s="21">
        <f t="shared" si="15"/>
        <v>1043284656.2123525</v>
      </c>
      <c r="D164" s="21">
        <f t="shared" si="16"/>
        <v>35487212.204334341</v>
      </c>
      <c r="E164" s="48">
        <f t="shared" si="17"/>
        <v>0.64158709902840982</v>
      </c>
    </row>
    <row r="165" spans="1:5">
      <c r="A165">
        <f t="shared" ref="A165:A184" si="20">A164+0.25</f>
        <v>38.25</v>
      </c>
      <c r="B165" s="21">
        <f t="shared" si="18"/>
        <v>106386645219.77161</v>
      </c>
      <c r="C165" s="21">
        <f t="shared" si="15"/>
        <v>1042589123.1537619</v>
      </c>
      <c r="D165" s="21">
        <f t="shared" si="16"/>
        <v>35487211.095433153</v>
      </c>
      <c r="E165" s="48">
        <f t="shared" si="17"/>
        <v>0.6392213403257202</v>
      </c>
    </row>
    <row r="166" spans="1:5">
      <c r="A166">
        <f t="shared" si="20"/>
        <v>38.5</v>
      </c>
      <c r="B166" s="21">
        <f t="shared" si="18"/>
        <v>106315672459.79982</v>
      </c>
      <c r="C166" s="21">
        <f t="shared" si="15"/>
        <v>1041893590.1060383</v>
      </c>
      <c r="D166" s="21">
        <f t="shared" si="16"/>
        <v>35487209.98653198</v>
      </c>
      <c r="E166" s="48">
        <f t="shared" si="17"/>
        <v>0.63685558165999401</v>
      </c>
    </row>
    <row r="167" spans="1:5">
      <c r="A167">
        <f t="shared" si="20"/>
        <v>38.75</v>
      </c>
      <c r="B167" s="21">
        <f t="shared" si="18"/>
        <v>106244699700.93694</v>
      </c>
      <c r="C167" s="21">
        <f t="shared" si="15"/>
        <v>1041198057.069182</v>
      </c>
      <c r="D167" s="21">
        <f t="shared" si="16"/>
        <v>35487208.87763083</v>
      </c>
      <c r="E167" s="48">
        <f t="shared" si="17"/>
        <v>0.63448982303123125</v>
      </c>
    </row>
    <row r="168" spans="1:5">
      <c r="A168">
        <f t="shared" si="20"/>
        <v>39</v>
      </c>
      <c r="B168" s="21">
        <f t="shared" si="18"/>
        <v>106173726943.18295</v>
      </c>
      <c r="C168" s="21">
        <f t="shared" si="15"/>
        <v>1040502524.043193</v>
      </c>
      <c r="D168" s="21">
        <f t="shared" si="16"/>
        <v>35487207.768729687</v>
      </c>
      <c r="E168" s="48">
        <f t="shared" si="17"/>
        <v>0.6321240644394317</v>
      </c>
    </row>
    <row r="169" spans="1:5">
      <c r="A169">
        <f t="shared" si="20"/>
        <v>39.25</v>
      </c>
      <c r="B169" s="21">
        <f t="shared" si="18"/>
        <v>106102754186.53787</v>
      </c>
      <c r="C169" s="21">
        <f t="shared" si="15"/>
        <v>1039806991.0280712</v>
      </c>
      <c r="D169" s="21">
        <f t="shared" si="16"/>
        <v>35487206.659828566</v>
      </c>
      <c r="E169" s="48">
        <f t="shared" si="17"/>
        <v>0.62975830588459569</v>
      </c>
    </row>
    <row r="170" spans="1:5">
      <c r="A170">
        <f t="shared" si="20"/>
        <v>39.5</v>
      </c>
      <c r="B170" s="21">
        <f t="shared" si="18"/>
        <v>106031781431.00168</v>
      </c>
      <c r="C170" s="21">
        <f t="shared" si="15"/>
        <v>1039111458.0238166</v>
      </c>
      <c r="D170" s="21">
        <f t="shared" si="16"/>
        <v>35487205.550927468</v>
      </c>
      <c r="E170" s="48">
        <f t="shared" si="17"/>
        <v>0.62739254736672256</v>
      </c>
    </row>
    <row r="171" spans="1:5">
      <c r="A171">
        <f t="shared" si="20"/>
        <v>39.75</v>
      </c>
      <c r="B171" s="21">
        <f t="shared" si="18"/>
        <v>105960808676.57439</v>
      </c>
      <c r="C171" s="21">
        <f t="shared" si="15"/>
        <v>1038415925.0304291</v>
      </c>
      <c r="D171" s="21">
        <f t="shared" si="16"/>
        <v>35487204.442026384</v>
      </c>
      <c r="E171" s="48">
        <f t="shared" si="17"/>
        <v>0.62502678888581287</v>
      </c>
    </row>
    <row r="172" spans="1:5">
      <c r="A172">
        <f t="shared" si="20"/>
        <v>40</v>
      </c>
      <c r="B172" s="21">
        <f t="shared" si="18"/>
        <v>105889835923.256</v>
      </c>
      <c r="C172" s="21">
        <f t="shared" si="15"/>
        <v>1037720392.0479088</v>
      </c>
      <c r="D172" s="21">
        <f t="shared" si="16"/>
        <v>35487203.333125316</v>
      </c>
      <c r="E172" s="48">
        <f t="shared" si="17"/>
        <v>0.62266103044186649</v>
      </c>
    </row>
    <row r="173" spans="1:5">
      <c r="A173">
        <f t="shared" si="20"/>
        <v>40.25</v>
      </c>
      <c r="B173" s="21">
        <f t="shared" si="18"/>
        <v>105818863171.04651</v>
      </c>
      <c r="C173" s="21">
        <f t="shared" si="15"/>
        <v>1037024859.0762559</v>
      </c>
      <c r="D173" s="21">
        <f t="shared" si="16"/>
        <v>35487202.224224262</v>
      </c>
      <c r="E173" s="48">
        <f t="shared" si="17"/>
        <v>0.62029527203488355</v>
      </c>
    </row>
    <row r="174" spans="1:5">
      <c r="A174">
        <f t="shared" si="20"/>
        <v>40.5</v>
      </c>
      <c r="B174" s="21">
        <f t="shared" si="18"/>
        <v>105747890419.94592</v>
      </c>
      <c r="C174" s="21">
        <f t="shared" si="15"/>
        <v>1036329326.1154701</v>
      </c>
      <c r="D174" s="21">
        <f t="shared" si="16"/>
        <v>35487201.115323231</v>
      </c>
      <c r="E174" s="48">
        <f t="shared" si="17"/>
        <v>0.61792951366486415</v>
      </c>
    </row>
    <row r="175" spans="1:5">
      <c r="A175">
        <f t="shared" si="20"/>
        <v>40.75</v>
      </c>
      <c r="B175" s="21">
        <f t="shared" si="18"/>
        <v>105676917669.95424</v>
      </c>
      <c r="C175" s="21">
        <f t="shared" si="15"/>
        <v>1035633793.1655517</v>
      </c>
      <c r="D175" s="21">
        <f t="shared" si="16"/>
        <v>35487200.006422214</v>
      </c>
      <c r="E175" s="48">
        <f t="shared" si="17"/>
        <v>0.61556375533180796</v>
      </c>
    </row>
    <row r="176" spans="1:5">
      <c r="A176">
        <f t="shared" si="20"/>
        <v>41</v>
      </c>
      <c r="B176" s="21">
        <f t="shared" si="18"/>
        <v>105605944921.07146</v>
      </c>
      <c r="C176" s="21">
        <f t="shared" si="15"/>
        <v>1034938260.2265004</v>
      </c>
      <c r="D176" s="21">
        <f t="shared" si="16"/>
        <v>35487198.897521213</v>
      </c>
      <c r="E176" s="48">
        <f t="shared" si="17"/>
        <v>0.6131979970357152</v>
      </c>
    </row>
    <row r="177" spans="1:5">
      <c r="A177">
        <f t="shared" si="20"/>
        <v>41.25</v>
      </c>
      <c r="B177" s="21">
        <f t="shared" si="18"/>
        <v>105534972173.29758</v>
      </c>
      <c r="C177" s="21">
        <f t="shared" si="15"/>
        <v>1034242727.2983162</v>
      </c>
      <c r="D177" s="21">
        <f t="shared" si="16"/>
        <v>35487197.788620234</v>
      </c>
      <c r="E177" s="48">
        <f t="shared" si="17"/>
        <v>0.61083223877658588</v>
      </c>
    </row>
    <row r="178" spans="1:5">
      <c r="A178">
        <f t="shared" si="20"/>
        <v>41.5</v>
      </c>
      <c r="B178" s="21">
        <f t="shared" si="18"/>
        <v>105463999426.6326</v>
      </c>
      <c r="C178" s="21">
        <f t="shared" si="15"/>
        <v>1033547194.3809996</v>
      </c>
      <c r="D178" s="21">
        <f t="shared" si="16"/>
        <v>35487196.679719269</v>
      </c>
      <c r="E178" s="48">
        <f t="shared" si="17"/>
        <v>0.60846648055441999</v>
      </c>
    </row>
    <row r="179" spans="1:5">
      <c r="A179">
        <f t="shared" si="20"/>
        <v>41.75</v>
      </c>
      <c r="B179" s="21">
        <f t="shared" si="18"/>
        <v>105393026681.07652</v>
      </c>
      <c r="C179" s="21">
        <f t="shared" si="15"/>
        <v>1032851661.47455</v>
      </c>
      <c r="D179" s="21">
        <f t="shared" si="16"/>
        <v>35487195.57081832</v>
      </c>
      <c r="E179" s="48">
        <f t="shared" si="17"/>
        <v>0.60610072236921742</v>
      </c>
    </row>
    <row r="180" spans="1:5">
      <c r="A180">
        <f t="shared" si="20"/>
        <v>42</v>
      </c>
      <c r="B180" s="21">
        <f t="shared" si="18"/>
        <v>105322053936.62935</v>
      </c>
      <c r="C180" s="21">
        <f t="shared" si="15"/>
        <v>1032156128.5789677</v>
      </c>
      <c r="D180" s="21">
        <f t="shared" si="16"/>
        <v>35487194.461917393</v>
      </c>
      <c r="E180" s="48">
        <f t="shared" si="17"/>
        <v>0.60373496422097828</v>
      </c>
    </row>
    <row r="181" spans="1:5">
      <c r="A181">
        <f t="shared" si="20"/>
        <v>42.25</v>
      </c>
      <c r="B181" s="21">
        <f t="shared" si="18"/>
        <v>105251081193.29108</v>
      </c>
      <c r="C181" s="21">
        <f t="shared" si="15"/>
        <v>1031460595.6942527</v>
      </c>
      <c r="D181" s="21">
        <f t="shared" si="16"/>
        <v>35487193.353016481</v>
      </c>
      <c r="E181" s="48">
        <f t="shared" si="17"/>
        <v>0.60136920610970257</v>
      </c>
    </row>
    <row r="182" spans="1:5">
      <c r="A182">
        <f t="shared" si="20"/>
        <v>42.5</v>
      </c>
      <c r="B182" s="21">
        <f t="shared" si="18"/>
        <v>105180108451.06171</v>
      </c>
      <c r="C182" s="21">
        <f t="shared" si="15"/>
        <v>1030765062.8204048</v>
      </c>
      <c r="D182" s="21">
        <f t="shared" si="16"/>
        <v>35487192.244115591</v>
      </c>
      <c r="E182" s="48">
        <f t="shared" si="17"/>
        <v>0.5990034480353903</v>
      </c>
    </row>
    <row r="183" spans="1:5">
      <c r="A183">
        <f t="shared" si="20"/>
        <v>42.75</v>
      </c>
      <c r="B183" s="21">
        <f t="shared" si="18"/>
        <v>105109135709.94124</v>
      </c>
      <c r="C183" s="21">
        <f t="shared" si="15"/>
        <v>1030069529.9574242</v>
      </c>
      <c r="D183" s="21">
        <f t="shared" si="16"/>
        <v>35487191.135214709</v>
      </c>
      <c r="E183" s="48">
        <f t="shared" si="17"/>
        <v>0.59663768999804123</v>
      </c>
    </row>
    <row r="184" spans="1:5">
      <c r="A184">
        <f t="shared" si="20"/>
        <v>43</v>
      </c>
      <c r="B184" s="21">
        <f t="shared" si="18"/>
        <v>105038162969.92967</v>
      </c>
      <c r="C184" s="21">
        <f t="shared" si="15"/>
        <v>1029373997.1053109</v>
      </c>
      <c r="D184" s="21">
        <f t="shared" si="16"/>
        <v>35487190.026313849</v>
      </c>
      <c r="E184" s="48">
        <f t="shared" si="17"/>
        <v>0.59427193199765571</v>
      </c>
    </row>
    <row r="185" spans="1:5">
      <c r="A185">
        <f t="shared" ref="A185:A193" si="21">A184+0.25</f>
        <v>43.25</v>
      </c>
      <c r="B185" s="21">
        <f t="shared" si="18"/>
        <v>104967190231.02699</v>
      </c>
      <c r="C185" s="21">
        <f t="shared" si="15"/>
        <v>1028678464.2640646</v>
      </c>
      <c r="D185" s="21">
        <f t="shared" si="16"/>
        <v>35487188.917413011</v>
      </c>
      <c r="E185" s="48">
        <f t="shared" si="17"/>
        <v>0.59190617403423307</v>
      </c>
    </row>
    <row r="186" spans="1:5">
      <c r="A186">
        <f t="shared" si="21"/>
        <v>43.5</v>
      </c>
      <c r="B186" s="21">
        <f t="shared" si="18"/>
        <v>104896217493.23322</v>
      </c>
      <c r="C186" s="21">
        <f t="shared" si="15"/>
        <v>1027982931.4336855</v>
      </c>
      <c r="D186" s="21">
        <f t="shared" si="16"/>
        <v>35487187.808512181</v>
      </c>
      <c r="E186" s="48">
        <f t="shared" si="17"/>
        <v>0.58954041610777386</v>
      </c>
    </row>
    <row r="187" spans="1:5">
      <c r="A187">
        <f t="shared" si="21"/>
        <v>43.75</v>
      </c>
      <c r="B187" s="21">
        <f t="shared" si="18"/>
        <v>104825244756.54834</v>
      </c>
      <c r="C187" s="21">
        <f t="shared" si="15"/>
        <v>1027287398.6141738</v>
      </c>
      <c r="D187" s="21">
        <f t="shared" si="16"/>
        <v>35487186.699611373</v>
      </c>
      <c r="E187" s="48">
        <f t="shared" si="17"/>
        <v>0.58717465821827797</v>
      </c>
    </row>
    <row r="188" spans="1:5">
      <c r="A188">
        <f t="shared" si="21"/>
        <v>44</v>
      </c>
      <c r="B188" s="21">
        <f t="shared" si="18"/>
        <v>104754272020.97237</v>
      </c>
      <c r="C188" s="21">
        <f t="shared" si="15"/>
        <v>1026591865.8055294</v>
      </c>
      <c r="D188" s="21">
        <f t="shared" si="16"/>
        <v>35487185.59071058</v>
      </c>
      <c r="E188" s="48">
        <f t="shared" si="17"/>
        <v>0.58480890036574551</v>
      </c>
    </row>
    <row r="189" spans="1:5">
      <c r="A189">
        <f t="shared" si="21"/>
        <v>44.25</v>
      </c>
      <c r="B189" s="21">
        <f t="shared" si="18"/>
        <v>104683299286.50529</v>
      </c>
      <c r="C189" s="21">
        <f t="shared" si="15"/>
        <v>1025896333.0077519</v>
      </c>
      <c r="D189" s="21">
        <f t="shared" si="16"/>
        <v>35487184.48180981</v>
      </c>
      <c r="E189" s="48">
        <f t="shared" si="17"/>
        <v>0.58244314255017648</v>
      </c>
    </row>
    <row r="190" spans="1:5">
      <c r="A190">
        <f t="shared" si="21"/>
        <v>44.5</v>
      </c>
      <c r="B190" s="21">
        <f t="shared" si="18"/>
        <v>104612326553.14713</v>
      </c>
      <c r="C190" s="21">
        <f t="shared" si="15"/>
        <v>1025200800.2208419</v>
      </c>
      <c r="D190" s="21">
        <f t="shared" si="16"/>
        <v>35487183.372909054</v>
      </c>
      <c r="E190" s="48">
        <f t="shared" si="17"/>
        <v>0.58007738477157078</v>
      </c>
    </row>
    <row r="191" spans="1:5">
      <c r="A191">
        <f t="shared" si="21"/>
        <v>44.75</v>
      </c>
      <c r="B191" s="21">
        <f t="shared" si="18"/>
        <v>104541353820.89786</v>
      </c>
      <c r="C191" s="21">
        <f t="shared" si="15"/>
        <v>1024505267.4447991</v>
      </c>
      <c r="D191" s="21">
        <f t="shared" si="16"/>
        <v>35487182.264008313</v>
      </c>
      <c r="E191" s="48">
        <f t="shared" si="17"/>
        <v>0.57771162702992851</v>
      </c>
    </row>
    <row r="192" spans="1:5">
      <c r="A192">
        <f t="shared" si="21"/>
        <v>45</v>
      </c>
      <c r="B192" s="21">
        <f t="shared" si="18"/>
        <v>104470381089.75749</v>
      </c>
      <c r="C192" s="21">
        <f t="shared" si="15"/>
        <v>1023809734.6796235</v>
      </c>
      <c r="D192" s="21">
        <f t="shared" si="16"/>
        <v>35487181.155107595</v>
      </c>
      <c r="E192" s="48">
        <f t="shared" si="17"/>
        <v>0.57534586932524978</v>
      </c>
    </row>
    <row r="193" spans="1:5">
      <c r="A193">
        <f t="shared" si="21"/>
        <v>45.25</v>
      </c>
      <c r="B193" s="21">
        <f t="shared" si="18"/>
        <v>104399408359.72603</v>
      </c>
      <c r="C193" s="21">
        <f t="shared" si="15"/>
        <v>1023114201.9253151</v>
      </c>
      <c r="D193" s="21">
        <f t="shared" si="16"/>
        <v>35487180.046206892</v>
      </c>
      <c r="E193" s="48">
        <f t="shared" si="17"/>
        <v>0.57298011165753426</v>
      </c>
    </row>
    <row r="194" spans="1:5">
      <c r="A194">
        <f t="shared" ref="A194:A206" si="22">A193+0.25</f>
        <v>45.5</v>
      </c>
      <c r="B194" s="21">
        <f t="shared" si="18"/>
        <v>104328435630.80347</v>
      </c>
      <c r="C194" s="21">
        <f t="shared" si="15"/>
        <v>1022418669.181874</v>
      </c>
      <c r="D194" s="21">
        <f t="shared" si="16"/>
        <v>35487178.937306203</v>
      </c>
      <c r="E194" s="48">
        <f t="shared" si="17"/>
        <v>0.57061435402678229</v>
      </c>
    </row>
    <row r="195" spans="1:5">
      <c r="A195">
        <f t="shared" si="22"/>
        <v>45.75</v>
      </c>
      <c r="B195" s="21">
        <f t="shared" si="18"/>
        <v>104257462902.98981</v>
      </c>
      <c r="C195" s="21">
        <f t="shared" si="15"/>
        <v>1021723136.4493002</v>
      </c>
      <c r="D195" s="21">
        <f t="shared" si="16"/>
        <v>35487177.828405537</v>
      </c>
      <c r="E195" s="48">
        <f t="shared" si="17"/>
        <v>0.56824859643299352</v>
      </c>
    </row>
    <row r="196" spans="1:5">
      <c r="A196">
        <f t="shared" si="22"/>
        <v>46</v>
      </c>
      <c r="B196" s="21">
        <f t="shared" si="18"/>
        <v>104186490176.28505</v>
      </c>
      <c r="C196" s="21">
        <f t="shared" si="15"/>
        <v>1021027603.7275935</v>
      </c>
      <c r="D196" s="21">
        <f t="shared" si="16"/>
        <v>35487176.719504885</v>
      </c>
      <c r="E196" s="48">
        <f t="shared" si="17"/>
        <v>0.5658828388761683</v>
      </c>
    </row>
    <row r="197" spans="1:5">
      <c r="A197">
        <f t="shared" si="22"/>
        <v>46.25</v>
      </c>
      <c r="B197" s="21">
        <f t="shared" si="18"/>
        <v>104115517450.68919</v>
      </c>
      <c r="C197" s="21">
        <f t="shared" si="15"/>
        <v>1020332071.0167542</v>
      </c>
      <c r="D197" s="21">
        <f t="shared" si="16"/>
        <v>35487175.610604249</v>
      </c>
      <c r="E197" s="48">
        <f t="shared" si="17"/>
        <v>0.5635170813563064</v>
      </c>
    </row>
    <row r="198" spans="1:5">
      <c r="A198">
        <f t="shared" si="22"/>
        <v>46.5</v>
      </c>
      <c r="B198" s="21">
        <f t="shared" si="18"/>
        <v>104044544726.20222</v>
      </c>
      <c r="C198" s="21">
        <f t="shared" si="15"/>
        <v>1019636538.3167819</v>
      </c>
      <c r="D198" s="21">
        <f t="shared" si="16"/>
        <v>35487174.501703627</v>
      </c>
      <c r="E198" s="48">
        <f t="shared" si="17"/>
        <v>0.56115132387340749</v>
      </c>
    </row>
    <row r="199" spans="1:5">
      <c r="A199">
        <f t="shared" si="22"/>
        <v>46.75</v>
      </c>
      <c r="B199" s="21">
        <f t="shared" si="18"/>
        <v>103973572002.82416</v>
      </c>
      <c r="C199" s="21">
        <f t="shared" si="15"/>
        <v>1018941005.6276768</v>
      </c>
      <c r="D199" s="21">
        <f t="shared" si="16"/>
        <v>35487173.392803028</v>
      </c>
      <c r="E199" s="48">
        <f t="shared" si="17"/>
        <v>0.5587855664274719</v>
      </c>
    </row>
    <row r="200" spans="1:5">
      <c r="A200">
        <f t="shared" si="22"/>
        <v>47</v>
      </c>
      <c r="B200" s="21">
        <f t="shared" si="18"/>
        <v>103902599280.55499</v>
      </c>
      <c r="C200" s="21">
        <f t="shared" si="15"/>
        <v>1018245472.9494389</v>
      </c>
      <c r="D200" s="21">
        <f t="shared" si="16"/>
        <v>35487172.283902444</v>
      </c>
      <c r="E200" s="48">
        <f t="shared" si="17"/>
        <v>0.55641980901849974</v>
      </c>
    </row>
    <row r="201" spans="1:5">
      <c r="A201">
        <f t="shared" si="22"/>
        <v>47.25</v>
      </c>
      <c r="B201" s="21">
        <f t="shared" si="18"/>
        <v>103831626559.39473</v>
      </c>
      <c r="C201" s="21">
        <f t="shared" si="15"/>
        <v>1017549940.2820685</v>
      </c>
      <c r="D201" s="21">
        <f t="shared" si="16"/>
        <v>35487171.175001882</v>
      </c>
      <c r="E201" s="48">
        <f t="shared" si="17"/>
        <v>0.55405405164649091</v>
      </c>
    </row>
    <row r="202" spans="1:5">
      <c r="A202">
        <f t="shared" si="22"/>
        <v>47.5</v>
      </c>
      <c r="B202" s="21">
        <f t="shared" si="18"/>
        <v>103760653839.34337</v>
      </c>
      <c r="C202" s="21">
        <f t="shared" si="15"/>
        <v>1016854407.6255651</v>
      </c>
      <c r="D202" s="21">
        <f t="shared" si="16"/>
        <v>35487170.066101335</v>
      </c>
      <c r="E202" s="48">
        <f t="shared" si="17"/>
        <v>0.55168829431144562</v>
      </c>
    </row>
    <row r="203" spans="1:5">
      <c r="A203">
        <f t="shared" si="22"/>
        <v>47.75</v>
      </c>
      <c r="B203" s="21">
        <f t="shared" si="18"/>
        <v>103689681120.40091</v>
      </c>
      <c r="C203" s="21">
        <f t="shared" si="15"/>
        <v>1016158874.979929</v>
      </c>
      <c r="D203" s="21">
        <f t="shared" si="16"/>
        <v>35487168.957200803</v>
      </c>
      <c r="E203" s="48">
        <f t="shared" si="17"/>
        <v>0.54932253701336364</v>
      </c>
    </row>
    <row r="204" spans="1:5">
      <c r="A204">
        <f t="shared" si="22"/>
        <v>48</v>
      </c>
      <c r="B204" s="21">
        <f t="shared" si="18"/>
        <v>103618708402.56735</v>
      </c>
      <c r="C204" s="21">
        <f t="shared" si="15"/>
        <v>1015463342.3451601</v>
      </c>
      <c r="D204" s="21">
        <f t="shared" si="16"/>
        <v>35487167.848300286</v>
      </c>
      <c r="E204" s="48">
        <f t="shared" si="17"/>
        <v>0.5469567797522451</v>
      </c>
    </row>
    <row r="205" spans="1:5">
      <c r="A205">
        <f t="shared" si="22"/>
        <v>48.25</v>
      </c>
      <c r="B205" s="21">
        <f t="shared" si="18"/>
        <v>103547735685.8427</v>
      </c>
      <c r="C205" s="21">
        <f t="shared" ref="C205:C268" si="23">IF(B205&gt;$D$2,B205*$D$4/1000,0)</f>
        <v>1014767809.7212585</v>
      </c>
      <c r="D205" s="21">
        <f t="shared" ref="D205:D268" si="24">C205*$D$6*$D$5+$D$8</f>
        <v>35487166.739399791</v>
      </c>
      <c r="E205" s="48">
        <f t="shared" ref="E205:E263" si="25">1-(($B$12-B205)/$D$3)</f>
        <v>0.54459102252808989</v>
      </c>
    </row>
    <row r="206" spans="1:5">
      <c r="A206">
        <f t="shared" si="22"/>
        <v>48.5</v>
      </c>
      <c r="B206" s="21">
        <f t="shared" ref="B206:B263" si="26">B205-D205-$D$8</f>
        <v>103476762970.22694</v>
      </c>
      <c r="C206" s="21">
        <f t="shared" si="23"/>
        <v>1014072277.1082242</v>
      </c>
      <c r="D206" s="21">
        <f t="shared" si="24"/>
        <v>35487165.630499311</v>
      </c>
      <c r="E206" s="48">
        <f t="shared" si="25"/>
        <v>0.5422252653408981</v>
      </c>
    </row>
    <row r="207" spans="1:5">
      <c r="A207">
        <f t="shared" ref="A207:A223" si="27">A206+0.25</f>
        <v>48.75</v>
      </c>
      <c r="B207" s="21">
        <f t="shared" si="26"/>
        <v>103405790255.72009</v>
      </c>
      <c r="C207" s="21">
        <f t="shared" si="23"/>
        <v>1013376744.506057</v>
      </c>
      <c r="D207" s="21">
        <f t="shared" si="24"/>
        <v>35487164.521598853</v>
      </c>
      <c r="E207" s="48">
        <f t="shared" si="25"/>
        <v>0.53985950819066975</v>
      </c>
    </row>
    <row r="208" spans="1:5">
      <c r="A208">
        <f t="shared" si="27"/>
        <v>49</v>
      </c>
      <c r="B208" s="21">
        <f t="shared" si="26"/>
        <v>103334817542.32213</v>
      </c>
      <c r="C208" s="21">
        <f t="shared" si="23"/>
        <v>1012681211.914757</v>
      </c>
      <c r="D208" s="21">
        <f t="shared" si="24"/>
        <v>35487163.41269841</v>
      </c>
      <c r="E208" s="48">
        <f t="shared" si="25"/>
        <v>0.53749375107740427</v>
      </c>
    </row>
    <row r="209" spans="1:5">
      <c r="A209">
        <f t="shared" si="27"/>
        <v>49.25</v>
      </c>
      <c r="B209" s="21">
        <f t="shared" si="26"/>
        <v>103263844830.03307</v>
      </c>
      <c r="C209" s="21">
        <f t="shared" si="23"/>
        <v>1011985679.3343241</v>
      </c>
      <c r="D209" s="21">
        <f t="shared" si="24"/>
        <v>35487162.303797983</v>
      </c>
      <c r="E209" s="48">
        <f t="shared" si="25"/>
        <v>0.53512799400110223</v>
      </c>
    </row>
    <row r="210" spans="1:5">
      <c r="A210">
        <f t="shared" si="27"/>
        <v>49.5</v>
      </c>
      <c r="B210" s="21">
        <f t="shared" si="26"/>
        <v>103192872118.85291</v>
      </c>
      <c r="C210" s="21">
        <f t="shared" si="23"/>
        <v>1011290146.7647586</v>
      </c>
      <c r="D210" s="21">
        <f t="shared" si="24"/>
        <v>35487161.19489757</v>
      </c>
      <c r="E210" s="48">
        <f t="shared" si="25"/>
        <v>0.5327622369617635</v>
      </c>
    </row>
    <row r="211" spans="1:5">
      <c r="A211">
        <f t="shared" si="27"/>
        <v>49.75</v>
      </c>
      <c r="B211" s="21">
        <f t="shared" si="26"/>
        <v>103121899408.78165</v>
      </c>
      <c r="C211" s="21">
        <f t="shared" si="23"/>
        <v>1010594614.2060602</v>
      </c>
      <c r="D211" s="21">
        <f t="shared" si="24"/>
        <v>35487160.085997179</v>
      </c>
      <c r="E211" s="48">
        <f t="shared" si="25"/>
        <v>0.53039647995938821</v>
      </c>
    </row>
    <row r="212" spans="1:5">
      <c r="A212">
        <f t="shared" si="27"/>
        <v>50</v>
      </c>
      <c r="B212" s="21">
        <f t="shared" si="26"/>
        <v>103050926699.81929</v>
      </c>
      <c r="C212" s="21">
        <f t="shared" si="23"/>
        <v>1009899081.6582291</v>
      </c>
      <c r="D212" s="21">
        <f t="shared" si="24"/>
        <v>35487158.977096803</v>
      </c>
      <c r="E212" s="48">
        <f t="shared" si="25"/>
        <v>0.52803072299397635</v>
      </c>
    </row>
    <row r="213" spans="1:5">
      <c r="A213">
        <f t="shared" si="27"/>
        <v>50.25</v>
      </c>
      <c r="B213" s="21">
        <f t="shared" si="26"/>
        <v>102979953991.96584</v>
      </c>
      <c r="C213" s="21">
        <f t="shared" si="23"/>
        <v>1009203549.1212653</v>
      </c>
      <c r="D213" s="21">
        <f t="shared" si="24"/>
        <v>35487157.86819645</v>
      </c>
      <c r="E213" s="48">
        <f t="shared" si="25"/>
        <v>0.52566496606552793</v>
      </c>
    </row>
    <row r="214" spans="1:5">
      <c r="A214">
        <f t="shared" si="27"/>
        <v>50.5</v>
      </c>
      <c r="B214" s="21">
        <f t="shared" si="26"/>
        <v>102908981285.22128</v>
      </c>
      <c r="C214" s="21">
        <f t="shared" si="23"/>
        <v>1008508016.5951687</v>
      </c>
      <c r="D214" s="21">
        <f t="shared" si="24"/>
        <v>35487156.759296104</v>
      </c>
      <c r="E214" s="48">
        <f t="shared" si="25"/>
        <v>0.52329920917404271</v>
      </c>
    </row>
    <row r="215" spans="1:5">
      <c r="A215">
        <f t="shared" si="27"/>
        <v>50.75</v>
      </c>
      <c r="B215" s="21">
        <f t="shared" si="26"/>
        <v>102838008579.58563</v>
      </c>
      <c r="C215" s="21">
        <f t="shared" si="23"/>
        <v>1007812484.0799392</v>
      </c>
      <c r="D215" s="21">
        <f t="shared" si="24"/>
        <v>35487155.650395788</v>
      </c>
      <c r="E215" s="48">
        <f t="shared" si="25"/>
        <v>0.52093345231952104</v>
      </c>
    </row>
    <row r="216" spans="1:5">
      <c r="A216">
        <f t="shared" si="27"/>
        <v>51</v>
      </c>
      <c r="B216" s="21">
        <f t="shared" si="26"/>
        <v>102767035875.05888</v>
      </c>
      <c r="C216" s="21">
        <f t="shared" si="23"/>
        <v>1007116951.5755771</v>
      </c>
      <c r="D216" s="21">
        <f t="shared" si="24"/>
        <v>35487154.54149548</v>
      </c>
      <c r="E216" s="48">
        <f t="shared" si="25"/>
        <v>0.5185676955019628</v>
      </c>
    </row>
    <row r="217" spans="1:5">
      <c r="A217">
        <f t="shared" si="27"/>
        <v>51.25</v>
      </c>
      <c r="B217" s="21">
        <f t="shared" si="26"/>
        <v>102696063171.64104</v>
      </c>
      <c r="C217" s="21">
        <f t="shared" si="23"/>
        <v>1006421419.0820823</v>
      </c>
      <c r="D217" s="21">
        <f t="shared" si="24"/>
        <v>35487153.432595193</v>
      </c>
      <c r="E217" s="48">
        <f t="shared" si="25"/>
        <v>0.51620193872136788</v>
      </c>
    </row>
    <row r="218" spans="1:5">
      <c r="A218">
        <f t="shared" si="27"/>
        <v>51.5</v>
      </c>
      <c r="B218" s="21">
        <f t="shared" si="26"/>
        <v>102625090469.33208</v>
      </c>
      <c r="C218" s="21">
        <f t="shared" si="23"/>
        <v>1005725886.5994545</v>
      </c>
      <c r="D218" s="21">
        <f t="shared" si="24"/>
        <v>35487152.323694922</v>
      </c>
      <c r="E218" s="48">
        <f t="shared" si="25"/>
        <v>0.51383618197773595</v>
      </c>
    </row>
    <row r="219" spans="1:5">
      <c r="A219">
        <f t="shared" si="27"/>
        <v>51.75</v>
      </c>
      <c r="B219" s="21">
        <f t="shared" si="26"/>
        <v>102554117768.13202</v>
      </c>
      <c r="C219" s="21">
        <f t="shared" si="23"/>
        <v>1005030354.1276939</v>
      </c>
      <c r="D219" s="21">
        <f t="shared" si="24"/>
        <v>35487151.214794666</v>
      </c>
      <c r="E219" s="48">
        <f t="shared" si="25"/>
        <v>0.51147042527106734</v>
      </c>
    </row>
    <row r="220" spans="1:5">
      <c r="A220">
        <f t="shared" si="27"/>
        <v>52</v>
      </c>
      <c r="B220" s="21">
        <f t="shared" si="26"/>
        <v>102483145068.04086</v>
      </c>
      <c r="C220" s="21">
        <f t="shared" si="23"/>
        <v>1004334821.6668005</v>
      </c>
      <c r="D220" s="21">
        <f t="shared" si="24"/>
        <v>35487150.105894431</v>
      </c>
      <c r="E220" s="48">
        <f t="shared" si="25"/>
        <v>0.50910466860136205</v>
      </c>
    </row>
    <row r="221" spans="1:5">
      <c r="A221">
        <f t="shared" si="27"/>
        <v>52.25</v>
      </c>
      <c r="B221" s="21">
        <f t="shared" si="26"/>
        <v>102412172369.05861</v>
      </c>
      <c r="C221" s="21">
        <f t="shared" si="23"/>
        <v>1003639289.2167745</v>
      </c>
      <c r="D221" s="21">
        <f t="shared" si="24"/>
        <v>35487148.996994212</v>
      </c>
      <c r="E221" s="48">
        <f t="shared" si="25"/>
        <v>0.50673891196862031</v>
      </c>
    </row>
    <row r="222" spans="1:5">
      <c r="A222">
        <f t="shared" si="27"/>
        <v>52.5</v>
      </c>
      <c r="B222" s="21">
        <f t="shared" si="26"/>
        <v>102341199671.18526</v>
      </c>
      <c r="C222" s="21">
        <f t="shared" si="23"/>
        <v>1002943756.7776155</v>
      </c>
      <c r="D222" s="21">
        <f t="shared" si="24"/>
        <v>35487147.888094008</v>
      </c>
      <c r="E222" s="48">
        <f t="shared" si="25"/>
        <v>0.50437315537284189</v>
      </c>
    </row>
    <row r="223" spans="1:5">
      <c r="A223">
        <f t="shared" si="27"/>
        <v>52.75</v>
      </c>
      <c r="B223" s="21">
        <f t="shared" si="26"/>
        <v>102270226974.42081</v>
      </c>
      <c r="C223" s="21">
        <f t="shared" si="23"/>
        <v>1002248224.349324</v>
      </c>
      <c r="D223" s="21">
        <f t="shared" si="24"/>
        <v>35487146.779193826</v>
      </c>
      <c r="E223" s="48">
        <f t="shared" si="25"/>
        <v>0.5020073988140269</v>
      </c>
    </row>
    <row r="224" spans="1:5">
      <c r="A224">
        <f t="shared" ref="A224:A240" si="28">A223+0.25</f>
        <v>53</v>
      </c>
      <c r="B224" s="21">
        <f t="shared" si="26"/>
        <v>102199254278.76526</v>
      </c>
      <c r="C224" s="21">
        <f t="shared" si="23"/>
        <v>1001552691.9318997</v>
      </c>
      <c r="D224" s="21">
        <f t="shared" si="24"/>
        <v>35487145.670293659</v>
      </c>
      <c r="E224" s="48">
        <f t="shared" si="25"/>
        <v>0.49964164229217534</v>
      </c>
    </row>
    <row r="225" spans="1:5">
      <c r="A225">
        <f t="shared" si="28"/>
        <v>53.25</v>
      </c>
      <c r="B225" s="21">
        <f t="shared" si="26"/>
        <v>102128281584.21861</v>
      </c>
      <c r="C225" s="21">
        <f t="shared" si="23"/>
        <v>1000857159.5253426</v>
      </c>
      <c r="D225" s="21">
        <f t="shared" si="24"/>
        <v>35487144.561393507</v>
      </c>
      <c r="E225" s="48">
        <f t="shared" si="25"/>
        <v>0.4972758858072871</v>
      </c>
    </row>
    <row r="226" spans="1:5">
      <c r="A226">
        <f t="shared" si="28"/>
        <v>53.5</v>
      </c>
      <c r="B226" s="21">
        <f t="shared" si="26"/>
        <v>102057308890.78087</v>
      </c>
      <c r="C226" s="21">
        <f t="shared" si="23"/>
        <v>1000161627.1296526</v>
      </c>
      <c r="D226" s="21">
        <f t="shared" si="24"/>
        <v>35487143.452493377</v>
      </c>
      <c r="E226" s="48">
        <f t="shared" si="25"/>
        <v>0.49491012935936229</v>
      </c>
    </row>
    <row r="227" spans="1:5">
      <c r="A227">
        <f t="shared" si="28"/>
        <v>53.75</v>
      </c>
      <c r="B227" s="21">
        <f t="shared" si="26"/>
        <v>101986336198.45201</v>
      </c>
      <c r="C227" s="21">
        <f t="shared" si="23"/>
        <v>999466094.74482989</v>
      </c>
      <c r="D227" s="21">
        <f t="shared" si="24"/>
        <v>35487142.343593262</v>
      </c>
      <c r="E227" s="48">
        <f t="shared" si="25"/>
        <v>0.49254437294840037</v>
      </c>
    </row>
    <row r="228" spans="1:5">
      <c r="A228">
        <f t="shared" si="28"/>
        <v>54</v>
      </c>
      <c r="B228" s="21">
        <f t="shared" si="26"/>
        <v>101915363507.23206</v>
      </c>
      <c r="C228" s="21">
        <f t="shared" si="23"/>
        <v>998770562.37087429</v>
      </c>
      <c r="D228" s="21">
        <f t="shared" si="24"/>
        <v>35487141.234693162</v>
      </c>
      <c r="E228" s="48">
        <f t="shared" si="25"/>
        <v>0.49017861657440187</v>
      </c>
    </row>
    <row r="229" spans="1:5">
      <c r="A229">
        <f t="shared" si="28"/>
        <v>54.25</v>
      </c>
      <c r="B229" s="21">
        <f t="shared" si="26"/>
        <v>101844390817.121</v>
      </c>
      <c r="C229" s="21">
        <f t="shared" si="23"/>
        <v>998075030.00778592</v>
      </c>
      <c r="D229" s="21">
        <f t="shared" si="24"/>
        <v>35487140.125793085</v>
      </c>
      <c r="E229" s="48">
        <f t="shared" si="25"/>
        <v>0.4878128602373667</v>
      </c>
    </row>
    <row r="230" spans="1:5">
      <c r="A230">
        <f t="shared" si="28"/>
        <v>54.5</v>
      </c>
      <c r="B230" s="21">
        <f t="shared" si="26"/>
        <v>101773418128.11885</v>
      </c>
      <c r="C230" s="21">
        <f t="shared" si="23"/>
        <v>997379497.65556479</v>
      </c>
      <c r="D230" s="21">
        <f t="shared" si="24"/>
        <v>35487139.016893022</v>
      </c>
      <c r="E230" s="48">
        <f t="shared" si="25"/>
        <v>0.48544710393729507</v>
      </c>
    </row>
    <row r="231" spans="1:5">
      <c r="A231">
        <f t="shared" si="28"/>
        <v>54.75</v>
      </c>
      <c r="B231" s="21">
        <f t="shared" si="26"/>
        <v>101702445440.2256</v>
      </c>
      <c r="C231" s="21">
        <f t="shared" si="23"/>
        <v>996683965.31421089</v>
      </c>
      <c r="D231" s="21">
        <f t="shared" si="24"/>
        <v>35487137.907992974</v>
      </c>
      <c r="E231" s="48">
        <f t="shared" si="25"/>
        <v>0.48308134767418676</v>
      </c>
    </row>
    <row r="232" spans="1:5">
      <c r="A232">
        <f t="shared" si="28"/>
        <v>55</v>
      </c>
      <c r="B232" s="21">
        <f t="shared" si="26"/>
        <v>101631472753.44125</v>
      </c>
      <c r="C232" s="21">
        <f t="shared" si="23"/>
        <v>995988432.98372436</v>
      </c>
      <c r="D232" s="21">
        <f t="shared" si="24"/>
        <v>35487136.799092948</v>
      </c>
      <c r="E232" s="48">
        <f t="shared" si="25"/>
        <v>0.48071559144804177</v>
      </c>
    </row>
    <row r="233" spans="1:5">
      <c r="A233">
        <f t="shared" si="28"/>
        <v>55.25</v>
      </c>
      <c r="B233" s="21">
        <f t="shared" si="26"/>
        <v>101560500067.76581</v>
      </c>
      <c r="C233" s="21">
        <f t="shared" si="23"/>
        <v>995292900.66410494</v>
      </c>
      <c r="D233" s="21">
        <f t="shared" si="24"/>
        <v>35487135.690192938</v>
      </c>
      <c r="E233" s="48">
        <f t="shared" si="25"/>
        <v>0.47834983525886032</v>
      </c>
    </row>
    <row r="234" spans="1:5">
      <c r="A234">
        <f t="shared" si="28"/>
        <v>55.5</v>
      </c>
      <c r="B234" s="21">
        <f t="shared" si="26"/>
        <v>101489527383.19926</v>
      </c>
      <c r="C234" s="21">
        <f t="shared" si="23"/>
        <v>994597368.35535288</v>
      </c>
      <c r="D234" s="21">
        <f t="shared" si="24"/>
        <v>35487134.581292942</v>
      </c>
      <c r="E234" s="48">
        <f t="shared" si="25"/>
        <v>0.4759840791066422</v>
      </c>
    </row>
    <row r="235" spans="1:5">
      <c r="A235">
        <f t="shared" si="28"/>
        <v>55.75</v>
      </c>
      <c r="B235" s="21">
        <f t="shared" si="26"/>
        <v>101418554699.74161</v>
      </c>
      <c r="C235" s="21">
        <f t="shared" si="23"/>
        <v>993901836.05746782</v>
      </c>
      <c r="D235" s="21">
        <f t="shared" si="24"/>
        <v>35487133.472392969</v>
      </c>
      <c r="E235" s="48">
        <f t="shared" si="25"/>
        <v>0.47361832299138695</v>
      </c>
    </row>
    <row r="236" spans="1:5">
      <c r="A236">
        <f t="shared" si="28"/>
        <v>56</v>
      </c>
      <c r="B236" s="21">
        <f t="shared" si="26"/>
        <v>101347582017.39285</v>
      </c>
      <c r="C236" s="21">
        <f t="shared" si="23"/>
        <v>993206303.77045012</v>
      </c>
      <c r="D236" s="21">
        <f t="shared" si="24"/>
        <v>35487132.363493003</v>
      </c>
      <c r="E236" s="48">
        <f t="shared" si="25"/>
        <v>0.47125256691309514</v>
      </c>
    </row>
    <row r="237" spans="1:5">
      <c r="A237">
        <f t="shared" si="28"/>
        <v>56.25</v>
      </c>
      <c r="B237" s="21">
        <f t="shared" si="26"/>
        <v>101276609336.153</v>
      </c>
      <c r="C237" s="21">
        <f t="shared" si="23"/>
        <v>992510771.49429941</v>
      </c>
      <c r="D237" s="21">
        <f t="shared" si="24"/>
        <v>35487131.254593067</v>
      </c>
      <c r="E237" s="48">
        <f t="shared" si="25"/>
        <v>0.46888681087176665</v>
      </c>
    </row>
    <row r="238" spans="1:5">
      <c r="A238">
        <f t="shared" si="28"/>
        <v>56.5</v>
      </c>
      <c r="B238" s="21">
        <f t="shared" si="26"/>
        <v>101205636656.02205</v>
      </c>
      <c r="C238" s="21">
        <f t="shared" si="23"/>
        <v>991815239.22901607</v>
      </c>
      <c r="D238" s="21">
        <f t="shared" si="24"/>
        <v>35487130.145693138</v>
      </c>
      <c r="E238" s="48">
        <f t="shared" si="25"/>
        <v>0.46652105486740159</v>
      </c>
    </row>
    <row r="239" spans="1:5">
      <c r="A239">
        <f t="shared" si="28"/>
        <v>56.75</v>
      </c>
      <c r="B239" s="21">
        <f t="shared" si="26"/>
        <v>101134663977</v>
      </c>
      <c r="C239" s="21">
        <f t="shared" si="23"/>
        <v>991119706.97460008</v>
      </c>
      <c r="D239" s="21">
        <f t="shared" si="24"/>
        <v>35487129.036793232</v>
      </c>
      <c r="E239" s="48">
        <f t="shared" si="25"/>
        <v>0.46415529889999996</v>
      </c>
    </row>
    <row r="240" spans="1:5">
      <c r="A240">
        <f t="shared" si="28"/>
        <v>57</v>
      </c>
      <c r="B240" s="21">
        <f t="shared" si="26"/>
        <v>101063691299.08685</v>
      </c>
      <c r="C240" s="21">
        <f t="shared" si="23"/>
        <v>990424174.73105133</v>
      </c>
      <c r="D240" s="21">
        <f t="shared" si="24"/>
        <v>35487127.927893341</v>
      </c>
      <c r="E240" s="48">
        <f t="shared" si="25"/>
        <v>0.46178954296956176</v>
      </c>
    </row>
    <row r="241" spans="1:5">
      <c r="A241">
        <f t="shared" ref="A241:A256" si="29">A240+0.25</f>
        <v>57.25</v>
      </c>
      <c r="B241" s="21">
        <f t="shared" si="26"/>
        <v>100992718622.28261</v>
      </c>
      <c r="C241" s="21">
        <f t="shared" si="23"/>
        <v>989728642.49836957</v>
      </c>
      <c r="D241" s="21">
        <f t="shared" si="24"/>
        <v>35487126.818993472</v>
      </c>
      <c r="E241" s="48">
        <f t="shared" si="25"/>
        <v>0.45942378707608689</v>
      </c>
    </row>
    <row r="242" spans="1:5">
      <c r="A242">
        <f t="shared" si="29"/>
        <v>57.5</v>
      </c>
      <c r="B242" s="21">
        <f t="shared" si="26"/>
        <v>100921745946.58725</v>
      </c>
      <c r="C242" s="21">
        <f t="shared" si="23"/>
        <v>989033110.27655518</v>
      </c>
      <c r="D242" s="21">
        <f t="shared" si="24"/>
        <v>35487125.710093617</v>
      </c>
      <c r="E242" s="48">
        <f t="shared" si="25"/>
        <v>0.457058031219575</v>
      </c>
    </row>
    <row r="243" spans="1:5">
      <c r="A243">
        <f t="shared" si="29"/>
        <v>57.75</v>
      </c>
      <c r="B243" s="21">
        <f t="shared" si="26"/>
        <v>100850773272.00079</v>
      </c>
      <c r="C243" s="21">
        <f t="shared" si="23"/>
        <v>988337578.06560779</v>
      </c>
      <c r="D243" s="21">
        <f t="shared" si="24"/>
        <v>35487124.601193778</v>
      </c>
      <c r="E243" s="48">
        <f t="shared" si="25"/>
        <v>0.45469227540002644</v>
      </c>
    </row>
    <row r="244" spans="1:5">
      <c r="A244">
        <f t="shared" si="29"/>
        <v>58</v>
      </c>
      <c r="B244" s="21">
        <f t="shared" si="26"/>
        <v>100779800598.52324</v>
      </c>
      <c r="C244" s="21">
        <f t="shared" si="23"/>
        <v>987642045.86552787</v>
      </c>
      <c r="D244" s="21">
        <f t="shared" si="24"/>
        <v>35487123.492293961</v>
      </c>
      <c r="E244" s="48">
        <f t="shared" si="25"/>
        <v>0.4523265196174413</v>
      </c>
    </row>
    <row r="245" spans="1:5">
      <c r="A245">
        <f t="shared" si="29"/>
        <v>58.25</v>
      </c>
      <c r="B245" s="21">
        <f t="shared" si="26"/>
        <v>100708827926.15459</v>
      </c>
      <c r="C245" s="21">
        <f t="shared" si="23"/>
        <v>986946513.67631507</v>
      </c>
      <c r="D245" s="21">
        <f t="shared" si="24"/>
        <v>35487122.383394152</v>
      </c>
      <c r="E245" s="48">
        <f t="shared" si="25"/>
        <v>0.4499607638718196</v>
      </c>
    </row>
    <row r="246" spans="1:5">
      <c r="A246">
        <f t="shared" si="29"/>
        <v>58.5</v>
      </c>
      <c r="B246" s="21">
        <f t="shared" si="26"/>
        <v>100637855254.89484</v>
      </c>
      <c r="C246" s="21">
        <f t="shared" si="23"/>
        <v>986250981.49796951</v>
      </c>
      <c r="D246" s="21">
        <f t="shared" si="24"/>
        <v>35487121.274494372</v>
      </c>
      <c r="E246" s="48">
        <f t="shared" si="25"/>
        <v>0.44759500816316122</v>
      </c>
    </row>
    <row r="247" spans="1:5">
      <c r="A247">
        <f t="shared" si="29"/>
        <v>58.75</v>
      </c>
      <c r="B247" s="21">
        <f t="shared" si="26"/>
        <v>100566882584.74399</v>
      </c>
      <c r="C247" s="21">
        <f t="shared" si="23"/>
        <v>985555449.33049119</v>
      </c>
      <c r="D247" s="21">
        <f t="shared" si="24"/>
        <v>35487120.1655946</v>
      </c>
      <c r="E247" s="48">
        <f t="shared" si="25"/>
        <v>0.44522925249146628</v>
      </c>
    </row>
    <row r="248" spans="1:5">
      <c r="A248">
        <f t="shared" si="29"/>
        <v>59</v>
      </c>
      <c r="B248" s="21">
        <f t="shared" si="26"/>
        <v>100495909915.70204</v>
      </c>
      <c r="C248" s="21">
        <f t="shared" si="23"/>
        <v>984859917.1738801</v>
      </c>
      <c r="D248" s="21">
        <f t="shared" si="24"/>
        <v>35487119.05669485</v>
      </c>
      <c r="E248" s="48">
        <f t="shared" si="25"/>
        <v>0.44286349685673476</v>
      </c>
    </row>
    <row r="249" spans="1:5">
      <c r="A249">
        <f t="shared" si="29"/>
        <v>59.25</v>
      </c>
      <c r="B249" s="21">
        <f t="shared" si="26"/>
        <v>100424937247.76898</v>
      </c>
      <c r="C249" s="21">
        <f t="shared" si="23"/>
        <v>984164385.02813613</v>
      </c>
      <c r="D249" s="21">
        <f t="shared" si="24"/>
        <v>35487117.947795115</v>
      </c>
      <c r="E249" s="48">
        <f t="shared" si="25"/>
        <v>0.44049774125896601</v>
      </c>
    </row>
    <row r="250" spans="1:5">
      <c r="A250">
        <f t="shared" si="29"/>
        <v>59.5</v>
      </c>
      <c r="B250" s="21">
        <f t="shared" si="26"/>
        <v>100353964580.94482</v>
      </c>
      <c r="C250" s="21">
        <f t="shared" si="23"/>
        <v>983468852.89325941</v>
      </c>
      <c r="D250" s="21">
        <f t="shared" si="24"/>
        <v>35487116.838895395</v>
      </c>
      <c r="E250" s="48">
        <f t="shared" si="25"/>
        <v>0.43813198569816081</v>
      </c>
    </row>
    <row r="251" spans="1:5">
      <c r="A251">
        <f t="shared" si="29"/>
        <v>59.75</v>
      </c>
      <c r="B251" s="21">
        <f t="shared" si="26"/>
        <v>100282991915.22957</v>
      </c>
      <c r="C251" s="21">
        <f t="shared" si="23"/>
        <v>982773320.76924992</v>
      </c>
      <c r="D251" s="21">
        <f t="shared" si="24"/>
        <v>35487115.729995698</v>
      </c>
      <c r="E251" s="48">
        <f t="shared" si="25"/>
        <v>0.43576623017431892</v>
      </c>
    </row>
    <row r="252" spans="1:5">
      <c r="A252">
        <f t="shared" si="29"/>
        <v>60</v>
      </c>
      <c r="B252" s="21">
        <f t="shared" si="26"/>
        <v>100212019250.62321</v>
      </c>
      <c r="C252" s="21">
        <f t="shared" si="23"/>
        <v>982077788.65610754</v>
      </c>
      <c r="D252" s="21">
        <f t="shared" si="24"/>
        <v>35487114.621096015</v>
      </c>
      <c r="E252" s="48">
        <f t="shared" si="25"/>
        <v>0.43340047468744047</v>
      </c>
    </row>
    <row r="253" spans="1:5">
      <c r="A253">
        <f t="shared" si="29"/>
        <v>60.25</v>
      </c>
      <c r="B253" s="21">
        <f t="shared" si="26"/>
        <v>100141046587.12576</v>
      </c>
      <c r="C253" s="21">
        <f t="shared" si="23"/>
        <v>981382256.55383253</v>
      </c>
      <c r="D253" s="21">
        <f t="shared" si="24"/>
        <v>35487113.512196355</v>
      </c>
      <c r="E253" s="48">
        <f t="shared" si="25"/>
        <v>0.43103471923752545</v>
      </c>
    </row>
    <row r="254" spans="1:5">
      <c r="A254">
        <f t="shared" si="29"/>
        <v>60.5</v>
      </c>
      <c r="B254" s="21">
        <f t="shared" si="26"/>
        <v>100070073924.73721</v>
      </c>
      <c r="C254" s="21">
        <f t="shared" si="23"/>
        <v>980686724.46242476</v>
      </c>
      <c r="D254" s="21">
        <f t="shared" si="24"/>
        <v>35487112.403296709</v>
      </c>
      <c r="E254" s="48">
        <f t="shared" si="25"/>
        <v>0.42866896382457376</v>
      </c>
    </row>
    <row r="255" spans="1:5">
      <c r="A255">
        <f t="shared" si="29"/>
        <v>60.75</v>
      </c>
      <c r="B255" s="21">
        <f t="shared" si="26"/>
        <v>99999101263.457565</v>
      </c>
      <c r="C255" s="21">
        <f t="shared" si="23"/>
        <v>979991192.3818841</v>
      </c>
      <c r="D255" s="21">
        <f t="shared" si="24"/>
        <v>35487111.294397078</v>
      </c>
      <c r="E255" s="48">
        <f t="shared" si="25"/>
        <v>0.42630320844858549</v>
      </c>
    </row>
    <row r="256" spans="1:5">
      <c r="A256">
        <f t="shared" si="29"/>
        <v>61</v>
      </c>
      <c r="B256" s="21">
        <f t="shared" si="26"/>
        <v>99928128603.286804</v>
      </c>
      <c r="C256" s="21">
        <f t="shared" si="23"/>
        <v>979295660.31221068</v>
      </c>
      <c r="D256" s="21">
        <f t="shared" si="24"/>
        <v>35487110.185497463</v>
      </c>
      <c r="E256" s="48">
        <f t="shared" si="25"/>
        <v>0.4239374531095601</v>
      </c>
    </row>
    <row r="257" spans="1:5">
      <c r="A257">
        <f t="shared" ref="A257:A320" si="30">A256+0.25</f>
        <v>61.25</v>
      </c>
      <c r="B257" s="21">
        <f t="shared" si="26"/>
        <v>99857155944.224945</v>
      </c>
      <c r="C257" s="21">
        <f t="shared" si="23"/>
        <v>978600128.2534045</v>
      </c>
      <c r="D257" s="21">
        <f t="shared" si="24"/>
        <v>35487109.076597869</v>
      </c>
      <c r="E257" s="48">
        <f t="shared" si="25"/>
        <v>0.42157169780749815</v>
      </c>
    </row>
    <row r="258" spans="1:5">
      <c r="A258">
        <f t="shared" si="30"/>
        <v>61.5</v>
      </c>
      <c r="B258" s="21">
        <f t="shared" si="26"/>
        <v>99786183286.271988</v>
      </c>
      <c r="C258" s="21">
        <f t="shared" si="23"/>
        <v>977904596.20546556</v>
      </c>
      <c r="D258" s="21">
        <f t="shared" si="24"/>
        <v>35487107.967698291</v>
      </c>
      <c r="E258" s="48">
        <f t="shared" si="25"/>
        <v>0.41920594254239962</v>
      </c>
    </row>
    <row r="259" spans="1:5">
      <c r="A259">
        <f t="shared" si="30"/>
        <v>61.75</v>
      </c>
      <c r="B259" s="21">
        <f t="shared" si="26"/>
        <v>99715210629.427933</v>
      </c>
      <c r="C259" s="21">
        <f t="shared" si="23"/>
        <v>977209064.16839385</v>
      </c>
      <c r="D259" s="21">
        <f t="shared" si="24"/>
        <v>35487106.858798727</v>
      </c>
      <c r="E259" s="48">
        <f t="shared" si="25"/>
        <v>0.41684018731426442</v>
      </c>
    </row>
    <row r="260" spans="1:5">
      <c r="A260">
        <f t="shared" si="30"/>
        <v>62</v>
      </c>
      <c r="B260" s="21">
        <f t="shared" si="26"/>
        <v>99644237973.69278</v>
      </c>
      <c r="C260" s="21">
        <f t="shared" si="23"/>
        <v>976513532.14218938</v>
      </c>
      <c r="D260" s="21">
        <f t="shared" si="24"/>
        <v>35487105.749899186</v>
      </c>
      <c r="E260" s="48">
        <f t="shared" si="25"/>
        <v>0.41447443212309265</v>
      </c>
    </row>
    <row r="261" spans="1:5">
      <c r="A261">
        <f t="shared" si="30"/>
        <v>62.25</v>
      </c>
      <c r="B261" s="21">
        <f t="shared" si="26"/>
        <v>99573265319.066528</v>
      </c>
      <c r="C261" s="21">
        <f t="shared" si="23"/>
        <v>975818000.12685204</v>
      </c>
      <c r="D261" s="21">
        <f t="shared" si="24"/>
        <v>35487104.64099966</v>
      </c>
      <c r="E261" s="48">
        <f t="shared" si="25"/>
        <v>0.41210867696888431</v>
      </c>
    </row>
    <row r="262" spans="1:5">
      <c r="A262">
        <f t="shared" si="30"/>
        <v>62.5</v>
      </c>
      <c r="B262" s="21">
        <f t="shared" si="26"/>
        <v>99502292665.549164</v>
      </c>
      <c r="C262" s="21">
        <f t="shared" si="23"/>
        <v>975122468.12238181</v>
      </c>
      <c r="D262" s="21">
        <f t="shared" si="24"/>
        <v>35487103.532100156</v>
      </c>
      <c r="E262" s="48">
        <f t="shared" si="25"/>
        <v>0.40974292185163874</v>
      </c>
    </row>
    <row r="263" spans="1:5">
      <c r="A263">
        <f t="shared" si="30"/>
        <v>62.75</v>
      </c>
      <c r="B263" s="21">
        <f t="shared" si="26"/>
        <v>99431320013.140701</v>
      </c>
      <c r="C263" s="21">
        <f t="shared" si="23"/>
        <v>974426936.12877893</v>
      </c>
      <c r="D263" s="21">
        <f t="shared" si="24"/>
        <v>35487102.423200659</v>
      </c>
      <c r="E263" s="48">
        <f t="shared" si="25"/>
        <v>0.40737716677135671</v>
      </c>
    </row>
    <row r="264" spans="1:5">
      <c r="A264">
        <f t="shared" si="30"/>
        <v>63</v>
      </c>
      <c r="B264" s="21">
        <f t="shared" ref="B264:B327" si="31">B263-D263-$D$8</f>
        <v>99360347361.841141</v>
      </c>
      <c r="C264" s="21">
        <f t="shared" si="23"/>
        <v>973731404.14604318</v>
      </c>
      <c r="D264" s="21">
        <f t="shared" si="24"/>
        <v>35487101.314301185</v>
      </c>
      <c r="E264" s="48">
        <f t="shared" ref="E264:E327" si="32">1-(($B$12-B264)/$D$3)</f>
        <v>0.40501141172803801</v>
      </c>
    </row>
    <row r="265" spans="1:5">
      <c r="A265">
        <f t="shared" si="30"/>
        <v>63.25</v>
      </c>
      <c r="B265" s="21">
        <f t="shared" si="31"/>
        <v>99289374711.650482</v>
      </c>
      <c r="C265" s="21">
        <f t="shared" si="23"/>
        <v>973035872.17417479</v>
      </c>
      <c r="D265" s="21">
        <f t="shared" si="24"/>
        <v>35487100.205401734</v>
      </c>
      <c r="E265" s="48">
        <f t="shared" si="32"/>
        <v>0.40264565672168273</v>
      </c>
    </row>
    <row r="266" spans="1:5">
      <c r="A266">
        <f t="shared" si="30"/>
        <v>63.5</v>
      </c>
      <c r="B266" s="21">
        <f t="shared" si="31"/>
        <v>99218402062.568726</v>
      </c>
      <c r="C266" s="21">
        <f t="shared" si="23"/>
        <v>972340340.21317363</v>
      </c>
      <c r="D266" s="21">
        <f t="shared" si="24"/>
        <v>35487099.096502289</v>
      </c>
      <c r="E266" s="48">
        <f t="shared" si="32"/>
        <v>0.40027990175229089</v>
      </c>
    </row>
    <row r="267" spans="1:5">
      <c r="A267">
        <f t="shared" si="30"/>
        <v>63.75</v>
      </c>
      <c r="B267" s="21">
        <f t="shared" si="31"/>
        <v>99147429414.595871</v>
      </c>
      <c r="C267" s="21">
        <f t="shared" si="23"/>
        <v>971644808.26303959</v>
      </c>
      <c r="D267" s="21">
        <f t="shared" si="24"/>
        <v>35487097.987602867</v>
      </c>
      <c r="E267" s="48">
        <f t="shared" si="32"/>
        <v>0.39791414681986237</v>
      </c>
    </row>
    <row r="268" spans="1:5">
      <c r="A268">
        <f t="shared" si="30"/>
        <v>64</v>
      </c>
      <c r="B268" s="21">
        <f t="shared" si="31"/>
        <v>99076456767.731903</v>
      </c>
      <c r="C268" s="21">
        <f t="shared" si="23"/>
        <v>970949276.32377267</v>
      </c>
      <c r="D268" s="21">
        <f t="shared" si="24"/>
        <v>35487096.878703468</v>
      </c>
      <c r="E268" s="48">
        <f t="shared" si="32"/>
        <v>0.39554839192439673</v>
      </c>
    </row>
    <row r="269" spans="1:5">
      <c r="A269">
        <f t="shared" si="30"/>
        <v>64.25</v>
      </c>
      <c r="B269" s="21">
        <f t="shared" si="31"/>
        <v>99005484121.976837</v>
      </c>
      <c r="C269" s="21">
        <f t="shared" ref="C269:C332" si="33">IF(B269&gt;$D$2,B269*$D$4/1000,0)</f>
        <v>970253744.39537311</v>
      </c>
      <c r="D269" s="21">
        <f t="shared" ref="D269:D332" si="34">C269*$D$6*$D$5+$D$8</f>
        <v>35487095.769804075</v>
      </c>
      <c r="E269" s="48">
        <f t="shared" si="32"/>
        <v>0.39318263706589462</v>
      </c>
    </row>
    <row r="270" spans="1:5">
      <c r="A270">
        <f t="shared" si="30"/>
        <v>64.5</v>
      </c>
      <c r="B270" s="21">
        <f t="shared" si="31"/>
        <v>98934511477.330673</v>
      </c>
      <c r="C270" s="21">
        <f t="shared" si="33"/>
        <v>969558212.47784066</v>
      </c>
      <c r="D270" s="21">
        <f t="shared" si="34"/>
        <v>35487094.660904706</v>
      </c>
      <c r="E270" s="48">
        <f t="shared" si="32"/>
        <v>0.39081688224435573</v>
      </c>
    </row>
    <row r="271" spans="1:5">
      <c r="A271">
        <f t="shared" si="30"/>
        <v>64.75</v>
      </c>
      <c r="B271" s="21">
        <f t="shared" si="31"/>
        <v>98863538833.793411</v>
      </c>
      <c r="C271" s="21">
        <f t="shared" si="33"/>
        <v>968862680.57117558</v>
      </c>
      <c r="D271" s="21">
        <f t="shared" si="34"/>
        <v>35487093.552005358</v>
      </c>
      <c r="E271" s="48">
        <f t="shared" si="32"/>
        <v>0.38845112745978039</v>
      </c>
    </row>
    <row r="272" spans="1:5">
      <c r="A272">
        <f t="shared" si="30"/>
        <v>65</v>
      </c>
      <c r="B272" s="21">
        <f t="shared" si="31"/>
        <v>98792566191.365051</v>
      </c>
      <c r="C272" s="21">
        <f t="shared" si="33"/>
        <v>968167148.67537761</v>
      </c>
      <c r="D272" s="21">
        <f t="shared" si="34"/>
        <v>35487092.443106018</v>
      </c>
      <c r="E272" s="48">
        <f t="shared" si="32"/>
        <v>0.38608537271216836</v>
      </c>
    </row>
    <row r="273" spans="1:5">
      <c r="A273">
        <f t="shared" si="30"/>
        <v>65.25</v>
      </c>
      <c r="B273" s="21">
        <f t="shared" si="31"/>
        <v>98721593550.045593</v>
      </c>
      <c r="C273" s="21">
        <f t="shared" si="33"/>
        <v>967471616.79044688</v>
      </c>
      <c r="D273" s="21">
        <f t="shared" si="34"/>
        <v>35487091.3342067</v>
      </c>
      <c r="E273" s="48">
        <f t="shared" si="32"/>
        <v>0.38371961800151977</v>
      </c>
    </row>
    <row r="274" spans="1:5">
      <c r="A274">
        <f t="shared" si="30"/>
        <v>65.5</v>
      </c>
      <c r="B274" s="21">
        <f t="shared" si="31"/>
        <v>98650620909.835022</v>
      </c>
      <c r="C274" s="21">
        <f t="shared" si="33"/>
        <v>966776084.91638327</v>
      </c>
      <c r="D274" s="21">
        <f t="shared" si="34"/>
        <v>35487090.225307405</v>
      </c>
      <c r="E274" s="48">
        <f t="shared" si="32"/>
        <v>0.38135386332783405</v>
      </c>
    </row>
    <row r="275" spans="1:5">
      <c r="A275">
        <f t="shared" si="30"/>
        <v>65.75</v>
      </c>
      <c r="B275" s="21">
        <f t="shared" si="31"/>
        <v>98579648270.733353</v>
      </c>
      <c r="C275" s="21">
        <f t="shared" si="33"/>
        <v>966080553.05318689</v>
      </c>
      <c r="D275" s="21">
        <f t="shared" si="34"/>
        <v>35487089.116408117</v>
      </c>
      <c r="E275" s="48">
        <f t="shared" si="32"/>
        <v>0.37898810869111177</v>
      </c>
    </row>
    <row r="276" spans="1:5">
      <c r="A276">
        <f t="shared" si="30"/>
        <v>66</v>
      </c>
      <c r="B276" s="21">
        <f t="shared" si="31"/>
        <v>98508675632.740585</v>
      </c>
      <c r="C276" s="21">
        <f t="shared" si="33"/>
        <v>965385021.20085776</v>
      </c>
      <c r="D276" s="21">
        <f t="shared" si="34"/>
        <v>35487088.007508852</v>
      </c>
      <c r="E276" s="48">
        <f t="shared" si="32"/>
        <v>0.37662235409135281</v>
      </c>
    </row>
    <row r="277" spans="1:5">
      <c r="A277">
        <f t="shared" si="30"/>
        <v>66.25</v>
      </c>
      <c r="B277" s="21">
        <f t="shared" si="31"/>
        <v>98437702995.85672</v>
      </c>
      <c r="C277" s="21">
        <f t="shared" si="33"/>
        <v>964689489.35939586</v>
      </c>
      <c r="D277" s="21">
        <f t="shared" si="34"/>
        <v>35487086.898609601</v>
      </c>
      <c r="E277" s="48">
        <f t="shared" si="32"/>
        <v>0.37425659952855739</v>
      </c>
    </row>
    <row r="278" spans="1:5">
      <c r="A278">
        <f t="shared" si="30"/>
        <v>66.5</v>
      </c>
      <c r="B278" s="21">
        <f t="shared" si="31"/>
        <v>98366730360.081757</v>
      </c>
      <c r="C278" s="21">
        <f t="shared" si="33"/>
        <v>963993957.52880132</v>
      </c>
      <c r="D278" s="21">
        <f t="shared" si="34"/>
        <v>35487085.789710373</v>
      </c>
      <c r="E278" s="48">
        <f t="shared" si="32"/>
        <v>0.37189084500272518</v>
      </c>
    </row>
    <row r="279" spans="1:5">
      <c r="A279">
        <f t="shared" si="30"/>
        <v>66.75</v>
      </c>
      <c r="B279" s="21">
        <f t="shared" si="31"/>
        <v>98295757725.415695</v>
      </c>
      <c r="C279" s="21">
        <f t="shared" si="33"/>
        <v>963298425.7090739</v>
      </c>
      <c r="D279" s="21">
        <f t="shared" si="34"/>
        <v>35487084.680811159</v>
      </c>
      <c r="E279" s="48">
        <f t="shared" si="32"/>
        <v>0.36952509051385651</v>
      </c>
    </row>
    <row r="280" spans="1:5">
      <c r="A280">
        <f t="shared" si="30"/>
        <v>67</v>
      </c>
      <c r="B280" s="21">
        <f t="shared" si="31"/>
        <v>98224785091.858521</v>
      </c>
      <c r="C280" s="21">
        <f t="shared" si="33"/>
        <v>962602893.9002136</v>
      </c>
      <c r="D280" s="21">
        <f t="shared" si="34"/>
        <v>35487083.571911961</v>
      </c>
      <c r="E280" s="48">
        <f t="shared" si="32"/>
        <v>0.36715933606195073</v>
      </c>
    </row>
    <row r="281" spans="1:5">
      <c r="A281">
        <f t="shared" si="30"/>
        <v>67.25</v>
      </c>
      <c r="B281" s="21">
        <f t="shared" si="31"/>
        <v>98153812459.410248</v>
      </c>
      <c r="C281" s="21">
        <f t="shared" si="33"/>
        <v>961907362.10222042</v>
      </c>
      <c r="D281" s="21">
        <f t="shared" si="34"/>
        <v>35487082.463012785</v>
      </c>
      <c r="E281" s="48">
        <f t="shared" si="32"/>
        <v>0.36479358164700826</v>
      </c>
    </row>
    <row r="282" spans="1:5">
      <c r="A282">
        <f t="shared" si="30"/>
        <v>67.5</v>
      </c>
      <c r="B282" s="21">
        <f t="shared" si="31"/>
        <v>98082839828.070877</v>
      </c>
      <c r="C282" s="21">
        <f t="shared" si="33"/>
        <v>961211830.31509459</v>
      </c>
      <c r="D282" s="21">
        <f t="shared" si="34"/>
        <v>35487081.354113623</v>
      </c>
      <c r="E282" s="48">
        <f t="shared" si="32"/>
        <v>0.36242782726902922</v>
      </c>
    </row>
    <row r="283" spans="1:5">
      <c r="A283">
        <f t="shared" si="30"/>
        <v>67.75</v>
      </c>
      <c r="B283" s="21">
        <f t="shared" si="31"/>
        <v>98011867197.840408</v>
      </c>
      <c r="C283" s="21">
        <f t="shared" si="33"/>
        <v>960516298.538836</v>
      </c>
      <c r="D283" s="21">
        <f t="shared" si="34"/>
        <v>35487080.245214477</v>
      </c>
      <c r="E283" s="48">
        <f t="shared" si="32"/>
        <v>0.36006207292801362</v>
      </c>
    </row>
    <row r="284" spans="1:5">
      <c r="A284">
        <f t="shared" si="30"/>
        <v>68</v>
      </c>
      <c r="B284" s="21">
        <f t="shared" si="31"/>
        <v>97940894568.718842</v>
      </c>
      <c r="C284" s="21">
        <f t="shared" si="33"/>
        <v>959820766.77344465</v>
      </c>
      <c r="D284" s="21">
        <f t="shared" si="34"/>
        <v>35487079.136315346</v>
      </c>
      <c r="E284" s="48">
        <f t="shared" si="32"/>
        <v>0.35769631862396134</v>
      </c>
    </row>
    <row r="285" spans="1:5">
      <c r="A285">
        <f t="shared" si="30"/>
        <v>68.25</v>
      </c>
      <c r="B285" s="21">
        <f t="shared" si="31"/>
        <v>97869921940.706161</v>
      </c>
      <c r="C285" s="21">
        <f t="shared" si="33"/>
        <v>959125235.01892042</v>
      </c>
      <c r="D285" s="21">
        <f t="shared" si="34"/>
        <v>35487078.027416237</v>
      </c>
      <c r="E285" s="48">
        <f t="shared" si="32"/>
        <v>0.35533056435687205</v>
      </c>
    </row>
    <row r="286" spans="1:5">
      <c r="A286">
        <f t="shared" si="30"/>
        <v>68.5</v>
      </c>
      <c r="B286" s="21">
        <f t="shared" si="31"/>
        <v>97798949313.802383</v>
      </c>
      <c r="C286" s="21">
        <f t="shared" si="33"/>
        <v>958429703.27526343</v>
      </c>
      <c r="D286" s="21">
        <f t="shared" si="34"/>
        <v>35487076.918517143</v>
      </c>
      <c r="E286" s="48">
        <f t="shared" si="32"/>
        <v>0.35296481012674608</v>
      </c>
    </row>
    <row r="287" spans="1:5">
      <c r="A287">
        <f t="shared" si="30"/>
        <v>68.75</v>
      </c>
      <c r="B287" s="21">
        <f t="shared" si="31"/>
        <v>97727976688.007507</v>
      </c>
      <c r="C287" s="21">
        <f t="shared" si="33"/>
        <v>957734171.54247367</v>
      </c>
      <c r="D287" s="21">
        <f t="shared" si="34"/>
        <v>35487075.809618071</v>
      </c>
      <c r="E287" s="48">
        <f t="shared" si="32"/>
        <v>0.35059905593358354</v>
      </c>
    </row>
    <row r="288" spans="1:5">
      <c r="A288">
        <f t="shared" si="30"/>
        <v>69</v>
      </c>
      <c r="B288" s="21">
        <f t="shared" si="31"/>
        <v>97657004063.321533</v>
      </c>
      <c r="C288" s="21">
        <f t="shared" si="33"/>
        <v>957038639.82055116</v>
      </c>
      <c r="D288" s="21">
        <f t="shared" si="34"/>
        <v>35487074.700719014</v>
      </c>
      <c r="E288" s="48">
        <f t="shared" si="32"/>
        <v>0.34823330177738443</v>
      </c>
    </row>
    <row r="289" spans="1:5">
      <c r="A289">
        <f t="shared" si="30"/>
        <v>69.25</v>
      </c>
      <c r="B289" s="21">
        <f t="shared" si="31"/>
        <v>97586031439.744461</v>
      </c>
      <c r="C289" s="21">
        <f t="shared" si="33"/>
        <v>956343108.10949576</v>
      </c>
      <c r="D289" s="21">
        <f t="shared" si="34"/>
        <v>35487073.591819972</v>
      </c>
      <c r="E289" s="48">
        <f t="shared" si="32"/>
        <v>0.34586754765814876</v>
      </c>
    </row>
    <row r="290" spans="1:5">
      <c r="A290">
        <f t="shared" si="30"/>
        <v>69.5</v>
      </c>
      <c r="B290" s="21">
        <f t="shared" si="31"/>
        <v>97515058817.276276</v>
      </c>
      <c r="C290" s="21">
        <f t="shared" si="33"/>
        <v>955647576.4093076</v>
      </c>
      <c r="D290" s="21">
        <f t="shared" si="34"/>
        <v>35487072.482920945</v>
      </c>
      <c r="E290" s="48">
        <f t="shared" si="32"/>
        <v>0.34350179357587585</v>
      </c>
    </row>
    <row r="291" spans="1:5">
      <c r="A291">
        <f t="shared" si="30"/>
        <v>69.75</v>
      </c>
      <c r="B291" s="21">
        <f t="shared" si="31"/>
        <v>97444086195.916992</v>
      </c>
      <c r="C291" s="21">
        <f t="shared" si="33"/>
        <v>954952044.71998656</v>
      </c>
      <c r="D291" s="21">
        <f t="shared" si="34"/>
        <v>35487071.37402194</v>
      </c>
      <c r="E291" s="48">
        <f t="shared" si="32"/>
        <v>0.34113603953056637</v>
      </c>
    </row>
    <row r="292" spans="1:5">
      <c r="A292">
        <f t="shared" si="30"/>
        <v>70</v>
      </c>
      <c r="B292" s="21">
        <f t="shared" si="31"/>
        <v>97373113575.666611</v>
      </c>
      <c r="C292" s="21">
        <f t="shared" si="33"/>
        <v>954256513.04153287</v>
      </c>
      <c r="D292" s="21">
        <f t="shared" si="34"/>
        <v>35487070.26512295</v>
      </c>
      <c r="E292" s="48">
        <f t="shared" si="32"/>
        <v>0.33877028552222033</v>
      </c>
    </row>
    <row r="293" spans="1:5">
      <c r="A293">
        <f t="shared" si="30"/>
        <v>70.25</v>
      </c>
      <c r="B293" s="21">
        <f t="shared" si="31"/>
        <v>97302140956.525131</v>
      </c>
      <c r="C293" s="21">
        <f t="shared" si="33"/>
        <v>953560981.37394643</v>
      </c>
      <c r="D293" s="21">
        <f t="shared" si="34"/>
        <v>35487069.156223983</v>
      </c>
      <c r="E293" s="48">
        <f t="shared" si="32"/>
        <v>0.33640453155083772</v>
      </c>
    </row>
    <row r="294" spans="1:5">
      <c r="A294">
        <f t="shared" si="30"/>
        <v>70.5</v>
      </c>
      <c r="B294" s="21">
        <f t="shared" si="31"/>
        <v>97231168338.492554</v>
      </c>
      <c r="C294" s="21">
        <f t="shared" si="33"/>
        <v>952865449.7172271</v>
      </c>
      <c r="D294" s="21">
        <f t="shared" si="34"/>
        <v>35487068.04732503</v>
      </c>
      <c r="E294" s="48">
        <f t="shared" si="32"/>
        <v>0.33403877761641843</v>
      </c>
    </row>
    <row r="295" spans="1:5">
      <c r="A295">
        <f t="shared" si="30"/>
        <v>70.75</v>
      </c>
      <c r="B295" s="21">
        <f t="shared" si="31"/>
        <v>97160195721.568878</v>
      </c>
      <c r="C295" s="21">
        <f t="shared" si="33"/>
        <v>952169918.07137513</v>
      </c>
      <c r="D295" s="21">
        <f t="shared" si="34"/>
        <v>35487066.938426092</v>
      </c>
      <c r="E295" s="48">
        <f t="shared" si="32"/>
        <v>0.33167302371896257</v>
      </c>
    </row>
    <row r="296" spans="1:5">
      <c r="A296">
        <f t="shared" si="30"/>
        <v>71</v>
      </c>
      <c r="B296" s="21">
        <f t="shared" si="31"/>
        <v>97089223105.754089</v>
      </c>
      <c r="C296" s="21">
        <f t="shared" si="33"/>
        <v>951474386.43639016</v>
      </c>
      <c r="D296" s="21">
        <f t="shared" si="34"/>
        <v>35487065.829527169</v>
      </c>
      <c r="E296" s="48">
        <f t="shared" si="32"/>
        <v>0.3293072698584697</v>
      </c>
    </row>
    <row r="297" spans="1:5">
      <c r="A297">
        <f t="shared" si="30"/>
        <v>71.25</v>
      </c>
      <c r="B297" s="21">
        <f t="shared" si="31"/>
        <v>97018250491.048203</v>
      </c>
      <c r="C297" s="21">
        <f t="shared" si="33"/>
        <v>950778854.81227243</v>
      </c>
      <c r="D297" s="21">
        <f t="shared" si="34"/>
        <v>35487064.720628269</v>
      </c>
      <c r="E297" s="48">
        <f t="shared" si="32"/>
        <v>0.32694151603494004</v>
      </c>
    </row>
    <row r="298" spans="1:5">
      <c r="A298">
        <f t="shared" si="30"/>
        <v>71.5</v>
      </c>
      <c r="B298" s="21">
        <f t="shared" si="31"/>
        <v>96947277877.451218</v>
      </c>
      <c r="C298" s="21">
        <f t="shared" si="33"/>
        <v>950083323.19902194</v>
      </c>
      <c r="D298" s="21">
        <f t="shared" si="34"/>
        <v>35487063.611729383</v>
      </c>
      <c r="E298" s="48">
        <f t="shared" si="32"/>
        <v>0.32457576224837392</v>
      </c>
    </row>
    <row r="299" spans="1:5">
      <c r="A299">
        <f t="shared" si="30"/>
        <v>71.75</v>
      </c>
      <c r="B299" s="21">
        <f t="shared" si="31"/>
        <v>96876305264.963135</v>
      </c>
      <c r="C299" s="21">
        <f t="shared" si="33"/>
        <v>949387791.5966388</v>
      </c>
      <c r="D299" s="21">
        <f t="shared" si="34"/>
        <v>35487062.502830513</v>
      </c>
      <c r="E299" s="48">
        <f t="shared" si="32"/>
        <v>0.32221000849877113</v>
      </c>
    </row>
    <row r="300" spans="1:5">
      <c r="A300">
        <f t="shared" si="30"/>
        <v>72</v>
      </c>
      <c r="B300" s="21">
        <f t="shared" si="31"/>
        <v>96805332653.583939</v>
      </c>
      <c r="C300" s="21">
        <f t="shared" si="33"/>
        <v>948692260.00512266</v>
      </c>
      <c r="D300" s="21">
        <f t="shared" si="34"/>
        <v>35487061.393931665</v>
      </c>
      <c r="E300" s="48">
        <f t="shared" si="32"/>
        <v>0.31984425478613132</v>
      </c>
    </row>
    <row r="301" spans="1:5">
      <c r="A301">
        <f t="shared" si="30"/>
        <v>72.25</v>
      </c>
      <c r="B301" s="21">
        <f t="shared" si="31"/>
        <v>96734360043.313644</v>
      </c>
      <c r="C301" s="21">
        <f t="shared" si="33"/>
        <v>947996728.42447376</v>
      </c>
      <c r="D301" s="21">
        <f t="shared" si="34"/>
        <v>35487060.285032831</v>
      </c>
      <c r="E301" s="48">
        <f t="shared" si="32"/>
        <v>0.31747850111045484</v>
      </c>
    </row>
    <row r="302" spans="1:5">
      <c r="A302">
        <f t="shared" si="30"/>
        <v>72.5</v>
      </c>
      <c r="B302" s="21">
        <f t="shared" si="31"/>
        <v>96663387434.152252</v>
      </c>
      <c r="C302" s="21">
        <f t="shared" si="33"/>
        <v>947301196.8546921</v>
      </c>
      <c r="D302" s="21">
        <f t="shared" si="34"/>
        <v>35487059.17613402</v>
      </c>
      <c r="E302" s="48">
        <f t="shared" si="32"/>
        <v>0.31511274747174178</v>
      </c>
    </row>
    <row r="303" spans="1:5">
      <c r="A303">
        <f t="shared" si="30"/>
        <v>72.75</v>
      </c>
      <c r="B303" s="21">
        <f t="shared" si="31"/>
        <v>96592414826.099762</v>
      </c>
      <c r="C303" s="21">
        <f t="shared" si="33"/>
        <v>946605665.29577768</v>
      </c>
      <c r="D303" s="21">
        <f t="shared" si="34"/>
        <v>35487058.067235216</v>
      </c>
      <c r="E303" s="48">
        <f t="shared" si="32"/>
        <v>0.31274699386999205</v>
      </c>
    </row>
    <row r="304" spans="1:5">
      <c r="A304">
        <f t="shared" si="30"/>
        <v>73</v>
      </c>
      <c r="B304" s="21">
        <f t="shared" si="31"/>
        <v>96521442219.156174</v>
      </c>
      <c r="C304" s="21">
        <f t="shared" si="33"/>
        <v>945910133.74773061</v>
      </c>
      <c r="D304" s="21">
        <f t="shared" si="34"/>
        <v>35487056.958336435</v>
      </c>
      <c r="E304" s="48">
        <f t="shared" si="32"/>
        <v>0.31038124030520575</v>
      </c>
    </row>
    <row r="305" spans="1:5">
      <c r="A305">
        <f t="shared" si="30"/>
        <v>73.25</v>
      </c>
      <c r="B305" s="21">
        <f t="shared" si="31"/>
        <v>96450469613.321472</v>
      </c>
      <c r="C305" s="21">
        <f t="shared" si="33"/>
        <v>945214602.21055055</v>
      </c>
      <c r="D305" s="21">
        <f t="shared" si="34"/>
        <v>35487055.849437676</v>
      </c>
      <c r="E305" s="48">
        <f t="shared" si="32"/>
        <v>0.30801548677738244</v>
      </c>
    </row>
    <row r="306" spans="1:5">
      <c r="A306">
        <f t="shared" si="30"/>
        <v>73.5</v>
      </c>
      <c r="B306" s="21">
        <f t="shared" si="31"/>
        <v>96379497008.595673</v>
      </c>
      <c r="C306" s="21">
        <f t="shared" si="33"/>
        <v>944519070.68423772</v>
      </c>
      <c r="D306" s="21">
        <f t="shared" si="34"/>
        <v>35487054.740538925</v>
      </c>
      <c r="E306" s="48">
        <f t="shared" si="32"/>
        <v>0.30564973328652245</v>
      </c>
    </row>
    <row r="307" spans="1:5">
      <c r="A307">
        <f t="shared" si="30"/>
        <v>73.75</v>
      </c>
      <c r="B307" s="21">
        <f t="shared" si="31"/>
        <v>96308524404.978775</v>
      </c>
      <c r="C307" s="21">
        <f t="shared" si="33"/>
        <v>943823539.16879213</v>
      </c>
      <c r="D307" s="21">
        <f t="shared" si="34"/>
        <v>35487053.631640196</v>
      </c>
      <c r="E307" s="48">
        <f t="shared" si="32"/>
        <v>0.30328397983262578</v>
      </c>
    </row>
    <row r="308" spans="1:5">
      <c r="A308">
        <f t="shared" si="30"/>
        <v>74</v>
      </c>
      <c r="B308" s="21">
        <f t="shared" si="31"/>
        <v>96237551802.470779</v>
      </c>
      <c r="C308" s="21">
        <f t="shared" si="33"/>
        <v>943128007.66421378</v>
      </c>
      <c r="D308" s="21">
        <f t="shared" si="34"/>
        <v>35487052.522741489</v>
      </c>
      <c r="E308" s="48">
        <f t="shared" si="32"/>
        <v>0.30091822641569266</v>
      </c>
    </row>
    <row r="309" spans="1:5">
      <c r="A309">
        <f t="shared" si="30"/>
        <v>74.25</v>
      </c>
      <c r="B309" s="21">
        <f t="shared" si="31"/>
        <v>96166579201.071686</v>
      </c>
      <c r="C309" s="21">
        <f t="shared" si="33"/>
        <v>942432476.17050254</v>
      </c>
      <c r="D309" s="21">
        <f t="shared" si="34"/>
        <v>35487051.413842797</v>
      </c>
      <c r="E309" s="48">
        <f t="shared" si="32"/>
        <v>0.29855247303572285</v>
      </c>
    </row>
    <row r="310" spans="1:5">
      <c r="A310">
        <f t="shared" si="30"/>
        <v>74.5</v>
      </c>
      <c r="B310" s="21">
        <f t="shared" si="31"/>
        <v>96095606600.781479</v>
      </c>
      <c r="C310" s="21">
        <f t="shared" si="33"/>
        <v>941736944.68765855</v>
      </c>
      <c r="D310" s="21">
        <f t="shared" si="34"/>
        <v>35487050.30494412</v>
      </c>
      <c r="E310" s="48">
        <f t="shared" si="32"/>
        <v>0.29618671969271593</v>
      </c>
    </row>
    <row r="311" spans="1:5">
      <c r="A311">
        <f t="shared" si="30"/>
        <v>74.75</v>
      </c>
      <c r="B311" s="21">
        <f t="shared" si="31"/>
        <v>96024634001.600174</v>
      </c>
      <c r="C311" s="21">
        <f t="shared" si="33"/>
        <v>941041413.21568179</v>
      </c>
      <c r="D311" s="21">
        <f t="shared" si="34"/>
        <v>35487049.196045458</v>
      </c>
      <c r="E311" s="48">
        <f t="shared" si="32"/>
        <v>0.29382096638667243</v>
      </c>
    </row>
    <row r="312" spans="1:5">
      <c r="A312">
        <f t="shared" si="30"/>
        <v>75</v>
      </c>
      <c r="B312" s="21">
        <f t="shared" si="31"/>
        <v>95953661403.527771</v>
      </c>
      <c r="C312" s="21">
        <f t="shared" si="33"/>
        <v>940345881.75457227</v>
      </c>
      <c r="D312" s="21">
        <f t="shared" si="34"/>
        <v>35487048.087146811</v>
      </c>
      <c r="E312" s="48">
        <f t="shared" si="32"/>
        <v>0.29145521311759237</v>
      </c>
    </row>
    <row r="313" spans="1:5">
      <c r="A313">
        <f t="shared" si="30"/>
        <v>75.25</v>
      </c>
      <c r="B313" s="21">
        <f t="shared" si="31"/>
        <v>95882688806.56427</v>
      </c>
      <c r="C313" s="21">
        <f t="shared" si="33"/>
        <v>939650350.30432999</v>
      </c>
      <c r="D313" s="21">
        <f t="shared" si="34"/>
        <v>35487046.978248186</v>
      </c>
      <c r="E313" s="48">
        <f t="shared" si="32"/>
        <v>0.28908945988547563</v>
      </c>
    </row>
    <row r="314" spans="1:5">
      <c r="A314">
        <f t="shared" si="30"/>
        <v>75.5</v>
      </c>
      <c r="B314" s="21">
        <f t="shared" si="31"/>
        <v>95811716210.709671</v>
      </c>
      <c r="C314" s="21">
        <f t="shared" si="33"/>
        <v>938954818.86495483</v>
      </c>
      <c r="D314" s="21">
        <f t="shared" si="34"/>
        <v>35487045.869349584</v>
      </c>
      <c r="E314" s="48">
        <f t="shared" si="32"/>
        <v>0.28672370669032232</v>
      </c>
    </row>
    <row r="315" spans="1:5">
      <c r="A315">
        <f t="shared" si="30"/>
        <v>75.75</v>
      </c>
      <c r="B315" s="21">
        <f t="shared" si="31"/>
        <v>95740743615.963959</v>
      </c>
      <c r="C315" s="21">
        <f t="shared" si="33"/>
        <v>938259287.43644691</v>
      </c>
      <c r="D315" s="21">
        <f t="shared" si="34"/>
        <v>35487044.760450989</v>
      </c>
      <c r="E315" s="48">
        <f t="shared" si="32"/>
        <v>0.284357953532132</v>
      </c>
    </row>
    <row r="316" spans="1:5">
      <c r="A316">
        <f t="shared" si="30"/>
        <v>76</v>
      </c>
      <c r="B316" s="21">
        <f t="shared" si="31"/>
        <v>95669771022.327148</v>
      </c>
      <c r="C316" s="21">
        <f t="shared" si="33"/>
        <v>937563756.0188061</v>
      </c>
      <c r="D316" s="21">
        <f t="shared" si="34"/>
        <v>35487043.651552416</v>
      </c>
      <c r="E316" s="48">
        <f t="shared" si="32"/>
        <v>0.281992200410905</v>
      </c>
    </row>
    <row r="317" spans="1:5">
      <c r="A317">
        <f t="shared" si="30"/>
        <v>76.25</v>
      </c>
      <c r="B317" s="21">
        <f t="shared" si="31"/>
        <v>95598798429.79924</v>
      </c>
      <c r="C317" s="21">
        <f t="shared" si="33"/>
        <v>936868224.61203265</v>
      </c>
      <c r="D317" s="21">
        <f t="shared" si="34"/>
        <v>35487042.542653866</v>
      </c>
      <c r="E317" s="48">
        <f t="shared" si="32"/>
        <v>0.27962644732664133</v>
      </c>
    </row>
    <row r="318" spans="1:5">
      <c r="A318">
        <f t="shared" si="30"/>
        <v>76.5</v>
      </c>
      <c r="B318" s="21">
        <f t="shared" si="31"/>
        <v>95527825838.380234</v>
      </c>
      <c r="C318" s="21">
        <f t="shared" si="33"/>
        <v>936172693.21612632</v>
      </c>
      <c r="D318" s="21">
        <f t="shared" si="34"/>
        <v>35487041.433755323</v>
      </c>
      <c r="E318" s="48">
        <f t="shared" si="32"/>
        <v>0.27726069427934108</v>
      </c>
    </row>
    <row r="319" spans="1:5">
      <c r="A319">
        <f t="shared" si="30"/>
        <v>76.75</v>
      </c>
      <c r="B319" s="21">
        <f t="shared" si="31"/>
        <v>95456853248.070114</v>
      </c>
      <c r="C319" s="21">
        <f t="shared" si="33"/>
        <v>935477161.83108711</v>
      </c>
      <c r="D319" s="21">
        <f t="shared" si="34"/>
        <v>35487040.324856803</v>
      </c>
      <c r="E319" s="48">
        <f t="shared" si="32"/>
        <v>0.27489494126900382</v>
      </c>
    </row>
    <row r="320" spans="1:5">
      <c r="A320">
        <f t="shared" si="30"/>
        <v>77</v>
      </c>
      <c r="B320" s="21">
        <f t="shared" si="31"/>
        <v>95385880658.868896</v>
      </c>
      <c r="C320" s="21">
        <f t="shared" si="33"/>
        <v>934781630.45691526</v>
      </c>
      <c r="D320" s="21">
        <f t="shared" si="34"/>
        <v>35487039.215958297</v>
      </c>
      <c r="E320" s="48">
        <f t="shared" si="32"/>
        <v>0.27252918829562989</v>
      </c>
    </row>
    <row r="321" spans="1:5">
      <c r="A321">
        <f t="shared" ref="A321:A385" si="35">A320+0.25</f>
        <v>77.25</v>
      </c>
      <c r="B321" s="21">
        <f t="shared" si="31"/>
        <v>95314908070.776581</v>
      </c>
      <c r="C321" s="21">
        <f t="shared" si="33"/>
        <v>934086099.09361064</v>
      </c>
      <c r="D321" s="21">
        <f t="shared" si="34"/>
        <v>35487038.107059814</v>
      </c>
      <c r="E321" s="48">
        <f t="shared" si="32"/>
        <v>0.27016343535921938</v>
      </c>
    </row>
    <row r="322" spans="1:5">
      <c r="A322">
        <f t="shared" si="35"/>
        <v>77.5</v>
      </c>
      <c r="B322" s="21">
        <f t="shared" si="31"/>
        <v>95243935483.793167</v>
      </c>
      <c r="C322" s="21">
        <f t="shared" si="33"/>
        <v>933390567.74117315</v>
      </c>
      <c r="D322" s="21">
        <f t="shared" si="34"/>
        <v>35487036.998161346</v>
      </c>
      <c r="E322" s="48">
        <f t="shared" si="32"/>
        <v>0.2677976824597722</v>
      </c>
    </row>
    <row r="323" spans="1:5">
      <c r="A323">
        <f t="shared" si="35"/>
        <v>77.75</v>
      </c>
      <c r="B323" s="21">
        <f t="shared" si="31"/>
        <v>95172962897.91864</v>
      </c>
      <c r="C323" s="21">
        <f t="shared" si="33"/>
        <v>932695036.39960277</v>
      </c>
      <c r="D323" s="21">
        <f t="shared" si="34"/>
        <v>35487035.889262892</v>
      </c>
      <c r="E323" s="48">
        <f t="shared" si="32"/>
        <v>0.26543192959728801</v>
      </c>
    </row>
    <row r="324" spans="1:5">
      <c r="A324">
        <f t="shared" si="35"/>
        <v>78</v>
      </c>
      <c r="B324" s="21">
        <f t="shared" si="31"/>
        <v>95101990313.153015</v>
      </c>
      <c r="C324" s="21">
        <f t="shared" si="33"/>
        <v>931999505.06889963</v>
      </c>
      <c r="D324" s="21">
        <f t="shared" si="34"/>
        <v>35487034.780364461</v>
      </c>
      <c r="E324" s="48">
        <f t="shared" si="32"/>
        <v>0.26306617677176714</v>
      </c>
    </row>
    <row r="325" spans="1:5">
      <c r="A325">
        <f t="shared" si="35"/>
        <v>78.25</v>
      </c>
      <c r="B325" s="21">
        <f t="shared" si="31"/>
        <v>95031017729.496292</v>
      </c>
      <c r="C325" s="21">
        <f t="shared" si="33"/>
        <v>931303973.74906373</v>
      </c>
      <c r="D325" s="21">
        <f t="shared" si="34"/>
        <v>35487033.671466045</v>
      </c>
      <c r="E325" s="48">
        <f t="shared" si="32"/>
        <v>0.26070042398320969</v>
      </c>
    </row>
    <row r="326" spans="1:5">
      <c r="A326">
        <f t="shared" si="35"/>
        <v>78.5</v>
      </c>
      <c r="B326" s="21">
        <f t="shared" si="31"/>
        <v>94960045146.948471</v>
      </c>
      <c r="C326" s="21">
        <f t="shared" si="33"/>
        <v>930608442.44009507</v>
      </c>
      <c r="D326" s="21">
        <f t="shared" si="34"/>
        <v>35487032.562567644</v>
      </c>
      <c r="E326" s="48">
        <f t="shared" si="32"/>
        <v>0.25833467123161569</v>
      </c>
    </row>
    <row r="327" spans="1:5">
      <c r="A327">
        <f t="shared" si="35"/>
        <v>78.75</v>
      </c>
      <c r="B327" s="21">
        <f t="shared" si="31"/>
        <v>94889072565.509552</v>
      </c>
      <c r="C327" s="21">
        <f t="shared" si="33"/>
        <v>929912911.14199364</v>
      </c>
      <c r="D327" s="21">
        <f t="shared" si="34"/>
        <v>35487031.453669257</v>
      </c>
      <c r="E327" s="48">
        <f t="shared" si="32"/>
        <v>0.25596891851698511</v>
      </c>
    </row>
    <row r="328" spans="1:5">
      <c r="A328">
        <f t="shared" si="35"/>
        <v>79</v>
      </c>
      <c r="B328" s="21">
        <f t="shared" ref="B328:B354" si="36">B327-D327-$D$8</f>
        <v>94818099985.17952</v>
      </c>
      <c r="C328" s="21">
        <f t="shared" si="33"/>
        <v>929217379.85475945</v>
      </c>
      <c r="D328" s="21">
        <f t="shared" si="34"/>
        <v>35487030.344770893</v>
      </c>
      <c r="E328" s="48">
        <f t="shared" ref="E328:E354" si="37">1-(($B$12-B328)/$D$3)</f>
        <v>0.2536031658393173</v>
      </c>
    </row>
    <row r="329" spans="1:5">
      <c r="A329">
        <f t="shared" si="35"/>
        <v>79.25</v>
      </c>
      <c r="B329" s="21">
        <f t="shared" si="36"/>
        <v>94747127405.958389</v>
      </c>
      <c r="C329" s="21">
        <f t="shared" si="33"/>
        <v>928521848.57839239</v>
      </c>
      <c r="D329" s="21">
        <f t="shared" si="34"/>
        <v>35487029.235872544</v>
      </c>
      <c r="E329" s="48">
        <f t="shared" si="37"/>
        <v>0.25123741319861292</v>
      </c>
    </row>
    <row r="330" spans="1:5">
      <c r="A330">
        <f t="shared" si="35"/>
        <v>79.5</v>
      </c>
      <c r="B330" s="21">
        <f t="shared" si="36"/>
        <v>94676154827.846161</v>
      </c>
      <c r="C330" s="21">
        <f t="shared" si="33"/>
        <v>927826317.31289244</v>
      </c>
      <c r="D330" s="21">
        <f t="shared" si="34"/>
        <v>35487028.126974218</v>
      </c>
      <c r="E330" s="48">
        <f t="shared" si="37"/>
        <v>0.24887166059487198</v>
      </c>
    </row>
    <row r="331" spans="1:5">
      <c r="A331">
        <f t="shared" si="35"/>
        <v>79.75</v>
      </c>
      <c r="B331" s="21">
        <f t="shared" si="36"/>
        <v>94605182250.842834</v>
      </c>
      <c r="C331" s="21">
        <f t="shared" si="33"/>
        <v>927130786.05825984</v>
      </c>
      <c r="D331" s="21">
        <f t="shared" si="34"/>
        <v>35487027.018075906</v>
      </c>
      <c r="E331" s="48">
        <f t="shared" si="37"/>
        <v>0.24650590802809447</v>
      </c>
    </row>
    <row r="332" spans="1:5">
      <c r="A332">
        <f t="shared" si="35"/>
        <v>80</v>
      </c>
      <c r="B332" s="21">
        <f t="shared" si="36"/>
        <v>94534209674.948395</v>
      </c>
      <c r="C332" s="21">
        <f t="shared" si="33"/>
        <v>926435254.81449437</v>
      </c>
      <c r="D332" s="21">
        <f t="shared" si="34"/>
        <v>35487025.909177609</v>
      </c>
      <c r="E332" s="48">
        <f t="shared" si="37"/>
        <v>0.24414015549827983</v>
      </c>
    </row>
    <row r="333" spans="1:5">
      <c r="A333">
        <f t="shared" si="35"/>
        <v>80.25</v>
      </c>
      <c r="B333" s="21">
        <f t="shared" si="36"/>
        <v>94463237100.162857</v>
      </c>
      <c r="C333" s="21">
        <f t="shared" ref="C333:C396" si="38">IF(B333&gt;$D$2,B333*$D$4/1000,0)</f>
        <v>925739723.58159602</v>
      </c>
      <c r="D333" s="21">
        <f t="shared" ref="D333:D396" si="39">C333*$D$6*$D$5+$D$8</f>
        <v>35487024.800279327</v>
      </c>
      <c r="E333" s="48">
        <f t="shared" si="37"/>
        <v>0.24177440300542852</v>
      </c>
    </row>
    <row r="334" spans="1:5">
      <c r="A334">
        <f t="shared" si="35"/>
        <v>80.5</v>
      </c>
      <c r="B334" s="21">
        <f t="shared" si="36"/>
        <v>94392264526.486221</v>
      </c>
      <c r="C334" s="21">
        <f t="shared" si="38"/>
        <v>925044192.35956502</v>
      </c>
      <c r="D334" s="21">
        <f t="shared" si="39"/>
        <v>35487023.691381067</v>
      </c>
      <c r="E334" s="48">
        <f t="shared" si="37"/>
        <v>0.23940865054954075</v>
      </c>
    </row>
    <row r="335" spans="1:5">
      <c r="A335">
        <f t="shared" si="35"/>
        <v>80.75</v>
      </c>
      <c r="B335" s="21">
        <f t="shared" si="36"/>
        <v>94321291953.918488</v>
      </c>
      <c r="C335" s="21">
        <f t="shared" si="38"/>
        <v>924348661.14840126</v>
      </c>
      <c r="D335" s="21">
        <f t="shared" si="39"/>
        <v>35487022.582482822</v>
      </c>
      <c r="E335" s="48">
        <f t="shared" si="37"/>
        <v>0.2370428981306163</v>
      </c>
    </row>
    <row r="336" spans="1:5">
      <c r="A336">
        <f t="shared" si="35"/>
        <v>81</v>
      </c>
      <c r="B336" s="21">
        <f t="shared" si="36"/>
        <v>94250319382.459641</v>
      </c>
      <c r="C336" s="21">
        <f t="shared" si="38"/>
        <v>923653129.9481045</v>
      </c>
      <c r="D336" s="21">
        <f t="shared" si="39"/>
        <v>35487021.4735846</v>
      </c>
      <c r="E336" s="48">
        <f t="shared" si="37"/>
        <v>0.23467714574865473</v>
      </c>
    </row>
    <row r="337" spans="1:5">
      <c r="A337">
        <f t="shared" si="35"/>
        <v>81.25</v>
      </c>
      <c r="B337" s="21">
        <f t="shared" si="36"/>
        <v>94179346812.109695</v>
      </c>
      <c r="C337" s="21">
        <f t="shared" si="38"/>
        <v>922957598.7586751</v>
      </c>
      <c r="D337" s="21">
        <f t="shared" si="39"/>
        <v>35487020.364686392</v>
      </c>
      <c r="E337" s="48">
        <f t="shared" si="37"/>
        <v>0.23231139340365647</v>
      </c>
    </row>
    <row r="338" spans="1:5">
      <c r="A338">
        <f t="shared" si="35"/>
        <v>81.5</v>
      </c>
      <c r="B338" s="21">
        <f t="shared" si="36"/>
        <v>94108374242.868652</v>
      </c>
      <c r="C338" s="21">
        <f t="shared" si="38"/>
        <v>922262067.58011293</v>
      </c>
      <c r="D338" s="21">
        <f t="shared" si="39"/>
        <v>35487019.2557882</v>
      </c>
      <c r="E338" s="48">
        <f t="shared" si="37"/>
        <v>0.22994564109562177</v>
      </c>
    </row>
    <row r="339" spans="1:5">
      <c r="A339">
        <f t="shared" si="35"/>
        <v>81.75</v>
      </c>
      <c r="B339" s="21">
        <f t="shared" si="36"/>
        <v>94037401674.736511</v>
      </c>
      <c r="C339" s="21">
        <f t="shared" si="38"/>
        <v>921566536.41241789</v>
      </c>
      <c r="D339" s="21">
        <f t="shared" si="39"/>
        <v>35487018.146890022</v>
      </c>
      <c r="E339" s="48">
        <f t="shared" si="37"/>
        <v>0.22757988882455038</v>
      </c>
    </row>
    <row r="340" spans="1:5">
      <c r="A340">
        <f t="shared" si="35"/>
        <v>82</v>
      </c>
      <c r="B340" s="21">
        <f t="shared" si="36"/>
        <v>93966429107.713257</v>
      </c>
      <c r="C340" s="21">
        <f t="shared" si="38"/>
        <v>920871005.25558996</v>
      </c>
      <c r="D340" s="21">
        <f t="shared" si="39"/>
        <v>35487017.037991866</v>
      </c>
      <c r="E340" s="48">
        <f t="shared" si="37"/>
        <v>0.22521413659044187</v>
      </c>
    </row>
    <row r="341" spans="1:5">
      <c r="A341">
        <f t="shared" si="35"/>
        <v>82.25</v>
      </c>
      <c r="B341" s="21">
        <f t="shared" si="36"/>
        <v>93895456541.798904</v>
      </c>
      <c r="C341" s="21">
        <f t="shared" si="38"/>
        <v>920175474.10962927</v>
      </c>
      <c r="D341" s="21">
        <f t="shared" si="39"/>
        <v>35487015.929093726</v>
      </c>
      <c r="E341" s="48">
        <f t="shared" si="37"/>
        <v>0.22284838439329679</v>
      </c>
    </row>
    <row r="342" spans="1:5">
      <c r="A342">
        <f t="shared" si="35"/>
        <v>82.5</v>
      </c>
      <c r="B342" s="21">
        <f t="shared" si="36"/>
        <v>93824483976.993454</v>
      </c>
      <c r="C342" s="21">
        <f t="shared" si="38"/>
        <v>919479942.97453594</v>
      </c>
      <c r="D342" s="21">
        <f t="shared" si="39"/>
        <v>35487014.8201956</v>
      </c>
      <c r="E342" s="48">
        <f t="shared" si="37"/>
        <v>0.22048263223311515</v>
      </c>
    </row>
    <row r="343" spans="1:5">
      <c r="A343">
        <f t="shared" si="35"/>
        <v>82.75</v>
      </c>
      <c r="B343" s="21">
        <f t="shared" si="36"/>
        <v>93753511413.296906</v>
      </c>
      <c r="C343" s="21">
        <f t="shared" si="38"/>
        <v>918784411.85030973</v>
      </c>
      <c r="D343" s="21">
        <f t="shared" si="39"/>
        <v>35487013.711297497</v>
      </c>
      <c r="E343" s="48">
        <f t="shared" si="37"/>
        <v>0.21811688010989683</v>
      </c>
    </row>
    <row r="344" spans="1:5">
      <c r="A344">
        <f t="shared" si="35"/>
        <v>83</v>
      </c>
      <c r="B344" s="21">
        <f t="shared" si="36"/>
        <v>93682538850.709244</v>
      </c>
      <c r="C344" s="21">
        <f t="shared" si="38"/>
        <v>918088880.73695064</v>
      </c>
      <c r="D344" s="21">
        <f t="shared" si="39"/>
        <v>35487012.602399409</v>
      </c>
      <c r="E344" s="48">
        <f t="shared" si="37"/>
        <v>0.21575112802364149</v>
      </c>
    </row>
    <row r="345" spans="1:5">
      <c r="A345">
        <f t="shared" si="35"/>
        <v>83.25</v>
      </c>
      <c r="B345" s="21">
        <f t="shared" si="36"/>
        <v>93611566289.230484</v>
      </c>
      <c r="C345" s="21">
        <f t="shared" si="38"/>
        <v>917393349.6344589</v>
      </c>
      <c r="D345" s="21">
        <f t="shared" si="39"/>
        <v>35487011.493501343</v>
      </c>
      <c r="E345" s="48">
        <f t="shared" si="37"/>
        <v>0.21338537597434948</v>
      </c>
    </row>
    <row r="346" spans="1:5">
      <c r="A346">
        <f t="shared" si="35"/>
        <v>83.5</v>
      </c>
      <c r="B346" s="21">
        <f t="shared" si="36"/>
        <v>93540593728.860626</v>
      </c>
      <c r="C346" s="21">
        <f t="shared" si="38"/>
        <v>916697818.54283428</v>
      </c>
      <c r="D346" s="21">
        <f t="shared" si="39"/>
        <v>35487010.384603284</v>
      </c>
      <c r="E346" s="48">
        <f t="shared" si="37"/>
        <v>0.2110196239620209</v>
      </c>
    </row>
    <row r="347" spans="1:5">
      <c r="A347">
        <f t="shared" si="35"/>
        <v>83.75</v>
      </c>
      <c r="B347" s="21">
        <f t="shared" si="36"/>
        <v>93469621169.59967</v>
      </c>
      <c r="C347" s="21">
        <f t="shared" si="38"/>
        <v>916002287.46207678</v>
      </c>
      <c r="D347" s="21">
        <f t="shared" si="39"/>
        <v>35487009.275705248</v>
      </c>
      <c r="E347" s="48">
        <f t="shared" si="37"/>
        <v>0.20865387198665564</v>
      </c>
    </row>
    <row r="348" spans="1:5">
      <c r="A348">
        <f t="shared" si="35"/>
        <v>84</v>
      </c>
      <c r="B348" s="21">
        <f t="shared" si="36"/>
        <v>93398648611.447601</v>
      </c>
      <c r="C348" s="21">
        <f t="shared" si="38"/>
        <v>915306756.39218652</v>
      </c>
      <c r="D348" s="21">
        <f t="shared" si="39"/>
        <v>35487008.166807234</v>
      </c>
      <c r="E348" s="48">
        <f t="shared" si="37"/>
        <v>0.20628812004825337</v>
      </c>
    </row>
    <row r="349" spans="1:5">
      <c r="A349">
        <f t="shared" si="35"/>
        <v>84.25</v>
      </c>
      <c r="B349" s="21">
        <f t="shared" si="36"/>
        <v>93327676054.404434</v>
      </c>
      <c r="C349" s="21">
        <f t="shared" si="38"/>
        <v>914611225.33316362</v>
      </c>
      <c r="D349" s="21">
        <f t="shared" si="39"/>
        <v>35487007.057909228</v>
      </c>
      <c r="E349" s="48">
        <f t="shared" si="37"/>
        <v>0.20392236814681453</v>
      </c>
    </row>
    <row r="350" spans="1:5">
      <c r="A350">
        <f t="shared" si="35"/>
        <v>84.5</v>
      </c>
      <c r="B350" s="21">
        <f t="shared" si="36"/>
        <v>93256703498.470169</v>
      </c>
      <c r="C350" s="21">
        <f t="shared" si="38"/>
        <v>913915694.28500772</v>
      </c>
      <c r="D350" s="21">
        <f t="shared" si="39"/>
        <v>35487005.949011244</v>
      </c>
      <c r="E350" s="48">
        <f t="shared" si="37"/>
        <v>0.20155661628233901</v>
      </c>
    </row>
    <row r="351" spans="1:5">
      <c r="A351">
        <f t="shared" si="35"/>
        <v>84.75</v>
      </c>
      <c r="B351" s="21">
        <f t="shared" si="36"/>
        <v>93185730943.644806</v>
      </c>
      <c r="C351" s="21">
        <f t="shared" si="38"/>
        <v>913220163.24771917</v>
      </c>
      <c r="D351" s="21">
        <f t="shared" si="39"/>
        <v>35487004.840113282</v>
      </c>
      <c r="E351" s="48">
        <f t="shared" si="37"/>
        <v>0.19919086445482681</v>
      </c>
    </row>
    <row r="352" spans="1:5">
      <c r="A352">
        <f t="shared" si="35"/>
        <v>85</v>
      </c>
      <c r="B352" s="21">
        <f t="shared" si="36"/>
        <v>93114758389.928329</v>
      </c>
      <c r="C352" s="21">
        <f t="shared" si="38"/>
        <v>912524632.22129774</v>
      </c>
      <c r="D352" s="21">
        <f t="shared" si="39"/>
        <v>35487003.731215328</v>
      </c>
      <c r="E352" s="48">
        <f t="shared" si="37"/>
        <v>0.1968251126642776</v>
      </c>
    </row>
    <row r="353" spans="1:5">
      <c r="A353">
        <f t="shared" si="35"/>
        <v>85.25</v>
      </c>
      <c r="B353" s="21">
        <f t="shared" si="36"/>
        <v>93043785837.320755</v>
      </c>
      <c r="C353" s="21">
        <f t="shared" si="38"/>
        <v>911829101.20574343</v>
      </c>
      <c r="D353" s="21">
        <f t="shared" si="39"/>
        <v>35487002.622317396</v>
      </c>
      <c r="E353" s="48">
        <f t="shared" si="37"/>
        <v>0.19445936091069183</v>
      </c>
    </row>
    <row r="354" spans="1:5">
      <c r="A354">
        <f t="shared" si="35"/>
        <v>85.5</v>
      </c>
      <c r="B354" s="21">
        <f t="shared" si="36"/>
        <v>92972813285.822083</v>
      </c>
      <c r="C354" s="21">
        <f t="shared" si="38"/>
        <v>911133570.20105648</v>
      </c>
      <c r="D354" s="21">
        <f t="shared" si="39"/>
        <v>35487001.513419487</v>
      </c>
      <c r="E354" s="48">
        <f t="shared" si="37"/>
        <v>0.19209360919406937</v>
      </c>
    </row>
    <row r="355" spans="1:5">
      <c r="A355">
        <f t="shared" si="35"/>
        <v>85.75</v>
      </c>
      <c r="B355" s="21">
        <f t="shared" ref="B355:B377" si="40">B354-D354-$D$8</f>
        <v>92901840735.432312</v>
      </c>
      <c r="C355" s="21">
        <f t="shared" si="38"/>
        <v>910438039.20723665</v>
      </c>
      <c r="D355" s="21">
        <f t="shared" si="39"/>
        <v>35487000.404521585</v>
      </c>
      <c r="E355" s="48">
        <f t="shared" ref="E355:E377" si="41">1-(($B$12-B355)/$D$3)</f>
        <v>0.18972785751441035</v>
      </c>
    </row>
    <row r="356" spans="1:5">
      <c r="A356">
        <f t="shared" si="35"/>
        <v>86</v>
      </c>
      <c r="B356" s="21">
        <f t="shared" si="40"/>
        <v>92830868186.151428</v>
      </c>
      <c r="C356" s="21">
        <f t="shared" si="38"/>
        <v>909742508.22428405</v>
      </c>
      <c r="D356" s="21">
        <f t="shared" si="39"/>
        <v>35486999.295623705</v>
      </c>
      <c r="E356" s="48">
        <f t="shared" si="41"/>
        <v>0.18736210587171431</v>
      </c>
    </row>
    <row r="357" spans="1:5">
      <c r="A357">
        <f t="shared" si="35"/>
        <v>86.25</v>
      </c>
      <c r="B357" s="21">
        <f t="shared" si="40"/>
        <v>92759895637.979446</v>
      </c>
      <c r="C357" s="21">
        <f t="shared" si="38"/>
        <v>909046977.25219858</v>
      </c>
      <c r="D357" s="21">
        <f t="shared" si="39"/>
        <v>35486998.186725847</v>
      </c>
      <c r="E357" s="48">
        <f t="shared" si="41"/>
        <v>0.1849963542659816</v>
      </c>
    </row>
    <row r="358" spans="1:5">
      <c r="A358">
        <f t="shared" si="35"/>
        <v>86.5</v>
      </c>
      <c r="B358" s="21">
        <f t="shared" si="40"/>
        <v>92688923090.916367</v>
      </c>
      <c r="C358" s="21">
        <f t="shared" si="38"/>
        <v>908351446.29098046</v>
      </c>
      <c r="D358" s="21">
        <f t="shared" si="39"/>
        <v>35486997.077827998</v>
      </c>
      <c r="E358" s="48">
        <f t="shared" si="41"/>
        <v>0.18263060269721221</v>
      </c>
    </row>
    <row r="359" spans="1:5">
      <c r="A359">
        <f t="shared" si="35"/>
        <v>86.75</v>
      </c>
      <c r="B359" s="21">
        <f t="shared" si="40"/>
        <v>92617950544.962173</v>
      </c>
      <c r="C359" s="21">
        <f t="shared" si="38"/>
        <v>907655915.34062934</v>
      </c>
      <c r="D359" s="21">
        <f t="shared" si="39"/>
        <v>35486995.96893017</v>
      </c>
      <c r="E359" s="48">
        <f t="shared" si="41"/>
        <v>0.1802648511654058</v>
      </c>
    </row>
    <row r="360" spans="1:5">
      <c r="A360">
        <f t="shared" si="35"/>
        <v>87</v>
      </c>
      <c r="B360" s="21">
        <f t="shared" si="40"/>
        <v>92546978000.116882</v>
      </c>
      <c r="C360" s="21">
        <f t="shared" si="38"/>
        <v>906960384.40114546</v>
      </c>
      <c r="D360" s="21">
        <f t="shared" si="39"/>
        <v>35486994.860032357</v>
      </c>
      <c r="E360" s="48">
        <f t="shared" si="41"/>
        <v>0.17789909967056272</v>
      </c>
    </row>
    <row r="361" spans="1:5">
      <c r="A361">
        <f t="shared" si="35"/>
        <v>87.25</v>
      </c>
      <c r="B361" s="21">
        <f t="shared" si="40"/>
        <v>92476005456.380493</v>
      </c>
      <c r="C361" s="21">
        <f t="shared" si="38"/>
        <v>906264853.47252893</v>
      </c>
      <c r="D361" s="21">
        <f t="shared" si="39"/>
        <v>35486993.751134567</v>
      </c>
      <c r="E361" s="48">
        <f t="shared" si="41"/>
        <v>0.17553334821268307</v>
      </c>
    </row>
    <row r="362" spans="1:5">
      <c r="A362">
        <f t="shared" si="35"/>
        <v>87.5</v>
      </c>
      <c r="B362" s="21">
        <f t="shared" si="40"/>
        <v>92405032913.753006</v>
      </c>
      <c r="C362" s="21">
        <f t="shared" si="38"/>
        <v>905569322.55477953</v>
      </c>
      <c r="D362" s="21">
        <f t="shared" si="39"/>
        <v>35486992.642236792</v>
      </c>
      <c r="E362" s="48">
        <f t="shared" si="41"/>
        <v>0.17316759679176685</v>
      </c>
    </row>
    <row r="363" spans="1:5">
      <c r="A363">
        <f t="shared" si="35"/>
        <v>87.75</v>
      </c>
      <c r="B363" s="21">
        <f t="shared" si="40"/>
        <v>92334060372.234406</v>
      </c>
      <c r="C363" s="21">
        <f t="shared" si="38"/>
        <v>904873791.64789724</v>
      </c>
      <c r="D363" s="21">
        <f t="shared" si="39"/>
        <v>35486991.533339031</v>
      </c>
      <c r="E363" s="48">
        <f t="shared" si="41"/>
        <v>0.17080184540781351</v>
      </c>
    </row>
    <row r="364" spans="1:5">
      <c r="A364">
        <f t="shared" si="35"/>
        <v>88</v>
      </c>
      <c r="B364" s="21">
        <f t="shared" si="40"/>
        <v>92263087831.824707</v>
      </c>
      <c r="C364" s="21">
        <f t="shared" si="38"/>
        <v>904178260.7518822</v>
      </c>
      <c r="D364" s="21">
        <f t="shared" si="39"/>
        <v>35486990.424441293</v>
      </c>
      <c r="E364" s="48">
        <f t="shared" si="41"/>
        <v>0.1684360940608236</v>
      </c>
    </row>
    <row r="365" spans="1:5">
      <c r="A365">
        <f t="shared" si="35"/>
        <v>88.25</v>
      </c>
      <c r="B365" s="21">
        <f t="shared" si="40"/>
        <v>92192115292.523911</v>
      </c>
      <c r="C365" s="21">
        <f t="shared" si="38"/>
        <v>903482729.86673439</v>
      </c>
      <c r="D365" s="21">
        <f t="shared" si="39"/>
        <v>35486989.31554357</v>
      </c>
      <c r="E365" s="48">
        <f t="shared" si="41"/>
        <v>0.16607034275079702</v>
      </c>
    </row>
    <row r="366" spans="1:5">
      <c r="A366">
        <f t="shared" si="35"/>
        <v>88.5</v>
      </c>
      <c r="B366" s="21">
        <f t="shared" si="40"/>
        <v>92121142754.332016</v>
      </c>
      <c r="C366" s="21">
        <f t="shared" si="38"/>
        <v>902787198.99245381</v>
      </c>
      <c r="D366" s="21">
        <f t="shared" si="39"/>
        <v>35486988.206645861</v>
      </c>
      <c r="E366" s="48">
        <f t="shared" si="41"/>
        <v>0.16370459147773386</v>
      </c>
    </row>
    <row r="367" spans="1:5">
      <c r="A367">
        <f t="shared" si="35"/>
        <v>88.75</v>
      </c>
      <c r="B367" s="21">
        <f t="shared" si="40"/>
        <v>92050170217.249008</v>
      </c>
      <c r="C367" s="21">
        <f t="shared" si="38"/>
        <v>902091668.12904036</v>
      </c>
      <c r="D367" s="21">
        <f t="shared" si="39"/>
        <v>35486987.097748168</v>
      </c>
      <c r="E367" s="48">
        <f t="shared" si="41"/>
        <v>0.16133884024163359</v>
      </c>
    </row>
    <row r="368" spans="1:5">
      <c r="A368">
        <f t="shared" si="35"/>
        <v>89</v>
      </c>
      <c r="B368" s="21">
        <f t="shared" si="40"/>
        <v>91979197681.274902</v>
      </c>
      <c r="C368" s="21">
        <f t="shared" si="38"/>
        <v>901396137.27649415</v>
      </c>
      <c r="D368" s="21">
        <f t="shared" si="39"/>
        <v>35486985.988850497</v>
      </c>
      <c r="E368" s="48">
        <f t="shared" si="41"/>
        <v>0.15897308904249674</v>
      </c>
    </row>
    <row r="369" spans="1:5">
      <c r="A369">
        <f t="shared" si="35"/>
        <v>89.25</v>
      </c>
      <c r="B369" s="21">
        <f t="shared" si="40"/>
        <v>91908225146.409698</v>
      </c>
      <c r="C369" s="21">
        <f t="shared" si="38"/>
        <v>900700606.43481505</v>
      </c>
      <c r="D369" s="21">
        <f t="shared" si="39"/>
        <v>35486984.879952848</v>
      </c>
      <c r="E369" s="48">
        <f t="shared" si="41"/>
        <v>0.15660733788032333</v>
      </c>
    </row>
    <row r="370" spans="1:5">
      <c r="A370">
        <f t="shared" si="35"/>
        <v>89.5</v>
      </c>
      <c r="B370" s="21">
        <f t="shared" si="40"/>
        <v>91837252612.653381</v>
      </c>
      <c r="C370" s="21">
        <f t="shared" si="38"/>
        <v>900005075.60400319</v>
      </c>
      <c r="D370" s="21">
        <f t="shared" si="39"/>
        <v>35486983.771055207</v>
      </c>
      <c r="E370" s="48">
        <f t="shared" si="41"/>
        <v>0.15424158675511268</v>
      </c>
    </row>
    <row r="371" spans="1:5">
      <c r="A371">
        <f t="shared" si="35"/>
        <v>89.75</v>
      </c>
      <c r="B371" s="21">
        <f t="shared" si="40"/>
        <v>91766280080.005966</v>
      </c>
      <c r="C371" s="21">
        <f t="shared" si="38"/>
        <v>899309544.78405857</v>
      </c>
      <c r="D371" s="21">
        <f t="shared" si="39"/>
        <v>35486982.662157588</v>
      </c>
      <c r="E371" s="48">
        <f t="shared" si="41"/>
        <v>0.15187583566686558</v>
      </c>
    </row>
    <row r="372" spans="1:5">
      <c r="A372">
        <f t="shared" si="35"/>
        <v>90</v>
      </c>
      <c r="B372" s="21">
        <f t="shared" si="40"/>
        <v>91695307548.467453</v>
      </c>
      <c r="C372" s="21">
        <f t="shared" si="38"/>
        <v>898614013.97498107</v>
      </c>
      <c r="D372" s="21">
        <f t="shared" si="39"/>
        <v>35486981.553259984</v>
      </c>
      <c r="E372" s="48">
        <f t="shared" si="41"/>
        <v>0.1495100846155818</v>
      </c>
    </row>
    <row r="373" spans="1:5">
      <c r="A373">
        <f t="shared" si="35"/>
        <v>90.25</v>
      </c>
      <c r="B373" s="21">
        <f t="shared" si="40"/>
        <v>91624335018.037842</v>
      </c>
      <c r="C373" s="21">
        <f t="shared" si="38"/>
        <v>897918483.17677093</v>
      </c>
      <c r="D373" s="21">
        <f t="shared" si="39"/>
        <v>35486980.444362402</v>
      </c>
      <c r="E373" s="48">
        <f t="shared" si="41"/>
        <v>0.14714433360126145</v>
      </c>
    </row>
    <row r="374" spans="1:5">
      <c r="A374">
        <f t="shared" si="35"/>
        <v>90.5</v>
      </c>
      <c r="B374" s="21">
        <f t="shared" si="40"/>
        <v>91553362488.717117</v>
      </c>
      <c r="C374" s="21">
        <f t="shared" si="38"/>
        <v>897222952.3894279</v>
      </c>
      <c r="D374" s="21">
        <f t="shared" si="39"/>
        <v>35486979.335464828</v>
      </c>
      <c r="E374" s="48">
        <f t="shared" si="41"/>
        <v>0.14477858262390386</v>
      </c>
    </row>
    <row r="375" spans="1:5">
      <c r="A375">
        <f t="shared" si="35"/>
        <v>90.75</v>
      </c>
      <c r="B375" s="21">
        <f t="shared" si="40"/>
        <v>91482389960.505295</v>
      </c>
      <c r="C375" s="21">
        <f t="shared" si="38"/>
        <v>896527421.61295187</v>
      </c>
      <c r="D375" s="21">
        <f t="shared" si="39"/>
        <v>35486978.226567283</v>
      </c>
      <c r="E375" s="48">
        <f t="shared" si="41"/>
        <v>0.14241283168350982</v>
      </c>
    </row>
    <row r="376" spans="1:5">
      <c r="A376">
        <f t="shared" si="35"/>
        <v>91</v>
      </c>
      <c r="B376" s="21">
        <f t="shared" si="40"/>
        <v>91411417433.402374</v>
      </c>
      <c r="C376" s="21">
        <f t="shared" si="38"/>
        <v>895831890.84734333</v>
      </c>
      <c r="D376" s="21">
        <f t="shared" si="39"/>
        <v>35486977.117669746</v>
      </c>
      <c r="E376" s="48">
        <f t="shared" si="41"/>
        <v>0.1400470807800791</v>
      </c>
    </row>
    <row r="377" spans="1:5">
      <c r="A377">
        <f t="shared" si="35"/>
        <v>91.25</v>
      </c>
      <c r="B377" s="21">
        <f t="shared" si="40"/>
        <v>91340444907.40834</v>
      </c>
      <c r="C377" s="21">
        <f t="shared" si="38"/>
        <v>895136360.09260178</v>
      </c>
      <c r="D377" s="21">
        <f t="shared" si="39"/>
        <v>35486976.008772232</v>
      </c>
      <c r="E377" s="48">
        <f t="shared" si="41"/>
        <v>0.13768132991361137</v>
      </c>
    </row>
    <row r="378" spans="1:5">
      <c r="A378">
        <f t="shared" si="35"/>
        <v>91.5</v>
      </c>
      <c r="B378" s="21">
        <f t="shared" ref="B378:B384" si="42">B377-D377-$D$8</f>
        <v>91269472382.523209</v>
      </c>
      <c r="C378" s="21">
        <f t="shared" si="38"/>
        <v>894440829.34872758</v>
      </c>
      <c r="D378" s="21">
        <f t="shared" si="39"/>
        <v>35486974.899874732</v>
      </c>
      <c r="E378" s="48">
        <f t="shared" ref="E378:E384" si="43">1-(($B$12-B378)/$D$3)</f>
        <v>0.13531557908410696</v>
      </c>
    </row>
    <row r="379" spans="1:5">
      <c r="A379">
        <f t="shared" si="35"/>
        <v>91.75</v>
      </c>
      <c r="B379" s="21">
        <f t="shared" si="42"/>
        <v>91198499858.746979</v>
      </c>
      <c r="C379" s="21">
        <f t="shared" si="38"/>
        <v>893745298.61572051</v>
      </c>
      <c r="D379" s="21">
        <f t="shared" si="39"/>
        <v>35486973.790977247</v>
      </c>
      <c r="E379" s="48">
        <f t="shared" si="43"/>
        <v>0.13294982829156599</v>
      </c>
    </row>
    <row r="380" spans="1:5">
      <c r="A380">
        <f t="shared" si="35"/>
        <v>92</v>
      </c>
      <c r="B380" s="21">
        <f t="shared" si="42"/>
        <v>91127527336.079651</v>
      </c>
      <c r="C380" s="21">
        <f t="shared" si="38"/>
        <v>893049767.89358068</v>
      </c>
      <c r="D380" s="21">
        <f t="shared" si="39"/>
        <v>35486972.682079785</v>
      </c>
      <c r="E380" s="48">
        <f t="shared" si="43"/>
        <v>0.13058407753598833</v>
      </c>
    </row>
    <row r="381" spans="1:5">
      <c r="A381">
        <f t="shared" si="35"/>
        <v>92.25</v>
      </c>
      <c r="B381" s="21">
        <f t="shared" si="42"/>
        <v>91056554814.52121</v>
      </c>
      <c r="C381" s="21">
        <f t="shared" si="38"/>
        <v>892354237.18230784</v>
      </c>
      <c r="D381" s="21">
        <f t="shared" si="39"/>
        <v>35486971.573182337</v>
      </c>
      <c r="E381" s="48">
        <f t="shared" si="43"/>
        <v>0.12821832681737366</v>
      </c>
    </row>
    <row r="382" spans="1:5">
      <c r="A382">
        <f t="shared" si="35"/>
        <v>92.5</v>
      </c>
      <c r="B382" s="21">
        <f t="shared" si="42"/>
        <v>90985582294.071671</v>
      </c>
      <c r="C382" s="21">
        <f t="shared" si="38"/>
        <v>891658706.48190248</v>
      </c>
      <c r="D382" s="21">
        <f t="shared" si="39"/>
        <v>35486970.464284912</v>
      </c>
      <c r="E382" s="48">
        <f t="shared" si="43"/>
        <v>0.12585257613572232</v>
      </c>
    </row>
    <row r="383" spans="1:5">
      <c r="A383">
        <f t="shared" si="35"/>
        <v>92.75</v>
      </c>
      <c r="B383" s="21">
        <f t="shared" si="42"/>
        <v>90914609774.731033</v>
      </c>
      <c r="C383" s="21">
        <f t="shared" si="38"/>
        <v>890963175.79236412</v>
      </c>
      <c r="D383" s="21">
        <f t="shared" si="39"/>
        <v>35486969.355387501</v>
      </c>
      <c r="E383" s="48">
        <f t="shared" si="43"/>
        <v>0.1234868254910344</v>
      </c>
    </row>
    <row r="384" spans="1:5">
      <c r="A384">
        <f t="shared" si="35"/>
        <v>93</v>
      </c>
      <c r="B384" s="21">
        <f t="shared" si="42"/>
        <v>90843637256.499283</v>
      </c>
      <c r="C384" s="21">
        <f t="shared" si="38"/>
        <v>890267645.113693</v>
      </c>
      <c r="D384" s="21">
        <f t="shared" si="39"/>
        <v>35486968.246490106</v>
      </c>
      <c r="E384" s="48">
        <f t="shared" si="43"/>
        <v>0.12112107488330948</v>
      </c>
    </row>
    <row r="385" spans="1:5">
      <c r="A385">
        <f t="shared" si="35"/>
        <v>93.25</v>
      </c>
      <c r="B385" s="21">
        <f t="shared" ref="B385:B391" si="44">B384-D384-$D$8</f>
        <v>90772664739.376434</v>
      </c>
      <c r="C385" s="21">
        <f t="shared" si="38"/>
        <v>889572114.44588912</v>
      </c>
      <c r="D385" s="21">
        <f t="shared" si="39"/>
        <v>35486967.137592725</v>
      </c>
      <c r="E385" s="48">
        <f t="shared" ref="E385:E391" si="45">1-(($B$12-B385)/$D$3)</f>
        <v>0.11875532431254776</v>
      </c>
    </row>
    <row r="386" spans="1:5">
      <c r="A386">
        <f t="shared" ref="A386:A412" si="46">A385+0.25</f>
        <v>93.5</v>
      </c>
      <c r="B386" s="21">
        <f t="shared" si="44"/>
        <v>90701692223.362488</v>
      </c>
      <c r="C386" s="21">
        <f t="shared" si="38"/>
        <v>888876583.78895235</v>
      </c>
      <c r="D386" s="21">
        <f t="shared" si="39"/>
        <v>35486966.028695367</v>
      </c>
      <c r="E386" s="48">
        <f t="shared" si="45"/>
        <v>0.11638957377874959</v>
      </c>
    </row>
    <row r="387" spans="1:5">
      <c r="A387">
        <f t="shared" si="46"/>
        <v>93.75</v>
      </c>
      <c r="B387" s="21">
        <f t="shared" si="44"/>
        <v>90630719708.457428</v>
      </c>
      <c r="C387" s="21">
        <f t="shared" si="38"/>
        <v>888181053.14288282</v>
      </c>
      <c r="D387" s="21">
        <f t="shared" si="39"/>
        <v>35486964.919798024</v>
      </c>
      <c r="E387" s="48">
        <f t="shared" si="45"/>
        <v>0.11402382328191429</v>
      </c>
    </row>
    <row r="388" spans="1:5">
      <c r="A388">
        <f t="shared" si="46"/>
        <v>94</v>
      </c>
      <c r="B388" s="21">
        <f t="shared" si="44"/>
        <v>90559747194.66127</v>
      </c>
      <c r="C388" s="21">
        <f t="shared" si="38"/>
        <v>887485522.50768054</v>
      </c>
      <c r="D388" s="21">
        <f t="shared" si="39"/>
        <v>35486963.810900696</v>
      </c>
      <c r="E388" s="48">
        <f t="shared" si="45"/>
        <v>0.11165807282204232</v>
      </c>
    </row>
    <row r="389" spans="1:5">
      <c r="A389">
        <f t="shared" si="46"/>
        <v>94.25</v>
      </c>
      <c r="B389" s="21">
        <f t="shared" si="44"/>
        <v>90488774681.974014</v>
      </c>
      <c r="C389" s="21">
        <f t="shared" si="38"/>
        <v>886789991.88334548</v>
      </c>
      <c r="D389" s="21">
        <f t="shared" si="39"/>
        <v>35486962.70200339</v>
      </c>
      <c r="E389" s="48">
        <f t="shared" si="45"/>
        <v>0.10929232239913378</v>
      </c>
    </row>
    <row r="390" spans="1:5">
      <c r="A390">
        <f t="shared" si="46"/>
        <v>94.5</v>
      </c>
      <c r="B390" s="21">
        <f t="shared" si="44"/>
        <v>90417802170.39566</v>
      </c>
      <c r="C390" s="21">
        <f t="shared" si="38"/>
        <v>886094461.26987755</v>
      </c>
      <c r="D390" s="21">
        <f t="shared" si="39"/>
        <v>35486961.593106098</v>
      </c>
      <c r="E390" s="48">
        <f t="shared" si="45"/>
        <v>0.10692657201318867</v>
      </c>
    </row>
    <row r="391" spans="1:5">
      <c r="A391">
        <f t="shared" si="46"/>
        <v>94.75</v>
      </c>
      <c r="B391" s="21">
        <f t="shared" si="44"/>
        <v>90346829659.926193</v>
      </c>
      <c r="C391" s="21">
        <f t="shared" si="38"/>
        <v>885398930.66727674</v>
      </c>
      <c r="D391" s="21">
        <f t="shared" si="39"/>
        <v>35486960.484208822</v>
      </c>
      <c r="E391" s="48">
        <f t="shared" si="45"/>
        <v>0.10456082166420644</v>
      </c>
    </row>
    <row r="392" spans="1:5">
      <c r="A392">
        <f t="shared" si="46"/>
        <v>95</v>
      </c>
      <c r="B392" s="21">
        <f t="shared" ref="B392:B398" si="47">B391-D391-$D$8</f>
        <v>90275857150.565628</v>
      </c>
      <c r="C392" s="21">
        <f t="shared" si="38"/>
        <v>884703400.07554317</v>
      </c>
      <c r="D392" s="21">
        <f t="shared" si="39"/>
        <v>35486959.375311568</v>
      </c>
      <c r="E392" s="48">
        <f t="shared" ref="E392:E398" si="48">1-(($B$12-B392)/$D$3)</f>
        <v>0.10219507135218764</v>
      </c>
    </row>
    <row r="393" spans="1:5">
      <c r="A393">
        <f t="shared" si="46"/>
        <v>95.25</v>
      </c>
      <c r="B393" s="21">
        <f t="shared" si="47"/>
        <v>90204884642.313965</v>
      </c>
      <c r="C393" s="21">
        <f t="shared" si="38"/>
        <v>884007869.49467683</v>
      </c>
      <c r="D393" s="21">
        <f t="shared" si="39"/>
        <v>35486958.266414329</v>
      </c>
      <c r="E393" s="48">
        <f t="shared" si="48"/>
        <v>9.982932107713216E-2</v>
      </c>
    </row>
    <row r="394" spans="1:5">
      <c r="A394">
        <f t="shared" si="46"/>
        <v>95.5</v>
      </c>
      <c r="B394" s="21">
        <f t="shared" si="47"/>
        <v>90133912135.171188</v>
      </c>
      <c r="C394" s="21">
        <f t="shared" si="38"/>
        <v>883312338.92467773</v>
      </c>
      <c r="D394" s="21">
        <f t="shared" si="39"/>
        <v>35486957.157517105</v>
      </c>
      <c r="E394" s="48">
        <f t="shared" si="48"/>
        <v>9.7463570839039559E-2</v>
      </c>
    </row>
    <row r="395" spans="1:5">
      <c r="A395">
        <f t="shared" si="46"/>
        <v>95.75</v>
      </c>
      <c r="B395" s="21">
        <f t="shared" si="47"/>
        <v>90062939629.137314</v>
      </c>
      <c r="C395" s="21">
        <f t="shared" si="38"/>
        <v>882616808.36554575</v>
      </c>
      <c r="D395" s="21">
        <f t="shared" si="39"/>
        <v>35486956.048619904</v>
      </c>
      <c r="E395" s="48">
        <f t="shared" si="48"/>
        <v>9.5097820637910502E-2</v>
      </c>
    </row>
    <row r="396" spans="1:5">
      <c r="A396">
        <f t="shared" si="46"/>
        <v>96</v>
      </c>
      <c r="B396" s="21">
        <f t="shared" si="47"/>
        <v>89991967124.212341</v>
      </c>
      <c r="C396" s="21">
        <f t="shared" si="38"/>
        <v>881921277.81728101</v>
      </c>
      <c r="D396" s="21">
        <f t="shared" si="39"/>
        <v>35486954.939722717</v>
      </c>
      <c r="E396" s="48">
        <f t="shared" si="48"/>
        <v>9.2732070473744765E-2</v>
      </c>
    </row>
    <row r="397" spans="1:5">
      <c r="A397">
        <f t="shared" si="46"/>
        <v>96.25</v>
      </c>
      <c r="B397" s="21">
        <f t="shared" si="47"/>
        <v>89920994620.396255</v>
      </c>
      <c r="C397" s="21">
        <f t="shared" ref="C397:C412" si="49">IF(B397&gt;$D$2,B397*$D$4/1000,0)</f>
        <v>881225747.27988338</v>
      </c>
      <c r="D397" s="21">
        <f t="shared" ref="D397:D412" si="50">C397*$D$6*$D$5+$D$8</f>
        <v>35486953.830825545</v>
      </c>
      <c r="E397" s="48">
        <f t="shared" si="48"/>
        <v>9.0366320346541795E-2</v>
      </c>
    </row>
    <row r="398" spans="1:5">
      <c r="A398">
        <f t="shared" si="46"/>
        <v>96.5</v>
      </c>
      <c r="B398" s="21">
        <f t="shared" si="47"/>
        <v>89850022117.689072</v>
      </c>
      <c r="C398" s="21">
        <f t="shared" si="49"/>
        <v>880530216.75335288</v>
      </c>
      <c r="D398" s="21">
        <f t="shared" si="50"/>
        <v>35486952.721928395</v>
      </c>
      <c r="E398" s="48">
        <f t="shared" si="48"/>
        <v>8.8000570256302368E-2</v>
      </c>
    </row>
    <row r="399" spans="1:5">
      <c r="A399">
        <f t="shared" si="46"/>
        <v>96.75</v>
      </c>
      <c r="B399" s="21">
        <f t="shared" ref="B399:B409" si="51">B398-D398-$D$8</f>
        <v>89779049616.09079</v>
      </c>
      <c r="C399" s="21">
        <f t="shared" si="49"/>
        <v>879834686.23768985</v>
      </c>
      <c r="D399" s="21">
        <f t="shared" si="50"/>
        <v>35486951.613031261</v>
      </c>
      <c r="E399" s="48">
        <f t="shared" ref="E399:E409" si="52">1-(($B$12-B399)/$D$3)</f>
        <v>8.5634820203026374E-2</v>
      </c>
    </row>
    <row r="400" spans="1:5">
      <c r="A400">
        <f t="shared" si="46"/>
        <v>97</v>
      </c>
      <c r="B400" s="21">
        <f t="shared" si="51"/>
        <v>89708077115.601395</v>
      </c>
      <c r="C400" s="21">
        <f t="shared" si="49"/>
        <v>879139155.73289371</v>
      </c>
      <c r="D400" s="21">
        <f t="shared" si="50"/>
        <v>35486950.504134141</v>
      </c>
      <c r="E400" s="48">
        <f t="shared" si="52"/>
        <v>8.3269070186713146E-2</v>
      </c>
    </row>
    <row r="401" spans="1:5">
      <c r="A401">
        <f t="shared" si="46"/>
        <v>97.25</v>
      </c>
      <c r="B401" s="21">
        <f t="shared" si="51"/>
        <v>89637104616.220901</v>
      </c>
      <c r="C401" s="21">
        <f t="shared" si="49"/>
        <v>878443625.2389648</v>
      </c>
      <c r="D401" s="21">
        <f t="shared" si="50"/>
        <v>35486949.395237043</v>
      </c>
      <c r="E401" s="48">
        <f t="shared" si="52"/>
        <v>8.090332020736335E-2</v>
      </c>
    </row>
    <row r="402" spans="1:5">
      <c r="A402">
        <f t="shared" si="46"/>
        <v>97.5</v>
      </c>
      <c r="B402" s="21">
        <f t="shared" si="51"/>
        <v>89566132117.94931</v>
      </c>
      <c r="C402" s="21">
        <f t="shared" si="49"/>
        <v>877748094.75590336</v>
      </c>
      <c r="D402" s="21">
        <f t="shared" si="50"/>
        <v>35486948.286339961</v>
      </c>
      <c r="E402" s="48">
        <f t="shared" si="52"/>
        <v>7.8537570264976986E-2</v>
      </c>
    </row>
    <row r="403" spans="1:5">
      <c r="A403">
        <f t="shared" si="46"/>
        <v>97.75</v>
      </c>
      <c r="B403" s="21">
        <f t="shared" si="51"/>
        <v>89495159620.786606</v>
      </c>
      <c r="C403" s="21">
        <f t="shared" si="49"/>
        <v>877052564.28370869</v>
      </c>
      <c r="D403" s="21">
        <f t="shared" si="50"/>
        <v>35486947.177442893</v>
      </c>
      <c r="E403" s="48">
        <f t="shared" si="52"/>
        <v>7.6171820359553499E-2</v>
      </c>
    </row>
    <row r="404" spans="1:5">
      <c r="A404">
        <f t="shared" si="46"/>
        <v>98</v>
      </c>
      <c r="B404" s="21">
        <f t="shared" si="51"/>
        <v>89424187124.732803</v>
      </c>
      <c r="C404" s="21">
        <f t="shared" si="49"/>
        <v>876357033.82238162</v>
      </c>
      <c r="D404" s="21">
        <f t="shared" si="50"/>
        <v>35486946.068545848</v>
      </c>
      <c r="E404" s="48">
        <f t="shared" si="52"/>
        <v>7.3806070491093445E-2</v>
      </c>
    </row>
    <row r="405" spans="1:5">
      <c r="A405">
        <f t="shared" si="46"/>
        <v>98.25</v>
      </c>
      <c r="B405" s="21">
        <f t="shared" si="51"/>
        <v>89353214629.787903</v>
      </c>
      <c r="C405" s="21">
        <f t="shared" si="49"/>
        <v>875661503.37192154</v>
      </c>
      <c r="D405" s="21">
        <f t="shared" si="50"/>
        <v>35486944.959648818</v>
      </c>
      <c r="E405" s="48">
        <f t="shared" si="52"/>
        <v>7.1440320659596712E-2</v>
      </c>
    </row>
    <row r="406" spans="1:5">
      <c r="A406">
        <f t="shared" si="46"/>
        <v>98.5</v>
      </c>
      <c r="B406" s="21">
        <f t="shared" si="51"/>
        <v>89282242135.951889</v>
      </c>
      <c r="C406" s="21">
        <f t="shared" si="49"/>
        <v>874965972.93232858</v>
      </c>
      <c r="D406" s="21">
        <f t="shared" si="50"/>
        <v>35486943.850751802</v>
      </c>
      <c r="E406" s="48">
        <f t="shared" si="52"/>
        <v>6.9074570865062968E-2</v>
      </c>
    </row>
    <row r="407" spans="1:5">
      <c r="A407">
        <f t="shared" si="46"/>
        <v>98.75</v>
      </c>
      <c r="B407" s="21">
        <f t="shared" si="51"/>
        <v>89211269643.224777</v>
      </c>
      <c r="C407" s="21">
        <f t="shared" si="49"/>
        <v>874270442.50360286</v>
      </c>
      <c r="D407" s="21">
        <f t="shared" si="50"/>
        <v>35486942.741854802</v>
      </c>
      <c r="E407" s="48">
        <f t="shared" si="52"/>
        <v>6.6708821107492544E-2</v>
      </c>
    </row>
    <row r="408" spans="1:5">
      <c r="A408">
        <f t="shared" si="46"/>
        <v>99</v>
      </c>
      <c r="B408" s="21">
        <f t="shared" si="51"/>
        <v>89140297151.606567</v>
      </c>
      <c r="C408" s="21">
        <f t="shared" si="49"/>
        <v>873574912.08574438</v>
      </c>
      <c r="D408" s="21">
        <f t="shared" si="50"/>
        <v>35486941.632957824</v>
      </c>
      <c r="E408" s="48">
        <f t="shared" si="52"/>
        <v>6.4343071386885553E-2</v>
      </c>
    </row>
    <row r="409" spans="1:5">
      <c r="A409">
        <f t="shared" si="46"/>
        <v>99.25</v>
      </c>
      <c r="B409" s="21">
        <f t="shared" si="51"/>
        <v>89069324661.097244</v>
      </c>
      <c r="C409" s="21">
        <f t="shared" si="49"/>
        <v>872879381.67875302</v>
      </c>
      <c r="D409" s="21">
        <f t="shared" si="50"/>
        <v>35486940.52406086</v>
      </c>
      <c r="E409" s="48">
        <f t="shared" si="52"/>
        <v>6.1977321703241439E-2</v>
      </c>
    </row>
    <row r="410" spans="1:5">
      <c r="A410">
        <f t="shared" si="46"/>
        <v>99.5</v>
      </c>
      <c r="B410" s="21">
        <f t="shared" ref="B410:B412" si="53">B409-D409-$D$8</f>
        <v>88998352171.696823</v>
      </c>
      <c r="C410" s="21">
        <f t="shared" si="49"/>
        <v>872183851.28262889</v>
      </c>
      <c r="D410" s="21">
        <f t="shared" si="50"/>
        <v>35486939.415163919</v>
      </c>
      <c r="E410" s="48">
        <f t="shared" ref="E410:E412" si="54">1-(($B$12-B410)/$D$3)</f>
        <v>5.9611572056560758E-2</v>
      </c>
    </row>
    <row r="411" spans="1:5">
      <c r="A411">
        <f t="shared" si="46"/>
        <v>99.75</v>
      </c>
      <c r="B411" s="21">
        <f t="shared" si="53"/>
        <v>88927379683.405304</v>
      </c>
      <c r="C411" s="21">
        <f t="shared" si="49"/>
        <v>871488320.89737213</v>
      </c>
      <c r="D411" s="21">
        <f t="shared" si="50"/>
        <v>35486938.306266993</v>
      </c>
      <c r="E411" s="48">
        <f t="shared" si="54"/>
        <v>5.7245822446843508E-2</v>
      </c>
    </row>
    <row r="412" spans="1:5">
      <c r="A412">
        <f t="shared" si="46"/>
        <v>100</v>
      </c>
      <c r="B412" s="21">
        <f t="shared" si="53"/>
        <v>88856407196.222672</v>
      </c>
      <c r="C412" s="21">
        <f t="shared" si="49"/>
        <v>870792790.52298236</v>
      </c>
      <c r="D412" s="21">
        <f t="shared" si="50"/>
        <v>35486937.197370082</v>
      </c>
      <c r="E412" s="48">
        <f t="shared" si="54"/>
        <v>5.4880072874089025E-2</v>
      </c>
    </row>
  </sheetData>
  <mergeCells count="7">
    <mergeCell ref="A7:C7"/>
    <mergeCell ref="A9:C9"/>
    <mergeCell ref="A1:D1"/>
    <mergeCell ref="A2:C2"/>
    <mergeCell ref="A3:C3"/>
    <mergeCell ref="A4:C4"/>
    <mergeCell ref="A5:C5"/>
  </mergeCells>
  <pageMargins left="0.7" right="0.7" top="0.75" bottom="0.75" header="0.3" footer="0.3"/>
  <pageSetup orientation="portrait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E90E8D-D498-8E4A-B7E7-E34E146B1C50}">
  <dimension ref="A1:AP121"/>
  <sheetViews>
    <sheetView tabSelected="1" workbookViewId="0">
      <selection activeCell="T7" sqref="T7"/>
    </sheetView>
  </sheetViews>
  <sheetFormatPr baseColWidth="10" defaultRowHeight="16"/>
  <cols>
    <col min="2" max="2" width="13.6640625" bestFit="1" customWidth="1"/>
    <col min="3" max="3" width="6.6640625" style="7" customWidth="1"/>
    <col min="4" max="4" width="6.83203125" style="7" bestFit="1" customWidth="1"/>
    <col min="5" max="5" width="7.83203125" style="7" customWidth="1"/>
    <col min="6" max="6" width="6.5" style="7" customWidth="1"/>
    <col min="7" max="7" width="7" style="7" customWidth="1"/>
    <col min="8" max="8" width="8.1640625" style="7" customWidth="1"/>
    <col min="9" max="10" width="6.33203125" style="7" customWidth="1"/>
    <col min="11" max="24" width="7.83203125" style="7" customWidth="1"/>
    <col min="25" max="25" width="6.1640625" style="7" customWidth="1"/>
    <col min="26" max="38" width="5.83203125" customWidth="1"/>
    <col min="39" max="42" width="6.83203125" customWidth="1"/>
  </cols>
  <sheetData>
    <row r="1" spans="1:42">
      <c r="A1" t="s">
        <v>33</v>
      </c>
    </row>
    <row r="2" spans="1:42">
      <c r="A2" t="s">
        <v>34</v>
      </c>
      <c r="B2">
        <v>1</v>
      </c>
      <c r="C2" s="7">
        <f>(1/1000)*$B$2</f>
        <v>1E-3</v>
      </c>
      <c r="G2" s="7" t="s">
        <v>852</v>
      </c>
      <c r="J2" s="7">
        <f>Vehicle!B9</f>
        <v>15.100555406467754</v>
      </c>
      <c r="M2"/>
      <c r="N2" s="7" t="s">
        <v>39</v>
      </c>
      <c r="O2" t="s">
        <v>829</v>
      </c>
      <c r="P2" t="s">
        <v>831</v>
      </c>
      <c r="Q2" t="s">
        <v>832</v>
      </c>
      <c r="R2" t="s">
        <v>859</v>
      </c>
      <c r="S2" t="s">
        <v>48</v>
      </c>
      <c r="T2" s="7" t="s">
        <v>833</v>
      </c>
      <c r="U2" s="7" t="s">
        <v>834</v>
      </c>
      <c r="V2" s="7" t="s">
        <v>835</v>
      </c>
      <c r="W2" s="7" t="s">
        <v>836</v>
      </c>
      <c r="X2" s="7" t="s">
        <v>837</v>
      </c>
      <c r="Y2" s="7" t="s">
        <v>838</v>
      </c>
      <c r="Z2" s="7" t="s">
        <v>839</v>
      </c>
      <c r="AA2" s="7"/>
    </row>
    <row r="3" spans="1:42">
      <c r="A3" t="s">
        <v>36</v>
      </c>
      <c r="B3">
        <f>MAX('Population Model'!B3:B103)</f>
        <v>989</v>
      </c>
      <c r="C3" s="7">
        <f>B6/B3</f>
        <v>1.0111223458038423</v>
      </c>
      <c r="G3" s="7" t="s">
        <v>50</v>
      </c>
      <c r="J3" s="7">
        <f>B6*(1-LOOKUP($J$5,$M$3:$M$6,$Q$3:$Q$6))</f>
        <v>900</v>
      </c>
      <c r="L3" s="7" t="s">
        <v>846</v>
      </c>
      <c r="M3">
        <v>0</v>
      </c>
      <c r="N3" s="7">
        <v>0</v>
      </c>
      <c r="O3">
        <v>0.5</v>
      </c>
      <c r="P3">
        <v>0.5</v>
      </c>
      <c r="Q3">
        <v>0.1</v>
      </c>
      <c r="R3">
        <v>0.9</v>
      </c>
      <c r="S3">
        <v>0.25</v>
      </c>
      <c r="T3" s="7">
        <v>0.1118</v>
      </c>
      <c r="U3" s="7">
        <f>T3*0.99</f>
        <v>0.11068199999999999</v>
      </c>
      <c r="V3" s="7">
        <f>U3*0.99</f>
        <v>0.10957517999999999</v>
      </c>
      <c r="W3" s="7">
        <f>V3*0.99</f>
        <v>0.10847942819999999</v>
      </c>
      <c r="X3" s="7">
        <f>W3*0.99</f>
        <v>0.10739463391799998</v>
      </c>
      <c r="Y3" s="7">
        <f>X3*0.95</f>
        <v>0.10202490222209998</v>
      </c>
      <c r="Z3" s="7">
        <v>0.1</v>
      </c>
      <c r="AB3">
        <f>SUM(S3:Z3)</f>
        <v>0.99995614434010005</v>
      </c>
    </row>
    <row r="4" spans="1:42">
      <c r="A4" t="s">
        <v>37</v>
      </c>
      <c r="B4">
        <f>MIN('Population Model'!B3:B103)</f>
        <v>829</v>
      </c>
      <c r="G4" t="s">
        <v>827</v>
      </c>
      <c r="J4" s="7" t="str">
        <f>Vehicle!B18</f>
        <v>balanced</v>
      </c>
      <c r="L4" s="7" t="s">
        <v>850</v>
      </c>
      <c r="M4">
        <v>1</v>
      </c>
      <c r="N4" s="7">
        <v>1</v>
      </c>
      <c r="O4" s="7">
        <v>0</v>
      </c>
      <c r="P4" s="7">
        <v>0.9</v>
      </c>
      <c r="Q4" s="7">
        <v>0.7</v>
      </c>
      <c r="R4" s="7">
        <v>1</v>
      </c>
      <c r="S4" s="7">
        <v>0</v>
      </c>
      <c r="T4" s="7">
        <v>1</v>
      </c>
      <c r="U4" s="7">
        <v>0</v>
      </c>
      <c r="V4" s="7">
        <v>0</v>
      </c>
      <c r="W4" s="7">
        <v>0</v>
      </c>
      <c r="X4" s="7">
        <v>0</v>
      </c>
      <c r="Y4" s="7">
        <v>0</v>
      </c>
      <c r="Z4" s="7">
        <v>0</v>
      </c>
      <c r="AB4">
        <f>SUM(S4:Z4)</f>
        <v>1</v>
      </c>
    </row>
    <row r="5" spans="1:42">
      <c r="A5" t="s">
        <v>38</v>
      </c>
      <c r="B5" s="1">
        <f>'Population Model'!B103</f>
        <v>987</v>
      </c>
      <c r="H5"/>
      <c r="J5" s="125">
        <f>LOOKUP(J4,Population!L3:L6,Population!M3:M6)</f>
        <v>0</v>
      </c>
      <c r="L5" s="7" t="s">
        <v>848</v>
      </c>
      <c r="M5" s="7">
        <v>2</v>
      </c>
      <c r="N5" s="7">
        <v>0</v>
      </c>
      <c r="O5" s="7">
        <v>0</v>
      </c>
      <c r="P5" s="7">
        <v>0.5</v>
      </c>
      <c r="Q5" s="7">
        <v>0.3</v>
      </c>
      <c r="R5" s="7">
        <v>0.75</v>
      </c>
      <c r="S5" s="7">
        <v>0</v>
      </c>
      <c r="T5" s="7">
        <v>0.75</v>
      </c>
      <c r="U5" s="7">
        <v>0.2</v>
      </c>
      <c r="V5" s="7">
        <v>0.05</v>
      </c>
      <c r="W5" s="7">
        <v>0</v>
      </c>
      <c r="X5" s="7">
        <v>0</v>
      </c>
      <c r="Y5" s="7">
        <v>0</v>
      </c>
      <c r="Z5" s="7">
        <v>0</v>
      </c>
      <c r="AB5">
        <f>SUM(S5:Z5)</f>
        <v>1</v>
      </c>
      <c r="AN5">
        <f>SUM(A24:Y24)</f>
        <v>0</v>
      </c>
    </row>
    <row r="6" spans="1:42">
      <c r="A6" t="s">
        <v>106</v>
      </c>
      <c r="B6" s="2">
        <f>Vehicle!B16</f>
        <v>1000</v>
      </c>
      <c r="C6" s="7" t="s">
        <v>759</v>
      </c>
      <c r="D6" s="7">
        <v>73</v>
      </c>
      <c r="G6" s="7" t="s">
        <v>844</v>
      </c>
      <c r="J6" s="7">
        <f>LOOKUP(J4,Population!L3:L5,Population!N3:N5)</f>
        <v>0</v>
      </c>
      <c r="L6" s="7" t="s">
        <v>860</v>
      </c>
      <c r="M6">
        <v>3</v>
      </c>
      <c r="N6" s="7">
        <v>0</v>
      </c>
      <c r="O6">
        <v>0.9</v>
      </c>
      <c r="P6">
        <v>0.4</v>
      </c>
      <c r="Q6">
        <v>0.25</v>
      </c>
      <c r="R6">
        <v>0.5</v>
      </c>
      <c r="S6">
        <v>0.16500000000000001</v>
      </c>
      <c r="T6" s="7">
        <v>0.16</v>
      </c>
      <c r="U6" s="7">
        <v>0.22500000000000001</v>
      </c>
      <c r="V6" s="7">
        <v>0.25</v>
      </c>
      <c r="W6" s="7">
        <v>0.05</v>
      </c>
      <c r="X6" s="7">
        <v>0.05</v>
      </c>
      <c r="Y6" s="7">
        <v>0.05</v>
      </c>
      <c r="Z6" s="7">
        <v>0.05</v>
      </c>
      <c r="AB6">
        <f>SUM(S6:Z6)</f>
        <v>1.0000000000000002</v>
      </c>
    </row>
    <row r="7" spans="1:42">
      <c r="A7" t="s">
        <v>241</v>
      </c>
      <c r="B7" s="61">
        <f>AVERAGE('Population Model'!B3:B103)</f>
        <v>967.2772277227723</v>
      </c>
      <c r="F7"/>
      <c r="G7" s="7" t="s">
        <v>831</v>
      </c>
      <c r="J7" s="7">
        <f>LOOKUP($J$5,$M$3:$M$6,$P$3:$P$6)</f>
        <v>0.5</v>
      </c>
      <c r="K7"/>
      <c r="L7"/>
      <c r="M7"/>
      <c r="N7"/>
      <c r="O7"/>
      <c r="P7"/>
      <c r="Q7"/>
      <c r="S7"/>
      <c r="T7"/>
      <c r="U7"/>
    </row>
    <row r="8" spans="1:42">
      <c r="A8" t="s">
        <v>670</v>
      </c>
      <c r="B8" s="25">
        <f>B6*B10*B9</f>
        <v>11.880918319076509</v>
      </c>
      <c r="F8"/>
      <c r="G8" s="7" t="s">
        <v>830</v>
      </c>
      <c r="J8" s="7">
        <f>1-J7</f>
        <v>0.5</v>
      </c>
      <c r="K8"/>
      <c r="L8"/>
      <c r="M8"/>
      <c r="N8"/>
      <c r="O8"/>
      <c r="P8"/>
      <c r="Q8"/>
      <c r="R8"/>
      <c r="S8"/>
      <c r="T8"/>
      <c r="U8"/>
    </row>
    <row r="9" spans="1:42">
      <c r="A9" t="s">
        <v>821</v>
      </c>
      <c r="B9" s="88">
        <v>1.1157999999999999</v>
      </c>
      <c r="F9"/>
      <c r="G9" s="7" t="s">
        <v>41</v>
      </c>
      <c r="J9" s="7">
        <f>J33+J35+J37+J39+J41</f>
        <v>246.56905895309995</v>
      </c>
      <c r="L9" t="s">
        <v>846</v>
      </c>
      <c r="M9" t="s">
        <v>847</v>
      </c>
      <c r="N9"/>
      <c r="O9"/>
      <c r="P9"/>
      <c r="Q9"/>
      <c r="R9"/>
      <c r="S9"/>
      <c r="T9"/>
      <c r="U9"/>
    </row>
    <row r="10" spans="1:42">
      <c r="A10" s="7" t="s">
        <v>669</v>
      </c>
      <c r="B10" s="7">
        <f>1-GEOMEAN(N28:N45)</f>
        <v>1.064789238131969E-2</v>
      </c>
      <c r="C10" s="7">
        <f>1/B10</f>
        <v>93.915299308844155</v>
      </c>
      <c r="D10" s="7">
        <f>POWER(M28*M29*M30*M32*M34*M36*M38*M40*M42*M43,7)*POWER(M44,3.38)</f>
        <v>0.70562632665243741</v>
      </c>
      <c r="F10"/>
      <c r="G10" s="7" t="s">
        <v>43</v>
      </c>
      <c r="J10" s="7">
        <f>J32+J34+J36+J38+J40</f>
        <v>246.56905895309995</v>
      </c>
      <c r="L10" t="s">
        <v>850</v>
      </c>
      <c r="M10" t="s">
        <v>851</v>
      </c>
      <c r="N10"/>
      <c r="O10"/>
      <c r="P10"/>
      <c r="Q10"/>
      <c r="R10"/>
      <c r="S10"/>
      <c r="T10"/>
      <c r="U10"/>
    </row>
    <row r="11" spans="1:42">
      <c r="A11" s="7" t="s">
        <v>76</v>
      </c>
      <c r="B11" s="7">
        <f>1-B12</f>
        <v>0.85714285714285721</v>
      </c>
      <c r="F11"/>
      <c r="G11" s="7" t="s">
        <v>74</v>
      </c>
      <c r="J11" s="7">
        <f>SUM(J28:J31)</f>
        <v>225</v>
      </c>
      <c r="L11" t="s">
        <v>848</v>
      </c>
      <c r="M11" s="7" t="s">
        <v>849</v>
      </c>
      <c r="N11"/>
      <c r="O11"/>
      <c r="P11"/>
      <c r="Q11"/>
      <c r="R11"/>
      <c r="S11"/>
      <c r="T11"/>
      <c r="U11"/>
      <c r="AL11" s="19"/>
      <c r="AM11" s="19"/>
      <c r="AN11" s="19"/>
      <c r="AO11" s="19"/>
      <c r="AP11" s="19"/>
    </row>
    <row r="12" spans="1:42">
      <c r="A12" s="7" t="s">
        <v>77</v>
      </c>
      <c r="B12" s="7">
        <f>$B$2/7</f>
        <v>0.14285714285714285</v>
      </c>
      <c r="F12"/>
      <c r="G12" s="7" t="s">
        <v>803</v>
      </c>
      <c r="H12"/>
      <c r="I12"/>
      <c r="J12">
        <f>MIN(J9,J10)*LOOKUP($J$5,$M$3:$M$6,$O$3:$O$6)</f>
        <v>123.28452947654998</v>
      </c>
      <c r="L12" t="s">
        <v>860</v>
      </c>
      <c r="M12" t="s">
        <v>861</v>
      </c>
      <c r="N12"/>
      <c r="O12"/>
      <c r="P12"/>
      <c r="Q12"/>
      <c r="R12"/>
      <c r="S12"/>
      <c r="T12"/>
      <c r="U12"/>
      <c r="AL12" s="19"/>
      <c r="AM12" s="19"/>
      <c r="AN12" s="19"/>
      <c r="AO12" s="19"/>
      <c r="AP12" s="19"/>
    </row>
    <row r="13" spans="1:42" ht="17" thickBot="1">
      <c r="A13" s="7" t="s">
        <v>805</v>
      </c>
      <c r="B13" s="7">
        <v>0.25</v>
      </c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AL13" s="19"/>
      <c r="AM13" s="19"/>
      <c r="AN13" s="19"/>
      <c r="AO13" s="19"/>
      <c r="AP13" s="19"/>
    </row>
    <row r="14" spans="1:42">
      <c r="A14" s="7" t="s">
        <v>806</v>
      </c>
      <c r="B14" s="7">
        <f>0.3/50</f>
        <v>6.0000000000000001E-3</v>
      </c>
      <c r="F14"/>
      <c r="G14" s="126" t="s">
        <v>156</v>
      </c>
      <c r="H14" s="127" t="s">
        <v>810</v>
      </c>
      <c r="I14" s="128" t="s">
        <v>842</v>
      </c>
      <c r="J14" s="128" t="s">
        <v>843</v>
      </c>
      <c r="K14" s="129" t="s">
        <v>36</v>
      </c>
      <c r="L14" s="130" t="s">
        <v>38</v>
      </c>
      <c r="M14"/>
      <c r="N14"/>
      <c r="O14"/>
      <c r="P14"/>
      <c r="Q14"/>
      <c r="R14"/>
      <c r="S14"/>
      <c r="T14"/>
      <c r="U14"/>
      <c r="AL14" s="19"/>
      <c r="AM14" s="19"/>
      <c r="AN14" s="19"/>
      <c r="AO14" s="19"/>
      <c r="AP14" s="19"/>
    </row>
    <row r="15" spans="1:42">
      <c r="A15" s="7" t="s">
        <v>858</v>
      </c>
      <c r="B15" s="7">
        <f>LOOKUP($J$5,$M$3:$M$6,$Q$3:$Q$6)</f>
        <v>0.1</v>
      </c>
      <c r="F15"/>
      <c r="G15" s="131" t="s">
        <v>13</v>
      </c>
      <c r="H15" s="132">
        <v>0</v>
      </c>
      <c r="I15" s="133">
        <f>Vehicle!B9+1</f>
        <v>16.100555406467755</v>
      </c>
      <c r="J15" s="133">
        <f>I15+5+Vehicle!B9</f>
        <v>36.201110812935511</v>
      </c>
      <c r="K15" s="134">
        <v>34</v>
      </c>
      <c r="L15" s="135">
        <v>100</v>
      </c>
      <c r="M15"/>
      <c r="N15"/>
      <c r="O15"/>
      <c r="P15"/>
      <c r="Q15"/>
      <c r="R15"/>
      <c r="S15"/>
      <c r="T15"/>
      <c r="U15"/>
      <c r="AL15" s="19"/>
      <c r="AM15" s="19"/>
      <c r="AN15" s="19"/>
      <c r="AO15" s="19"/>
      <c r="AP15" s="19"/>
    </row>
    <row r="16" spans="1:42">
      <c r="A16" s="7" t="s">
        <v>42</v>
      </c>
      <c r="B16" s="7">
        <f>J8</f>
        <v>0.5</v>
      </c>
      <c r="F16"/>
      <c r="G16" s="131" t="s">
        <v>841</v>
      </c>
      <c r="H16" s="136">
        <f>LOOKUP(H15,'Population Model'!$A$3:$A$100,'Population Model'!$B$3:$B$100)</f>
        <v>829</v>
      </c>
      <c r="I16" s="136">
        <f>LOOKUP(I15,'Population Model'!$A$3:$A$100,'Population Model'!$B$3:$B$100)</f>
        <v>938</v>
      </c>
      <c r="J16" s="136">
        <f>LOOKUP(J15,'Population Model'!$A$3:$A$100,'Population Model'!$B$3:$B$100)</f>
        <v>986</v>
      </c>
      <c r="K16" s="133">
        <f>MAX('Population Model'!B:B)</f>
        <v>989</v>
      </c>
      <c r="L16" s="137">
        <f>LOOKUP(L15,'Population Model'!$A$3:$A$100,'Population Model'!$B$3:$B$100)</f>
        <v>987</v>
      </c>
      <c r="M16"/>
      <c r="N16"/>
      <c r="O16"/>
      <c r="P16"/>
      <c r="Q16"/>
      <c r="R16"/>
      <c r="S16"/>
      <c r="T16"/>
      <c r="U16"/>
    </row>
    <row r="17" spans="1:27" ht="17" thickBot="1">
      <c r="A17" s="7" t="s">
        <v>741</v>
      </c>
      <c r="C17" s="15">
        <f>(MAX('Population Model'!AB:AB)+MAX('Population Model'!AC:AC))/7</f>
        <v>11.756568394395487</v>
      </c>
      <c r="D17" s="7">
        <f>(MIN('Population Model'!AB:AB)+MIN('Population Model'!AC:AC))/7</f>
        <v>7.3465054601783084</v>
      </c>
      <c r="E17"/>
      <c r="F17"/>
      <c r="G17" s="138" t="s">
        <v>840</v>
      </c>
      <c r="H17" s="139">
        <f>LOOKUP(H15,'Population Model'!$A$3:$A$100,'Population Model'!$C$3:$C$100)</f>
        <v>477</v>
      </c>
      <c r="I17" s="139">
        <f>LOOKUP(I15,'Population Model'!$A$3:$A$100,'Population Model'!$C$3:$C$100)</f>
        <v>419</v>
      </c>
      <c r="J17" s="139">
        <f>LOOKUP(J15,'Population Model'!$A$3:$A$100,'Population Model'!$C$3:$C$100)</f>
        <v>383</v>
      </c>
      <c r="K17" s="139">
        <f>LOOKUP(K15,'Population Model'!$A$3:$A$100,'Population Model'!$C$3:$C$100)</f>
        <v>385</v>
      </c>
      <c r="L17" s="140">
        <f>LOOKUP(L15,'Population Model'!$A$3:$A$100,'Population Model'!$C$3:$C$100)</f>
        <v>385</v>
      </c>
      <c r="M17"/>
      <c r="N17"/>
      <c r="O17"/>
      <c r="P17"/>
      <c r="Q17"/>
      <c r="R17"/>
      <c r="S17"/>
      <c r="T17"/>
      <c r="U17"/>
      <c r="V17"/>
      <c r="W17"/>
      <c r="X17"/>
      <c r="Y17"/>
    </row>
    <row r="18" spans="1:27">
      <c r="A18" s="7" t="s">
        <v>768</v>
      </c>
      <c r="E18"/>
      <c r="F18"/>
      <c r="G18"/>
      <c r="H18">
        <f>H17/H16</f>
        <v>0.57539203860072374</v>
      </c>
      <c r="I18">
        <f t="shared" ref="I18:L18" si="0">I17/I16</f>
        <v>0.44669509594882728</v>
      </c>
      <c r="J18">
        <f t="shared" si="0"/>
        <v>0.38843813387423937</v>
      </c>
      <c r="K18">
        <f t="shared" si="0"/>
        <v>0.38928210313447925</v>
      </c>
      <c r="L18">
        <f t="shared" si="0"/>
        <v>0.39007092198581561</v>
      </c>
      <c r="M18"/>
      <c r="N18"/>
      <c r="O18"/>
      <c r="P18"/>
      <c r="Q18"/>
      <c r="R18"/>
      <c r="S18"/>
      <c r="T18"/>
      <c r="U18"/>
      <c r="V18"/>
      <c r="W18"/>
      <c r="X18"/>
      <c r="Y18"/>
    </row>
    <row r="19" spans="1:27">
      <c r="A19" s="7"/>
      <c r="B19" t="s">
        <v>801</v>
      </c>
      <c r="C19" s="69">
        <f>(C32+C34+C36+C38+C40+C42)</f>
        <v>331.29282857464688</v>
      </c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</row>
    <row r="20" spans="1:27" ht="17" thickBot="1">
      <c r="A20" s="7"/>
      <c r="B20" t="s">
        <v>800</v>
      </c>
      <c r="C20" s="69">
        <f>(C33+C35+C37+C39)</f>
        <v>194.3617312339953</v>
      </c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</row>
    <row r="21" spans="1:27">
      <c r="A21" s="32" t="s">
        <v>733</v>
      </c>
      <c r="B21" s="86"/>
      <c r="C21" s="86"/>
      <c r="E21" s="86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 s="86"/>
      <c r="W21" s="1"/>
      <c r="X21" s="1"/>
      <c r="Y21"/>
    </row>
    <row r="22" spans="1:27">
      <c r="A22" s="96" t="s">
        <v>627</v>
      </c>
      <c r="C22" s="96">
        <f>MAX('Population Model'!O:O)</f>
        <v>396.1106548411986</v>
      </c>
      <c r="D22" s="96">
        <f>CEILING(AVERAGE('Population Model'!O:O),1)</f>
        <v>368</v>
      </c>
      <c r="E22" s="7">
        <f>LOOKUP(C22,'Population Model'!A:A,'Population Model'!O:O)</f>
        <v>389.20385246575887</v>
      </c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spans="1:27" ht="17" thickBot="1">
      <c r="A23" s="97" t="s">
        <v>628</v>
      </c>
      <c r="B23" s="88"/>
      <c r="C23" s="98">
        <f>CEILING(MAX('Population Model'!P:P),1)</f>
        <v>202</v>
      </c>
      <c r="D23" s="88">
        <f>CEILING(AVERAGE('Population Model'!P:P),1)</f>
        <v>179</v>
      </c>
      <c r="E23" s="88"/>
      <c r="F23"/>
      <c r="G23"/>
      <c r="H23"/>
      <c r="I23"/>
      <c r="J23">
        <f>SUM(J28:J45)</f>
        <v>821.35305923945987</v>
      </c>
      <c r="K23">
        <f>SUM(K32:K42)</f>
        <v>0.59894369322904994</v>
      </c>
      <c r="L23"/>
      <c r="M23"/>
      <c r="N23"/>
      <c r="O23"/>
      <c r="P23"/>
      <c r="Q23"/>
      <c r="R23"/>
      <c r="S23"/>
      <c r="T23"/>
      <c r="U23"/>
      <c r="V23" s="88"/>
      <c r="W23" s="88"/>
      <c r="X23" s="88"/>
      <c r="Y23" s="88"/>
    </row>
    <row r="24" spans="1:27">
      <c r="A24" s="96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W24" s="1"/>
      <c r="X24" s="1"/>
      <c r="Y24" s="1"/>
    </row>
    <row r="25" spans="1:27"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</row>
    <row r="26" spans="1:27">
      <c r="C26" t="s">
        <v>776</v>
      </c>
      <c r="D26" t="s">
        <v>37</v>
      </c>
      <c r="E26" t="s">
        <v>777</v>
      </c>
      <c r="H26" s="7" t="s">
        <v>778</v>
      </c>
      <c r="I26" s="7" t="s">
        <v>779</v>
      </c>
      <c r="J26" s="7" t="s">
        <v>810</v>
      </c>
      <c r="K26" s="7" t="s">
        <v>75</v>
      </c>
      <c r="L26" s="7" t="s">
        <v>828</v>
      </c>
      <c r="M26" t="s">
        <v>669</v>
      </c>
      <c r="N26"/>
      <c r="O26"/>
      <c r="Q26" s="141" t="s">
        <v>773</v>
      </c>
      <c r="R26" s="141"/>
      <c r="S26" s="141"/>
      <c r="T26"/>
    </row>
    <row r="27" spans="1:27">
      <c r="A27" t="s">
        <v>769</v>
      </c>
      <c r="C27"/>
      <c r="D27"/>
      <c r="E27"/>
      <c r="F27" t="s">
        <v>628</v>
      </c>
      <c r="G27" t="s">
        <v>627</v>
      </c>
      <c r="H27"/>
      <c r="I27"/>
      <c r="J27"/>
      <c r="K27"/>
      <c r="L27"/>
      <c r="P27"/>
      <c r="Q27"/>
      <c r="R27"/>
      <c r="S27"/>
      <c r="T27"/>
    </row>
    <row r="28" spans="1:27">
      <c r="A28" s="9">
        <v>0</v>
      </c>
      <c r="C28">
        <f>MAX('Population Model'!Z4:Z103)</f>
        <v>82.930642298896842</v>
      </c>
      <c r="D28">
        <f>MIN('Population Model'!Z4:Z103)</f>
        <v>77.112911422141778</v>
      </c>
      <c r="E28" s="7">
        <f>AVERAGE('Population Model'!Z2:Z103)</f>
        <v>82.388036662807764</v>
      </c>
      <c r="F28">
        <f>C28*H28</f>
        <v>0</v>
      </c>
      <c r="G28">
        <f>C28*I28</f>
        <v>0</v>
      </c>
      <c r="H28"/>
      <c r="I28"/>
      <c r="J28">
        <f>$J$3*1/3*K28</f>
        <v>75</v>
      </c>
      <c r="K28">
        <f>LOOKUP($J$5,$M$3:$M$6,$S$3:$S$6)</f>
        <v>0.25</v>
      </c>
      <c r="L28">
        <v>40.6</v>
      </c>
      <c r="M28">
        <f>((100000-L28)/100000)</f>
        <v>0.99959399999999998</v>
      </c>
      <c r="N28">
        <f>M28</f>
        <v>0.99959399999999998</v>
      </c>
      <c r="O28">
        <f>1-M28</f>
        <v>4.0600000000001746E-4</v>
      </c>
      <c r="P28" s="7" t="s">
        <v>39</v>
      </c>
      <c r="Q28" t="s">
        <v>775</v>
      </c>
      <c r="R28" t="s">
        <v>774</v>
      </c>
      <c r="S28"/>
      <c r="T28"/>
      <c r="U28"/>
      <c r="V28"/>
      <c r="Z28" s="7"/>
      <c r="AA28" s="7"/>
    </row>
    <row r="29" spans="1:27">
      <c r="A29" s="10">
        <f>A28+7</f>
        <v>7</v>
      </c>
      <c r="C29">
        <f>MAX('Population Model'!AA4:AA103)</f>
        <v>82.785190048048136</v>
      </c>
      <c r="D29" s="7">
        <f>MIN('Population Model'!AA4:AA103)</f>
        <v>75.127929890507616</v>
      </c>
      <c r="E29" s="7">
        <f>AVERAGE('Population Model'!AA2:AA103)</f>
        <v>81.710000651006155</v>
      </c>
      <c r="F29">
        <f t="shared" ref="F29:F45" si="1">C29*H29</f>
        <v>0</v>
      </c>
      <c r="G29">
        <f t="shared" ref="G29:G45" si="2">C29*I29</f>
        <v>0</v>
      </c>
      <c r="H29"/>
      <c r="I29"/>
      <c r="J29">
        <f t="shared" ref="J29:J45" si="3">$J$3*1/3*K29</f>
        <v>75</v>
      </c>
      <c r="K29">
        <f>LOOKUP($J$5,$M$3:$M$6,$S$3:$S$6)</f>
        <v>0.25</v>
      </c>
      <c r="L29">
        <v>22.5</v>
      </c>
      <c r="M29">
        <f t="shared" ref="M29:M46" si="4">((100000-L29)/100000)</f>
        <v>0.99977499999999997</v>
      </c>
      <c r="N29">
        <f t="shared" ref="N29:N46" si="5">M29</f>
        <v>0.99977499999999997</v>
      </c>
      <c r="O29">
        <f t="shared" ref="O29:O45" si="6">1-M29</f>
        <v>2.2500000000003073E-4</v>
      </c>
      <c r="P29"/>
      <c r="Q29"/>
      <c r="R29"/>
      <c r="S29"/>
      <c r="T29"/>
      <c r="U29"/>
      <c r="V29"/>
      <c r="Z29" s="7"/>
      <c r="AA29" s="7"/>
    </row>
    <row r="30" spans="1:27">
      <c r="A30" s="115">
        <f>A29+7</f>
        <v>14</v>
      </c>
      <c r="B30" s="115" t="s">
        <v>770</v>
      </c>
      <c r="C30" s="115">
        <f>MAX('Population Model'!AB4:AB103)</f>
        <v>41.147906658986138</v>
      </c>
      <c r="D30">
        <f>MIN('Population Model'!AB2:AB103)</f>
        <v>37.425538221248161</v>
      </c>
      <c r="E30">
        <f>AVERAGE('Population Model'!AB2:AB103)</f>
        <v>40.364655420209779</v>
      </c>
      <c r="F30">
        <f t="shared" si="1"/>
        <v>4.1147906658986138</v>
      </c>
      <c r="G30">
        <f t="shared" si="2"/>
        <v>16.459162663594455</v>
      </c>
      <c r="H30">
        <v>0.1</v>
      </c>
      <c r="I30">
        <v>0.4</v>
      </c>
      <c r="J30">
        <f t="shared" si="3"/>
        <v>37.5</v>
      </c>
      <c r="K30">
        <f>LOOKUP($J$5,$M$3:$M$6,$S$3:$S$6)*0.5</f>
        <v>0.125</v>
      </c>
      <c r="L30">
        <v>95.3</v>
      </c>
      <c r="M30">
        <f t="shared" si="4"/>
        <v>0.99904700000000002</v>
      </c>
      <c r="N30">
        <f t="shared" si="5"/>
        <v>0.99904700000000002</v>
      </c>
      <c r="O30">
        <f t="shared" si="6"/>
        <v>9.5299999999998164E-4</v>
      </c>
      <c r="P30"/>
      <c r="Q30"/>
      <c r="R30"/>
      <c r="S30"/>
      <c r="T30"/>
      <c r="U30"/>
      <c r="V30"/>
      <c r="Z30" s="7"/>
      <c r="AA30" s="7"/>
    </row>
    <row r="31" spans="1:27">
      <c r="B31" t="s">
        <v>771</v>
      </c>
      <c r="C31" s="59">
        <f>MAX('Population Model'!AC4:AC103)</f>
        <v>41.147906658986138</v>
      </c>
      <c r="D31" s="115">
        <f>MIN('Population Model'!AC2:AC103)</f>
        <v>37.425538221248161</v>
      </c>
      <c r="E31">
        <f>AVERAGE('Population Model'!AC2:AC103)</f>
        <v>40.364655420209779</v>
      </c>
      <c r="F31">
        <f t="shared" si="1"/>
        <v>4.1147906658986138</v>
      </c>
      <c r="G31">
        <f t="shared" si="2"/>
        <v>16.459162663594455</v>
      </c>
      <c r="H31">
        <v>0.1</v>
      </c>
      <c r="I31">
        <v>0.4</v>
      </c>
      <c r="J31">
        <f t="shared" si="3"/>
        <v>37.5</v>
      </c>
      <c r="K31">
        <f>LOOKUP($J$5,$M$3:$M$6,$S$3:$S$6)*0.5</f>
        <v>0.125</v>
      </c>
      <c r="L31">
        <v>95.3</v>
      </c>
      <c r="M31">
        <f t="shared" si="4"/>
        <v>0.99904700000000002</v>
      </c>
      <c r="N31"/>
      <c r="O31">
        <f t="shared" si="6"/>
        <v>9.5299999999998164E-4</v>
      </c>
      <c r="P31">
        <v>12</v>
      </c>
      <c r="Q31">
        <v>12</v>
      </c>
      <c r="R31">
        <v>12</v>
      </c>
      <c r="S31"/>
      <c r="T31"/>
      <c r="U31"/>
      <c r="V31"/>
      <c r="Z31" s="7"/>
      <c r="AA31" s="7"/>
    </row>
    <row r="32" spans="1:27">
      <c r="A32" s="115">
        <f>A30+7</f>
        <v>21</v>
      </c>
      <c r="B32" s="115" t="s">
        <v>770</v>
      </c>
      <c r="C32" s="115">
        <f>MAX('Population Model'!AD4:AD103)</f>
        <v>46.822614605853062</v>
      </c>
      <c r="D32" s="59">
        <f>MIN('Population Model'!AD2:AD103)</f>
        <v>38.840224598555764</v>
      </c>
      <c r="E32" s="115">
        <f>AVERAGE('Population Model'!AD2:AD103)</f>
        <v>40.740763157838671</v>
      </c>
      <c r="F32">
        <f t="shared" si="1"/>
        <v>4.6822614605853063</v>
      </c>
      <c r="G32">
        <f t="shared" si="2"/>
        <v>42.14035314526776</v>
      </c>
      <c r="H32">
        <v>0.1</v>
      </c>
      <c r="I32">
        <f>1-H32</f>
        <v>0.9</v>
      </c>
      <c r="J32">
        <f>$J$3*K32</f>
        <v>50.309999999999995</v>
      </c>
      <c r="K32">
        <f>LOOKUP($J$5,$M$3:$M$6,$T$3:$T$6)*$J$8</f>
        <v>5.5899999999999998E-2</v>
      </c>
      <c r="L32">
        <v>95.3</v>
      </c>
      <c r="M32">
        <f t="shared" si="4"/>
        <v>0.99904700000000002</v>
      </c>
      <c r="N32">
        <f t="shared" si="5"/>
        <v>0.99904700000000002</v>
      </c>
      <c r="O32">
        <f t="shared" si="6"/>
        <v>9.5299999999998164E-4</v>
      </c>
      <c r="P32"/>
      <c r="Q32"/>
      <c r="R32"/>
      <c r="S32"/>
      <c r="T32"/>
      <c r="U32"/>
      <c r="V32"/>
      <c r="Z32" s="7"/>
      <c r="AA32" s="7"/>
    </row>
    <row r="33" spans="1:27">
      <c r="B33" t="s">
        <v>772</v>
      </c>
      <c r="C33">
        <f>MAX('Population Model'!AE4:AE103)</f>
        <v>46.822614605853062</v>
      </c>
      <c r="D33" s="115">
        <f>MIN('Population Model'!AE2:AE103)</f>
        <v>38.840224598555764</v>
      </c>
      <c r="E33" s="59">
        <f>AVERAGE('Population Model'!AE2:AE103)</f>
        <v>40.740763157838671</v>
      </c>
      <c r="F33">
        <f t="shared" si="1"/>
        <v>4.6822614605853063</v>
      </c>
      <c r="G33">
        <f t="shared" si="2"/>
        <v>42.14035314526776</v>
      </c>
      <c r="H33">
        <v>0.1</v>
      </c>
      <c r="I33">
        <f>1-H33</f>
        <v>0.9</v>
      </c>
      <c r="J33">
        <f t="shared" ref="J33:J42" si="7">$J$3*K33</f>
        <v>50.309999999999995</v>
      </c>
      <c r="K33">
        <f>LOOKUP($J$5,$M$3:$M$6,$T$3:$T$6)*$J$7</f>
        <v>5.5899999999999998E-2</v>
      </c>
      <c r="L33">
        <v>95.3</v>
      </c>
      <c r="M33">
        <f t="shared" si="4"/>
        <v>0.99904700000000002</v>
      </c>
      <c r="N33"/>
      <c r="O33">
        <f t="shared" si="6"/>
        <v>9.5299999999998164E-4</v>
      </c>
      <c r="P33">
        <v>88</v>
      </c>
      <c r="Q33">
        <v>100</v>
      </c>
      <c r="R33">
        <v>12</v>
      </c>
      <c r="S33"/>
      <c r="T33"/>
      <c r="U33"/>
      <c r="V33"/>
      <c r="Z33" s="7"/>
      <c r="AA33" s="7"/>
    </row>
    <row r="34" spans="1:27">
      <c r="A34" s="115">
        <f>A32+7</f>
        <v>28</v>
      </c>
      <c r="B34" s="115" t="s">
        <v>770</v>
      </c>
      <c r="C34" s="115">
        <f>MAX('Population Model'!AF4:AF103)</f>
        <v>49.507683686505736</v>
      </c>
      <c r="D34">
        <f>MIN('Population Model'!AF2:AF103)</f>
        <v>38.976883957833302</v>
      </c>
      <c r="E34" s="115">
        <f>AVERAGE('Population Model'!AF2:AF103)</f>
        <v>40.878725707596253</v>
      </c>
      <c r="F34">
        <f t="shared" si="1"/>
        <v>9.9015367373011482</v>
      </c>
      <c r="G34">
        <f t="shared" si="2"/>
        <v>39.606146949204593</v>
      </c>
      <c r="H34">
        <v>0.2</v>
      </c>
      <c r="I34">
        <f t="shared" ref="I34:I45" si="8">1-H34</f>
        <v>0.8</v>
      </c>
      <c r="J34">
        <f t="shared" si="7"/>
        <v>49.806899999999992</v>
      </c>
      <c r="K34">
        <f>LOOKUP($J$5,$M$3:$M$6,$U$3:$U$6)*$J$8</f>
        <v>5.5340999999999994E-2</v>
      </c>
      <c r="L34">
        <v>192</v>
      </c>
      <c r="M34">
        <f t="shared" si="4"/>
        <v>0.99807999999999997</v>
      </c>
      <c r="N34">
        <f t="shared" si="5"/>
        <v>0.99807999999999997</v>
      </c>
      <c r="O34">
        <f t="shared" si="6"/>
        <v>1.9200000000000328E-3</v>
      </c>
      <c r="P34"/>
      <c r="Q34"/>
      <c r="R34"/>
      <c r="S34"/>
      <c r="T34"/>
      <c r="U34"/>
      <c r="V34"/>
      <c r="Z34" s="7"/>
      <c r="AA34" s="7"/>
    </row>
    <row r="35" spans="1:27">
      <c r="B35" t="s">
        <v>772</v>
      </c>
      <c r="C35">
        <f>MAX('Population Model'!AG4:AG103)</f>
        <v>49.507683686505736</v>
      </c>
      <c r="D35" s="115">
        <f>MIN('Population Model'!AG2:AG103)</f>
        <v>38.976883957833302</v>
      </c>
      <c r="E35">
        <f>AVERAGE('Population Model'!AG2:AG103)</f>
        <v>40.878725707596253</v>
      </c>
      <c r="F35">
        <f t="shared" si="1"/>
        <v>9.9015367373011482</v>
      </c>
      <c r="G35">
        <f t="shared" si="2"/>
        <v>39.606146949204593</v>
      </c>
      <c r="H35">
        <v>0.2</v>
      </c>
      <c r="I35">
        <f t="shared" si="8"/>
        <v>0.8</v>
      </c>
      <c r="J35">
        <f t="shared" si="7"/>
        <v>49.806899999999992</v>
      </c>
      <c r="K35">
        <f>LOOKUP($J$5,$M$3:$M$6,$U$3:$U$6)*$J$7</f>
        <v>5.5340999999999994E-2</v>
      </c>
      <c r="L35">
        <v>192</v>
      </c>
      <c r="M35">
        <f t="shared" si="4"/>
        <v>0.99807999999999997</v>
      </c>
      <c r="N35"/>
      <c r="O35">
        <f t="shared" si="6"/>
        <v>1.9200000000000328E-3</v>
      </c>
      <c r="P35">
        <v>88</v>
      </c>
      <c r="Q35">
        <v>100</v>
      </c>
      <c r="R35">
        <v>29</v>
      </c>
      <c r="S35"/>
      <c r="T35"/>
      <c r="U35"/>
      <c r="V35"/>
      <c r="Z35" s="7"/>
      <c r="AA35" s="7"/>
    </row>
    <row r="36" spans="1:27">
      <c r="A36" s="115">
        <f>A34+7</f>
        <v>35</v>
      </c>
      <c r="B36" s="115" t="s">
        <v>770</v>
      </c>
      <c r="C36" s="115">
        <f>MAX('Population Model'!AH4:AH103)</f>
        <v>49.262519587109082</v>
      </c>
      <c r="D36">
        <f>MIN('Population Model'!AH2:AH103)</f>
        <v>38.816831269358794</v>
      </c>
      <c r="E36" s="115">
        <f>AVERAGE('Population Model'!AH2:AH103)</f>
        <v>40.978867760942606</v>
      </c>
      <c r="F36">
        <f t="shared" si="1"/>
        <v>24.631259793554541</v>
      </c>
      <c r="G36">
        <f t="shared" si="2"/>
        <v>24.631259793554541</v>
      </c>
      <c r="H36">
        <v>0.5</v>
      </c>
      <c r="I36">
        <f t="shared" si="8"/>
        <v>0.5</v>
      </c>
      <c r="J36">
        <f t="shared" si="7"/>
        <v>49.308830999999998</v>
      </c>
      <c r="K36">
        <f>LOOKUP($J$5,$M$3:$M$6,$V$3:$V$6)*$J$8</f>
        <v>5.4787589999999997E-2</v>
      </c>
      <c r="L36">
        <v>192</v>
      </c>
      <c r="M36">
        <f t="shared" si="4"/>
        <v>0.99807999999999997</v>
      </c>
      <c r="N36">
        <f t="shared" si="5"/>
        <v>0.99807999999999997</v>
      </c>
      <c r="O36">
        <f t="shared" si="6"/>
        <v>1.9200000000000328E-3</v>
      </c>
      <c r="P36"/>
      <c r="Q36"/>
      <c r="R36"/>
      <c r="S36"/>
      <c r="T36"/>
      <c r="U36"/>
      <c r="V36"/>
      <c r="Z36" s="7"/>
      <c r="AA36" s="7"/>
    </row>
    <row r="37" spans="1:27">
      <c r="B37" t="s">
        <v>772</v>
      </c>
      <c r="C37">
        <f>MAX('Population Model'!AI4:AI103)</f>
        <v>49.262519587109082</v>
      </c>
      <c r="D37" s="115">
        <f>MIN('Population Model'!AI2:AI103)</f>
        <v>38.816831269358794</v>
      </c>
      <c r="E37">
        <f>AVERAGE('Population Model'!AI2:AI103)</f>
        <v>40.978867760942606</v>
      </c>
      <c r="F37">
        <f t="shared" si="1"/>
        <v>24.631259793554541</v>
      </c>
      <c r="G37">
        <f t="shared" si="2"/>
        <v>24.631259793554541</v>
      </c>
      <c r="H37">
        <v>0.5</v>
      </c>
      <c r="I37">
        <f t="shared" si="8"/>
        <v>0.5</v>
      </c>
      <c r="J37">
        <f t="shared" si="7"/>
        <v>49.308830999999998</v>
      </c>
      <c r="K37">
        <f>LOOKUP($J$5,$M$3:$M$6,$V$3:$V$6)*$J$7</f>
        <v>5.4787589999999997E-2</v>
      </c>
      <c r="L37">
        <v>192</v>
      </c>
      <c r="M37">
        <f t="shared" si="4"/>
        <v>0.99807999999999997</v>
      </c>
      <c r="N37"/>
      <c r="O37">
        <f t="shared" si="6"/>
        <v>1.9200000000000328E-3</v>
      </c>
      <c r="P37">
        <v>88</v>
      </c>
      <c r="Q37">
        <v>88</v>
      </c>
      <c r="R37">
        <v>29</v>
      </c>
      <c r="S37"/>
      <c r="T37"/>
      <c r="U37"/>
      <c r="V37"/>
      <c r="Z37" s="7"/>
      <c r="AA37" s="7"/>
    </row>
    <row r="38" spans="1:27">
      <c r="A38" s="115">
        <f>A36+7</f>
        <v>42</v>
      </c>
      <c r="B38" s="115" t="s">
        <v>770</v>
      </c>
      <c r="C38" s="115">
        <f>MAX('Population Model'!AJ4:AJ103)</f>
        <v>48.768913354527434</v>
      </c>
      <c r="D38">
        <f>MIN('Population Model'!AJ2:AJ103)</f>
        <v>38.534815492002799</v>
      </c>
      <c r="E38" s="115">
        <f>AVERAGE('Population Model'!AJ2:AJ103)</f>
        <v>41.081040179943038</v>
      </c>
      <c r="F38">
        <f t="shared" si="1"/>
        <v>24.384456677263717</v>
      </c>
      <c r="G38">
        <f t="shared" si="2"/>
        <v>24.384456677263717</v>
      </c>
      <c r="H38">
        <v>0.5</v>
      </c>
      <c r="I38">
        <f t="shared" si="8"/>
        <v>0.5</v>
      </c>
      <c r="J38">
        <f t="shared" si="7"/>
        <v>48.815742689999993</v>
      </c>
      <c r="K38">
        <f>LOOKUP($J$5,$M$3:$M$6,$W$3:$W$6)*$J$8</f>
        <v>5.4239714099999996E-2</v>
      </c>
      <c r="L38">
        <v>192</v>
      </c>
      <c r="M38">
        <f t="shared" si="4"/>
        <v>0.99807999999999997</v>
      </c>
      <c r="N38">
        <f t="shared" si="5"/>
        <v>0.99807999999999997</v>
      </c>
      <c r="O38">
        <f t="shared" si="6"/>
        <v>1.9200000000000328E-3</v>
      </c>
      <c r="P38"/>
      <c r="Q38"/>
      <c r="R38"/>
      <c r="S38"/>
      <c r="T38"/>
      <c r="U38"/>
      <c r="V38"/>
      <c r="Z38" s="7"/>
      <c r="AA38" s="7"/>
    </row>
    <row r="39" spans="1:27">
      <c r="B39" t="s">
        <v>772</v>
      </c>
      <c r="C39">
        <f>MAX('Population Model'!AK4:AK103)</f>
        <v>48.768913354527434</v>
      </c>
      <c r="D39" s="115">
        <f>MIN('Population Model'!AK2:AK103)</f>
        <v>38.534815492002799</v>
      </c>
      <c r="E39">
        <f>AVERAGE('Population Model'!AK2:AK103)</f>
        <v>41.081040179943038</v>
      </c>
      <c r="F39">
        <f t="shared" si="1"/>
        <v>24.384456677263717</v>
      </c>
      <c r="G39">
        <f t="shared" si="2"/>
        <v>24.384456677263717</v>
      </c>
      <c r="H39">
        <v>0.5</v>
      </c>
      <c r="I39">
        <f t="shared" si="8"/>
        <v>0.5</v>
      </c>
      <c r="J39">
        <f t="shared" si="7"/>
        <v>48.815742689999993</v>
      </c>
      <c r="K39">
        <f>LOOKUP($J$5,$M$3:$M$6,$W$3:$W$6)*$J$7</f>
        <v>5.4239714099999996E-2</v>
      </c>
      <c r="L39">
        <v>192</v>
      </c>
      <c r="M39">
        <f t="shared" si="4"/>
        <v>0.99807999999999997</v>
      </c>
      <c r="N39"/>
      <c r="O39">
        <f t="shared" si="6"/>
        <v>1.9200000000000328E-3</v>
      </c>
      <c r="P39">
        <v>29</v>
      </c>
      <c r="Q39">
        <v>29</v>
      </c>
      <c r="R39">
        <v>29</v>
      </c>
      <c r="S39"/>
      <c r="T39"/>
      <c r="U39"/>
      <c r="V39"/>
      <c r="Z39" s="7"/>
      <c r="AA39" s="7"/>
    </row>
    <row r="40" spans="1:27">
      <c r="A40" s="115">
        <f>A38+7</f>
        <v>49</v>
      </c>
      <c r="B40" s="115" t="s">
        <v>770</v>
      </c>
      <c r="C40" s="115">
        <f>MAX('Population Model'!AL4:AL103)</f>
        <v>48.28122422098216</v>
      </c>
      <c r="D40">
        <f>MIN('Population Model'!AL2:AL103)</f>
        <v>38.1851290427607</v>
      </c>
      <c r="E40" s="115">
        <f>AVERAGE('Population Model'!AL2:AL103)</f>
        <v>41.186044254481487</v>
      </c>
      <c r="F40">
        <f t="shared" si="1"/>
        <v>24.14061211049108</v>
      </c>
      <c r="G40">
        <f t="shared" si="2"/>
        <v>24.14061211049108</v>
      </c>
      <c r="H40">
        <v>0.5</v>
      </c>
      <c r="I40">
        <f t="shared" si="8"/>
        <v>0.5</v>
      </c>
      <c r="J40">
        <f t="shared" si="7"/>
        <v>48.327585263099991</v>
      </c>
      <c r="K40">
        <f>LOOKUP($J$5,$M$3:$M$6,$X$3:$X$6)*$J$8</f>
        <v>5.3697316958999992E-2</v>
      </c>
      <c r="L40">
        <v>192</v>
      </c>
      <c r="M40">
        <f t="shared" si="4"/>
        <v>0.99807999999999997</v>
      </c>
      <c r="N40">
        <f t="shared" si="5"/>
        <v>0.99807999999999997</v>
      </c>
      <c r="O40">
        <f t="shared" si="6"/>
        <v>1.9200000000000328E-3</v>
      </c>
      <c r="P40"/>
      <c r="Q40"/>
      <c r="R40"/>
      <c r="S40"/>
      <c r="T40"/>
      <c r="U40"/>
      <c r="V40"/>
      <c r="Z40" s="7"/>
      <c r="AA40" s="7"/>
    </row>
    <row r="41" spans="1:27">
      <c r="B41" t="s">
        <v>772</v>
      </c>
      <c r="C41">
        <f>MAX('Population Model'!AM4:AM103)</f>
        <v>48.28122422098216</v>
      </c>
      <c r="D41" s="115">
        <f>MIN('Population Model'!AM2:AM103)</f>
        <v>38.1851290427607</v>
      </c>
      <c r="E41">
        <f>AVERAGE('Population Model'!AM2:AM103)</f>
        <v>41.186044254481487</v>
      </c>
      <c r="F41">
        <f t="shared" si="1"/>
        <v>24.14061211049108</v>
      </c>
      <c r="G41">
        <f t="shared" si="2"/>
        <v>24.14061211049108</v>
      </c>
      <c r="H41">
        <v>0.5</v>
      </c>
      <c r="I41">
        <f t="shared" si="8"/>
        <v>0.5</v>
      </c>
      <c r="J41">
        <f t="shared" si="7"/>
        <v>48.327585263099991</v>
      </c>
      <c r="K41">
        <f>LOOKUP($J$5,$M$3:$M$6,$X$3:$X$6)*$J$7</f>
        <v>5.3697316958999992E-2</v>
      </c>
      <c r="L41">
        <v>192</v>
      </c>
      <c r="M41">
        <f t="shared" si="4"/>
        <v>0.99807999999999997</v>
      </c>
      <c r="N41"/>
      <c r="O41">
        <f t="shared" si="6"/>
        <v>1.9200000000000328E-3</v>
      </c>
      <c r="P41">
        <v>29</v>
      </c>
      <c r="Q41">
        <v>29</v>
      </c>
      <c r="R41">
        <v>29</v>
      </c>
      <c r="S41"/>
      <c r="T41"/>
      <c r="U41"/>
      <c r="V41"/>
      <c r="Z41" s="7"/>
      <c r="AA41" s="7"/>
    </row>
    <row r="42" spans="1:27">
      <c r="A42" s="6">
        <f>A40+7</f>
        <v>56</v>
      </c>
      <c r="C42">
        <f>MAX('Population Model'!AN4:AN103)</f>
        <v>88.649873119669437</v>
      </c>
      <c r="D42">
        <f>MIN('Population Model'!AN2:AN103)</f>
        <v>45.91120599994499</v>
      </c>
      <c r="E42" s="115">
        <f>AVERAGE('Population Model'!AN2:AN103)</f>
        <v>76.938839719220681</v>
      </c>
      <c r="F42">
        <f t="shared" si="1"/>
        <v>35.459949247867776</v>
      </c>
      <c r="G42">
        <f t="shared" si="2"/>
        <v>53.18992387180166</v>
      </c>
      <c r="H42">
        <v>0.4</v>
      </c>
      <c r="I42">
        <f t="shared" si="8"/>
        <v>0.6</v>
      </c>
      <c r="J42">
        <f t="shared" si="7"/>
        <v>45.91120599994499</v>
      </c>
      <c r="K42">
        <f>LOOKUP($J$5,$M$3:$M$6,$Y$3:$Y$6)*$J$8</f>
        <v>5.1012451111049989E-2</v>
      </c>
      <c r="L42">
        <v>725</v>
      </c>
      <c r="M42">
        <f t="shared" si="4"/>
        <v>0.99275000000000002</v>
      </c>
      <c r="N42">
        <f t="shared" si="5"/>
        <v>0.99275000000000002</v>
      </c>
      <c r="O42">
        <f t="shared" si="6"/>
        <v>7.2499999999999787E-3</v>
      </c>
      <c r="P42"/>
      <c r="Q42"/>
      <c r="R42"/>
      <c r="S42"/>
      <c r="T42"/>
      <c r="U42"/>
      <c r="V42"/>
      <c r="Z42" s="7"/>
      <c r="AA42" s="7"/>
    </row>
    <row r="43" spans="1:27">
      <c r="A43" s="6">
        <f>A42+7</f>
        <v>63</v>
      </c>
      <c r="C43">
        <f>MAX('Population Model'!AO4:AO103)</f>
        <v>81.941342433481026</v>
      </c>
      <c r="D43">
        <f>MIN('Population Model'!AP2:AP103)</f>
        <v>18.432104150610641</v>
      </c>
      <c r="E43">
        <f>AVERAGE('Population Model'!AO2:AO103)</f>
        <v>69.580635839773961</v>
      </c>
      <c r="F43">
        <f t="shared" si="1"/>
        <v>24.582402730044308</v>
      </c>
      <c r="G43">
        <f t="shared" si="2"/>
        <v>57.358939703436711</v>
      </c>
      <c r="H43">
        <v>0.3</v>
      </c>
      <c r="I43">
        <f t="shared" si="8"/>
        <v>0.7</v>
      </c>
      <c r="J43">
        <f t="shared" si="3"/>
        <v>15.303735333314997</v>
      </c>
      <c r="K43">
        <f>LOOKUP($J$5,$M$3:$M$6,$Y$3:$Y$6)*$J$7</f>
        <v>5.1012451111049989E-2</v>
      </c>
      <c r="L43">
        <v>725</v>
      </c>
      <c r="M43">
        <f t="shared" si="4"/>
        <v>0.99275000000000002</v>
      </c>
      <c r="N43">
        <f t="shared" si="5"/>
        <v>0.99275000000000002</v>
      </c>
      <c r="O43">
        <f t="shared" si="6"/>
        <v>7.2499999999999787E-3</v>
      </c>
      <c r="P43"/>
      <c r="Q43"/>
      <c r="R43"/>
      <c r="S43"/>
      <c r="T43"/>
      <c r="U43"/>
      <c r="V43"/>
      <c r="Z43" s="7"/>
      <c r="AA43" s="7"/>
    </row>
    <row r="44" spans="1:27">
      <c r="A44" s="6">
        <f>A43+7</f>
        <v>70</v>
      </c>
      <c r="C44">
        <f>MAX('Population Model'!AP4:AP103)</f>
        <v>61.537411936811978</v>
      </c>
      <c r="D44">
        <f>MIN('Population Model'!AQ2:AQ103)</f>
        <v>20.999999999999996</v>
      </c>
      <c r="E44">
        <f>AVERAGE('Population Model'!AP2:AP103)</f>
        <v>51.298396936330086</v>
      </c>
      <c r="F44">
        <f t="shared" si="1"/>
        <v>6.1537411936811983</v>
      </c>
      <c r="G44">
        <f t="shared" si="2"/>
        <v>55.383670743130779</v>
      </c>
      <c r="H44">
        <v>0.1</v>
      </c>
      <c r="I44">
        <f t="shared" si="8"/>
        <v>0.9</v>
      </c>
      <c r="J44">
        <f t="shared" si="3"/>
        <v>20.999999999999996</v>
      </c>
      <c r="K44">
        <f>LOOKUP($J$5,$M$3:$M$6,$Z$3:$Z$6)*0.7</f>
        <v>6.9999999999999993E-2</v>
      </c>
      <c r="L44">
        <v>5052</v>
      </c>
      <c r="M44">
        <f t="shared" si="4"/>
        <v>0.94947999999999999</v>
      </c>
      <c r="N44">
        <f t="shared" si="5"/>
        <v>0.94947999999999999</v>
      </c>
      <c r="O44">
        <f t="shared" si="6"/>
        <v>5.0520000000000009E-2</v>
      </c>
      <c r="P44"/>
      <c r="Q44"/>
      <c r="R44"/>
      <c r="S44"/>
      <c r="T44"/>
      <c r="U44"/>
      <c r="V44"/>
      <c r="Z44" s="7"/>
      <c r="AA44" s="7"/>
    </row>
    <row r="45" spans="1:27">
      <c r="A45" s="6">
        <v>77</v>
      </c>
      <c r="C45">
        <f>MAX('Population Model'!AQ4:AQ103)</f>
        <v>146.00369227195731</v>
      </c>
      <c r="D45">
        <f>MIN('Population Model'!AR3:AR103)</f>
        <v>0</v>
      </c>
      <c r="E45">
        <f>AVERAGE('Population Model'!AQ2:AQ103)</f>
        <v>113.89936239818925</v>
      </c>
      <c r="F45">
        <f t="shared" si="1"/>
        <v>14.600369227195731</v>
      </c>
      <c r="G45">
        <f t="shared" si="2"/>
        <v>131.40332304476158</v>
      </c>
      <c r="H45">
        <v>0.1</v>
      </c>
      <c r="I45">
        <f t="shared" si="8"/>
        <v>0.9</v>
      </c>
      <c r="J45">
        <f t="shared" si="3"/>
        <v>20.999999999999996</v>
      </c>
      <c r="K45">
        <f>LOOKUP($J$5,$M$3:$M$6,$Z$3:$Z$6)*0.7</f>
        <v>6.9999999999999993E-2</v>
      </c>
      <c r="L45">
        <v>5052</v>
      </c>
      <c r="M45">
        <f t="shared" si="4"/>
        <v>0.94947999999999999</v>
      </c>
      <c r="N45">
        <f t="shared" si="5"/>
        <v>0.94947999999999999</v>
      </c>
      <c r="O45">
        <f t="shared" si="6"/>
        <v>5.0520000000000009E-2</v>
      </c>
      <c r="P45"/>
      <c r="Q45"/>
      <c r="R45"/>
      <c r="S45"/>
      <c r="T45"/>
      <c r="U45"/>
      <c r="V45"/>
      <c r="Z45" s="7"/>
      <c r="AA45" s="7"/>
    </row>
    <row r="46" spans="1:27">
      <c r="A46">
        <v>84</v>
      </c>
      <c r="L46">
        <v>5052</v>
      </c>
      <c r="M46">
        <f t="shared" si="4"/>
        <v>0.94947999999999999</v>
      </c>
      <c r="N46">
        <f t="shared" si="5"/>
        <v>0.94947999999999999</v>
      </c>
      <c r="O46">
        <f t="shared" ref="O46" si="9">1-M46</f>
        <v>5.0520000000000009E-2</v>
      </c>
      <c r="X46"/>
      <c r="Y46"/>
    </row>
    <row r="47" spans="1:27">
      <c r="A47">
        <v>91</v>
      </c>
      <c r="L47">
        <v>5052</v>
      </c>
      <c r="M47"/>
      <c r="N47">
        <f t="shared" ref="N47:N49" si="10">POWER(M47,7)</f>
        <v>0</v>
      </c>
      <c r="X47"/>
      <c r="Y47"/>
    </row>
    <row r="48" spans="1:27">
      <c r="A48" s="6">
        <v>100</v>
      </c>
      <c r="L48">
        <v>5052</v>
      </c>
      <c r="M48"/>
      <c r="N48">
        <f t="shared" si="10"/>
        <v>0</v>
      </c>
      <c r="X48"/>
      <c r="Y48"/>
    </row>
    <row r="49" spans="1:25">
      <c r="A49" s="6">
        <v>107</v>
      </c>
      <c r="L49">
        <v>5052</v>
      </c>
      <c r="M49"/>
      <c r="N49">
        <f t="shared" si="10"/>
        <v>0</v>
      </c>
      <c r="X49"/>
      <c r="Y49"/>
    </row>
    <row r="121" spans="22:22">
      <c r="V121" s="12"/>
    </row>
  </sheetData>
  <sortState ref="L9:M12">
    <sortCondition ref="L9:L12"/>
  </sortState>
  <mergeCells count="1">
    <mergeCell ref="Q26:S26"/>
  </mergeCells>
  <pageMargins left="0.7" right="0.7" top="0.75" bottom="0.75" header="0.3" footer="0.3"/>
  <pageSetup orientation="portrait" horizontalDpi="0" verticalDpi="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A3A4D1-6DA0-1041-9684-297154DE9F89}">
  <dimension ref="A1:AQ115"/>
  <sheetViews>
    <sheetView topLeftCell="A51" workbookViewId="0">
      <selection activeCell="P53" sqref="P53"/>
    </sheetView>
  </sheetViews>
  <sheetFormatPr baseColWidth="10" defaultRowHeight="16"/>
  <cols>
    <col min="1" max="1" width="4.83203125" customWidth="1"/>
    <col min="2" max="2" width="9.83203125" bestFit="1" customWidth="1"/>
    <col min="3" max="3" width="9.83203125" customWidth="1"/>
    <col min="4" max="10" width="5.83203125" customWidth="1"/>
    <col min="11" max="11" width="8.33203125" bestFit="1" customWidth="1"/>
    <col min="12" max="12" width="6.1640625" customWidth="1"/>
    <col min="13" max="14" width="5.83203125" customWidth="1"/>
    <col min="15" max="15" width="7.5" bestFit="1" customWidth="1"/>
    <col min="16" max="17" width="6.6640625" bestFit="1" customWidth="1"/>
    <col min="18" max="18" width="5.83203125" customWidth="1"/>
    <col min="19" max="19" width="8.33203125" bestFit="1" customWidth="1"/>
    <col min="20" max="22" width="5.33203125" customWidth="1"/>
    <col min="23" max="25" width="6.5" customWidth="1"/>
    <col min="26" max="42" width="5.83203125" customWidth="1"/>
    <col min="43" max="43" width="8.33203125" bestFit="1" customWidth="1"/>
  </cols>
  <sheetData>
    <row r="1" spans="1:43">
      <c r="A1" s="8" t="s">
        <v>13</v>
      </c>
      <c r="B1" s="8" t="s">
        <v>156</v>
      </c>
      <c r="C1" s="8" t="s">
        <v>840</v>
      </c>
      <c r="D1" s="8" t="s">
        <v>39</v>
      </c>
      <c r="E1" s="8" t="s">
        <v>845</v>
      </c>
      <c r="F1" s="8" t="s">
        <v>820</v>
      </c>
      <c r="G1" s="8" t="s">
        <v>40</v>
      </c>
      <c r="H1" s="8" t="s">
        <v>46</v>
      </c>
      <c r="I1" s="8" t="s">
        <v>48</v>
      </c>
      <c r="J1" s="8" t="s">
        <v>45</v>
      </c>
      <c r="K1" s="8" t="s">
        <v>32</v>
      </c>
      <c r="L1" s="8" t="s">
        <v>672</v>
      </c>
      <c r="M1" s="8" t="s">
        <v>268</v>
      </c>
      <c r="N1" s="8" t="s">
        <v>73</v>
      </c>
      <c r="O1" s="8" t="s">
        <v>812</v>
      </c>
      <c r="P1" s="8"/>
      <c r="Q1" s="8"/>
      <c r="R1" s="8" t="s">
        <v>35</v>
      </c>
      <c r="S1" s="8"/>
      <c r="T1" s="8" t="s">
        <v>807</v>
      </c>
      <c r="U1" s="8" t="s">
        <v>809</v>
      </c>
      <c r="V1" s="8" t="s">
        <v>808</v>
      </c>
      <c r="W1" s="8" t="s">
        <v>802</v>
      </c>
      <c r="X1" s="8" t="s">
        <v>804</v>
      </c>
      <c r="Y1" s="8"/>
      <c r="Z1" s="9">
        <v>0</v>
      </c>
      <c r="AA1" s="10">
        <f>Z1+7</f>
        <v>7</v>
      </c>
      <c r="AB1" s="142">
        <f>AA1+7</f>
        <v>14</v>
      </c>
      <c r="AC1" s="142"/>
      <c r="AD1" s="142">
        <f>AB1+7</f>
        <v>21</v>
      </c>
      <c r="AE1" s="142"/>
      <c r="AF1" s="142">
        <f>AD1+7</f>
        <v>28</v>
      </c>
      <c r="AG1" s="142"/>
      <c r="AH1" s="142">
        <f>AF1+7</f>
        <v>35</v>
      </c>
      <c r="AI1" s="142"/>
      <c r="AJ1" s="142">
        <f>AH1+7</f>
        <v>42</v>
      </c>
      <c r="AK1" s="142"/>
      <c r="AL1" s="142">
        <f>AJ1+7</f>
        <v>49</v>
      </c>
      <c r="AM1" s="142"/>
      <c r="AN1" s="6">
        <f>AL1+7</f>
        <v>56</v>
      </c>
      <c r="AO1" s="6">
        <f>AN1+7</f>
        <v>63</v>
      </c>
      <c r="AP1" s="6">
        <f>AO1+7</f>
        <v>70</v>
      </c>
      <c r="AQ1" s="6" t="s">
        <v>47</v>
      </c>
    </row>
    <row r="2" spans="1:43">
      <c r="A2" s="116"/>
      <c r="B2" s="117">
        <f>FLOOR(SUM(Z2:AQ2),1)</f>
        <v>821</v>
      </c>
      <c r="C2" s="117"/>
      <c r="D2" s="117">
        <v>0</v>
      </c>
      <c r="E2" s="117"/>
      <c r="F2" s="117"/>
      <c r="G2" s="116"/>
      <c r="H2" s="118">
        <f>FLOOR(AE2+AG2+AI2+AK2+AM2,1)</f>
        <v>246</v>
      </c>
      <c r="I2" s="118"/>
      <c r="J2" s="117"/>
      <c r="K2" s="116"/>
      <c r="L2" s="117">
        <f>SUM(G1:G2)/H2</f>
        <v>0</v>
      </c>
      <c r="M2" s="117">
        <f>(AD2+AE2+AF2+AG2+AH2+AI2)/21*0.5</f>
        <v>7.1155109999999997</v>
      </c>
      <c r="N2" s="117">
        <f t="shared" ref="N2:N33" si="0">I2/B2</f>
        <v>0</v>
      </c>
      <c r="O2" s="117" t="s">
        <v>811</v>
      </c>
      <c r="P2" s="117" t="s">
        <v>813</v>
      </c>
      <c r="Q2" s="117"/>
      <c r="R2" s="117">
        <f>SUM(AQ2:AQ2)/B2</f>
        <v>2.5578562728380019E-2</v>
      </c>
      <c r="S2" s="117">
        <f t="shared" ref="S2:S33" si="1">W2/H2</f>
        <v>0.50115662388841453</v>
      </c>
      <c r="T2" s="117"/>
      <c r="U2" s="117"/>
      <c r="V2" s="117"/>
      <c r="W2" s="117">
        <f>Population!J12</f>
        <v>123.28452947654998</v>
      </c>
      <c r="X2" s="118">
        <f>(AD2+AF2+AH2+AJ2+AL2)-W2</f>
        <v>123.28452947654998</v>
      </c>
      <c r="Y2" s="118">
        <f>(AE2+AG2+AI2+AK2+AM2)-W2</f>
        <v>123.28452947654998</v>
      </c>
      <c r="Z2" s="18">
        <f>Population!J28</f>
        <v>75</v>
      </c>
      <c r="AA2" s="18">
        <f>Population!J29</f>
        <v>75</v>
      </c>
      <c r="AB2" s="14">
        <f>Population!J30</f>
        <v>37.5</v>
      </c>
      <c r="AC2" s="13">
        <f>Population!J31</f>
        <v>37.5</v>
      </c>
      <c r="AD2" s="14">
        <f>Population!J32</f>
        <v>50.309999999999995</v>
      </c>
      <c r="AE2" s="13">
        <f>Population!J33</f>
        <v>50.309999999999995</v>
      </c>
      <c r="AF2" s="14">
        <f>Population!J34</f>
        <v>49.806899999999992</v>
      </c>
      <c r="AG2" s="13">
        <f>Population!J35</f>
        <v>49.806899999999992</v>
      </c>
      <c r="AH2" s="14">
        <f>Population!J36</f>
        <v>49.308830999999998</v>
      </c>
      <c r="AI2" s="13">
        <f>Population!J37</f>
        <v>49.308830999999998</v>
      </c>
      <c r="AJ2" s="14">
        <f>Population!J38</f>
        <v>48.815742689999993</v>
      </c>
      <c r="AK2" s="13">
        <f>Population!J39</f>
        <v>48.815742689999993</v>
      </c>
      <c r="AL2" s="14">
        <f>Population!J40</f>
        <v>48.327585263099991</v>
      </c>
      <c r="AM2" s="13">
        <f>Population!J41</f>
        <v>48.327585263099991</v>
      </c>
      <c r="AN2" s="15">
        <f>Population!J42</f>
        <v>45.91120599994499</v>
      </c>
      <c r="AO2" s="15">
        <f>Population!J43</f>
        <v>15.303735333314997</v>
      </c>
      <c r="AP2" s="5">
        <f>Population!J44</f>
        <v>20.999999999999996</v>
      </c>
      <c r="AQ2" s="5">
        <f>Population!J45</f>
        <v>20.999999999999996</v>
      </c>
    </row>
    <row r="3" spans="1:43">
      <c r="A3">
        <v>0</v>
      </c>
      <c r="B3" s="4">
        <f>FLOOR(SUM(Z3:AQ3),1)</f>
        <v>829</v>
      </c>
      <c r="C3" s="59">
        <f t="shared" ref="C3:C34" si="2">FLOOR(B3-I3-G3-SUM(AN3:AQ3),1)</f>
        <v>477</v>
      </c>
      <c r="D3" s="12">
        <f>AC2*Population!$P$31*Population!$C$2+AE2*Population!$P$33*Population!$C$2+AG2*Population!$P$35*Population!$C$2+AI2*Population!$P$37*Population!$C$2+AK2*Population!$P$39*Population!$C$2+AM1*Population!$P$41*Population!$C$2</f>
        <v>15.015120866009998</v>
      </c>
      <c r="E3" s="12">
        <f>IF(B2&gt;Population!$B$6*Population!$B$15,Population!$B$8,IF(Population!$J$6=1,D3,Population!$B$8*Population!$B$6*0.9/B2))</f>
        <v>11.880918319076509</v>
      </c>
      <c r="F3" s="12">
        <f>IF(B2&gt;Population!$B$6*0.75,Population!$B$8,E3)</f>
        <v>11.880918319076509</v>
      </c>
      <c r="G3" s="15">
        <f>IF(Population!$J$6=1,IF(E3&gt;H2,H2,E3),IF(E3&gt;W2,W2,E3))</f>
        <v>11.880918319076509</v>
      </c>
      <c r="H3" s="15">
        <f>FLOOR(AE2+AG2+AI2+AK2+AM2,1)</f>
        <v>246</v>
      </c>
      <c r="I3" s="15">
        <f>FLOOR(SUM(Z2:AC2),1)</f>
        <v>225</v>
      </c>
      <c r="J3" s="12">
        <f t="shared" ref="J3:J33" si="3">I3/H3</f>
        <v>0.91463414634146345</v>
      </c>
      <c r="K3" s="12">
        <f>Z3*Population!$O$28+AA3*Population!$O$29+AB3*Population!$O$30+AC3*Population!$O$31+AD3*Population!$O$32+AE3*Population!$O$33+AF3*Population!$O$34+AG3*Population!$O$35+AH3*Population!$O$36+AI3*Population!$O$37+AJ3*Population!$O$38+AK3*Population!$O$39+AL3*Population!$O$40+AM3*Population!$O$41+AN3*Population!$O$42+AO3*Population!$O$43+AP3*Population!$O$44+AQ3*Population!$O$45</f>
        <v>3.6138762615375359</v>
      </c>
      <c r="L3" s="12">
        <f>G3/H3</f>
        <v>4.8296415931205317E-2</v>
      </c>
      <c r="M3" s="12">
        <f>(AD2+AE2+AF2+AG2+AH2+AI2)/21*0.5</f>
        <v>7.1155109999999997</v>
      </c>
      <c r="N3" s="12">
        <f t="shared" si="0"/>
        <v>0.27141133896260555</v>
      </c>
      <c r="O3" s="12">
        <f t="shared" ref="O3:O34" si="4">B3-I3-P3*2</f>
        <v>304.1880019398107</v>
      </c>
      <c r="P3" s="12">
        <f>MAX(W3,I3/2)</f>
        <v>149.90599903009465</v>
      </c>
      <c r="Q3" s="12">
        <f>SUM(AQ2:AQ2)</f>
        <v>20.999999999999996</v>
      </c>
      <c r="R3" s="12">
        <f>SUM(AQ2:AQ2)/B3</f>
        <v>2.5331724969843181E-2</v>
      </c>
      <c r="S3" s="12">
        <f t="shared" si="1"/>
        <v>0.6093739797971327</v>
      </c>
      <c r="T3" s="12">
        <f>Population!$B$13*MIN(X2:Y2)</f>
        <v>30.821132369137494</v>
      </c>
      <c r="U3" s="12">
        <f>W2*Population!$B$14</f>
        <v>0.73970717685929988</v>
      </c>
      <c r="V3" s="12">
        <f>AM2*S2*Population!$B$12</f>
        <v>3.4599556387335264</v>
      </c>
      <c r="W3" s="12">
        <f>W2+T3-V3-U3</f>
        <v>149.90599903009465</v>
      </c>
      <c r="X3" s="14">
        <f>(AD2+AF2+AH2+AJ2+AL2)-W3</f>
        <v>96.663059923005306</v>
      </c>
      <c r="Y3" s="13">
        <f>(AE2+AG2+AI2+AK2+AM2)-W3</f>
        <v>96.663059923005306</v>
      </c>
      <c r="Z3" s="18">
        <f>G3+Population!$B$11*Z2*Population!M$28</f>
        <v>76.140532604790806</v>
      </c>
      <c r="AA3" s="18">
        <f>Z2*Population!$B$12*Population!$M$28+AA2*Population!$B$11*Population!$M$29</f>
        <v>74.981185714285715</v>
      </c>
      <c r="AB3" s="14">
        <f>(AA2*Population!$B$12*0.5*Population!$M$29)+(AB2*Population!$B$11*Population!M$30)</f>
        <v>37.468162500000005</v>
      </c>
      <c r="AC3" s="13">
        <f>(AA2*Population!$B$12*0.5*Population!$M$29)+(AC2*Population!$B$11*Population!M$30)</f>
        <v>37.468162500000005</v>
      </c>
      <c r="AD3" s="14">
        <f>(AB2*Population!$B$12*Population!M$30)+(AD2*Population!$B$11*Population!M$32)</f>
        <v>48.43379856</v>
      </c>
      <c r="AE3" s="13">
        <f>(AC2*Population!$B$12*Population!M$30)+(AE2*Population!$B$11*Population!M$32)</f>
        <v>48.43379856</v>
      </c>
      <c r="AF3" s="14">
        <f>(AD2*Population!$B$12*Population!M$32)+(AF2*Population!$B$11*Population!M$34)</f>
        <v>49.789954154571419</v>
      </c>
      <c r="AG3" s="13">
        <f>(AE2*Population!$B$12*Population!M$32)+(AG2*Population!$B$11*Population!M$34)</f>
        <v>49.789954154571419</v>
      </c>
      <c r="AH3" s="14">
        <f>(AF2*Population!$B$12*Population!M$34)+(AH2*Population!$B$11*Population!M$36)</f>
        <v>49.285174145554286</v>
      </c>
      <c r="AI3" s="13">
        <f>(AG2*Population!$B$12*Population!M$34)+(AI2*Population!$B$11*Population!M$36)</f>
        <v>49.285174145554286</v>
      </c>
      <c r="AJ3" s="14">
        <f>(AH2*Population!$B$12*Population!M$36)+(AJ2*Population!$B$11*Population!M$38)</f>
        <v>48.792322404098734</v>
      </c>
      <c r="AK3" s="13">
        <f>(AI2*Population!$B$12*Population!M$36)+(AK2*Population!$B$11*Population!M$38)</f>
        <v>48.792322404098734</v>
      </c>
      <c r="AL3" s="14">
        <f>(AJ2*Population!$B$12*Population!M$38)+(AL2*Population!$B$11*Population!M$40)</f>
        <v>48.30439918005775</v>
      </c>
      <c r="AM3" s="13">
        <f>(AK2*Population!$B$12*Population!M$38)+(AM2*Population!$B$11*Population!M$40)</f>
        <v>48.30439918005775</v>
      </c>
      <c r="AN3" s="15">
        <f>(AL2+AM2)*Population!$B$12*Population!$M$40+AN2*Population!$B$11*Population!$M$42</f>
        <v>52.848527305351723</v>
      </c>
      <c r="AO3" s="5">
        <f>AN2*Population!M$42*Population!$B$12+AO2*Population!$B$11*Population!M$43</f>
        <v>19.533578467048024</v>
      </c>
      <c r="AP3" s="5">
        <f>AO2*Population!M$43*Population!$B$12+AP2*Population!$B$11*Population!M$44</f>
        <v>19.261037607449779</v>
      </c>
      <c r="AQ3" s="5">
        <f>(AP2*Population!$B$12+AQ2)*Population!M$45</f>
        <v>22.787519999999997</v>
      </c>
    </row>
    <row r="4" spans="1:43">
      <c r="A4">
        <f>A3+Population!$B$2</f>
        <v>1</v>
      </c>
      <c r="B4" s="4">
        <f t="shared" ref="B4:B67" si="5">FLOOR(SUM(Z4:AQ4),1)</f>
        <v>837</v>
      </c>
      <c r="C4" s="59">
        <f t="shared" si="2"/>
        <v>472</v>
      </c>
      <c r="D4" s="12">
        <f>AC3*Population!$P$31*Population!$C$2+AE3*Population!$P$33*Population!$C$2+AG3*Population!$P$35*Population!$C$2+AI3*Population!$P$37*Population!$C$2+AK3*Population!$P$39*Population!$C$2+AM2*Population!$P$41*Population!$C$2</f>
        <v>16.246880836039828</v>
      </c>
      <c r="E4" s="12">
        <f>IF(B3&gt;Population!$B$6*Population!$B$15,Population!$B$8,IF(Population!$J$6=1,D4,Population!$B$8*Population!$B$6*0.9/B3))</f>
        <v>11.880918319076509</v>
      </c>
      <c r="F4" s="12">
        <f>IF(B3&gt;Population!$B$6*0.75,Population!$B$8,E4)</f>
        <v>11.880918319076509</v>
      </c>
      <c r="G4" s="15">
        <f>IF(Population!$J$6=1,IF(E4&gt;H3,H3,E4),IF(E4&gt;W3,W3,E4))</f>
        <v>11.880918319076509</v>
      </c>
      <c r="H4" s="15">
        <f t="shared" ref="H4:H35" si="6">FLOOR(AE4+AG4+AI4+AK4+AM4,1)</f>
        <v>242</v>
      </c>
      <c r="I4" s="15">
        <f t="shared" ref="I4:I35" si="7">FLOOR(SUM(Z4:AC4),1)</f>
        <v>227</v>
      </c>
      <c r="J4" s="12">
        <f t="shared" si="3"/>
        <v>0.93801652892561982</v>
      </c>
      <c r="K4" s="12">
        <f>Z4*Population!$O$28+AA4*Population!$O$29+AB4*Population!$O$30+AC4*Population!$O$31+AD4*Population!$O$32+AE4*Population!$O$33+AF4*Population!$O$34+AG4*Population!$O$35+AH4*Population!$O$36+AI4*Population!$O$37+AJ4*Population!$O$38+AK4*Population!$O$39+AL4*Population!$O$40+AM4*Population!$O$41+AN4*Population!$O$42+AO4*Population!$O$43+AP4*Population!$O$44+AQ4*Population!$O$45</f>
        <v>3.7184419702567264</v>
      </c>
      <c r="L4" s="12">
        <f t="shared" ref="L4:L67" si="8">G4/H4</f>
        <v>4.9094703797836814E-2</v>
      </c>
      <c r="M4" s="12">
        <f t="shared" ref="M4:M35" si="9">(AD4+AE4+AF4+AG4+AH4+AI4)/21*0.5</f>
        <v>6.9329913275937081</v>
      </c>
      <c r="N4" s="12">
        <f t="shared" si="0"/>
        <v>0.2712066905615293</v>
      </c>
      <c r="O4" s="12">
        <f t="shared" si="4"/>
        <v>272.0654708152581</v>
      </c>
      <c r="P4" s="12">
        <f t="shared" ref="P4:P67" si="10">MAX(W4,I4/2)</f>
        <v>168.96726459237095</v>
      </c>
      <c r="Q4" s="12">
        <f t="shared" ref="Q4:Q67" si="11">SUM(AQ3:AQ3)</f>
        <v>22.787519999999997</v>
      </c>
      <c r="R4" s="12">
        <f t="shared" ref="R4:R35" si="12">SUM(AQ4:AQ4)/B4</f>
        <v>2.8971160849073457E-2</v>
      </c>
      <c r="S4" s="12">
        <f t="shared" si="1"/>
        <v>0.69821183715855761</v>
      </c>
      <c r="T4" s="12">
        <f>Population!$B$13*MIN(X3:Y3)</f>
        <v>24.165764980751327</v>
      </c>
      <c r="U4" s="12">
        <f>W3*Population!$B$14</f>
        <v>0.89943599418056785</v>
      </c>
      <c r="V4" s="12">
        <f>AM3*S3*Population!$B$12</f>
        <v>4.2050634242944485</v>
      </c>
      <c r="W4" s="12">
        <f t="shared" ref="W4:W12" si="13">W3+T4-V4-U4</f>
        <v>168.96726459237095</v>
      </c>
      <c r="X4" s="14">
        <f t="shared" ref="X4:X35" si="14">(AD4+AF4+AH4+AJ4+AL4)-W4</f>
        <v>73.675690862606501</v>
      </c>
      <c r="Y4" s="13">
        <f t="shared" ref="Y4:Y35" si="15">(AE4+AG4+AI4+AK4+AM4)-W4</f>
        <v>73.675690862606501</v>
      </c>
      <c r="Z4" s="18">
        <f>(G4+Population!$B$11*Z3)*Population!M$28</f>
        <v>77.112911422141778</v>
      </c>
      <c r="AA4" s="18">
        <f>Z3*Population!$B$12*Population!$M$28+AA3*Population!$B$11*Population!$M$29</f>
        <v>75.127929890507616</v>
      </c>
      <c r="AB4" s="14">
        <f>(AA3*Population!$B$12*0.5*Population!$M$29)+(AB3*Population!$B$11*Population!M$30)</f>
        <v>37.439555645796439</v>
      </c>
      <c r="AC4" s="13">
        <f>(AA3*Population!$B$12*0.5*Population!$M$29)+(AC3*Population!$B$11*Population!M$30)</f>
        <v>37.439555645796439</v>
      </c>
      <c r="AD4" s="14">
        <f>(AB3*Population!$B$12*Population!M$30)+(AD3*Population!$B$11*Population!M$32)</f>
        <v>46.822614605853062</v>
      </c>
      <c r="AE4" s="13">
        <f>(AC3*Population!$B$12*Population!M$30)+(AE3*Population!$B$11*Population!M$32)</f>
        <v>46.822614605853062</v>
      </c>
      <c r="AF4" s="14">
        <f>(AD3*Population!$B$12*Population!M$32)+(AF3*Population!$B$11*Population!M$34)</f>
        <v>49.507683686505736</v>
      </c>
      <c r="AG4" s="13">
        <f>(AE3*Population!$B$12*Population!M$32)+(AG3*Population!$B$11*Population!M$34)</f>
        <v>49.507683686505736</v>
      </c>
      <c r="AH4" s="14">
        <f>(AF3*Population!$B$12*Population!M$34)+(AH3*Population!$B$11*Population!M$36)</f>
        <v>49.262519587109082</v>
      </c>
      <c r="AI4" s="13">
        <f>(AG3*Population!$B$12*Population!M$34)+(AI3*Population!$B$11*Population!M$36)</f>
        <v>49.262519587109082</v>
      </c>
      <c r="AJ4" s="14">
        <f>(AH3*Population!$B$12*Population!M$36)+(AJ3*Population!$B$11*Population!M$38)</f>
        <v>48.768913354527434</v>
      </c>
      <c r="AK4" s="13">
        <f>(AI3*Population!$B$12*Population!M$36)+(AK3*Population!$B$11*Population!M$38)</f>
        <v>48.768913354527434</v>
      </c>
      <c r="AL4" s="14">
        <f>(AJ3*Population!$B$12*Population!M$38)+(AL3*Population!$B$11*Population!M$40)</f>
        <v>48.28122422098216</v>
      </c>
      <c r="AM4" s="13">
        <f>(AK3*Population!$B$12*Population!M$38)+(AM3*Population!$B$11*Population!M$40)</f>
        <v>48.28122422098216</v>
      </c>
      <c r="AN4" s="15">
        <f>(AL3+AM3)*Population!$B$12*Population!$M$40+AN3*Population!$B$11*Population!$M$42</f>
        <v>58.745080337370233</v>
      </c>
      <c r="AO4" s="5">
        <f>AN3*Population!M$42*Population!$B$12+AO3*Population!$B$11*Population!M$43</f>
        <v>24.116733660194214</v>
      </c>
      <c r="AP4" s="5">
        <f>AO3*Population!M$43*Population!$B$12+AP3*Population!$B$11*Population!M$44</f>
        <v>18.445682849755777</v>
      </c>
      <c r="AQ4" s="5">
        <f>(AP3*Population!$B$12+AQ3)*Population!M$45</f>
        <v>24.248861630674483</v>
      </c>
    </row>
    <row r="5" spans="1:43">
      <c r="A5">
        <f>A4+Population!$B$2</f>
        <v>2</v>
      </c>
      <c r="B5" s="4">
        <f t="shared" si="5"/>
        <v>846</v>
      </c>
      <c r="C5" s="59">
        <f t="shared" si="2"/>
        <v>469</v>
      </c>
      <c r="D5" s="12">
        <f>AC4*Population!$P$31*Population!$C$2+AE4*Population!$P$33*Population!$C$2+AG4*Population!$P$35*Population!$C$2+AI4*Population!$P$37*Population!$C$2+AK4*Population!$P$39*Population!$C$2+AM3*Population!$P$41*Population!$C$2</f>
        <v>16.076568704645698</v>
      </c>
      <c r="E5" s="12">
        <f>IF(B4&gt;Population!$B$6*Population!$B$15,Population!$B$8,IF(Population!$J$6=1,D5,Population!$B$8*Population!$B$6*0.9/B4))</f>
        <v>11.880918319076509</v>
      </c>
      <c r="F5" s="12">
        <f>IF(B4&gt;Population!$B$6*0.75,Population!$B$8,E5)</f>
        <v>11.880918319076509</v>
      </c>
      <c r="G5" s="15">
        <f>IF(Population!$J$6=1,IF(E5&gt;H4,H4,E5),IF(E5&gt;W4,W4,E5))</f>
        <v>11.880918319076509</v>
      </c>
      <c r="H5" s="15">
        <f t="shared" si="6"/>
        <v>240</v>
      </c>
      <c r="I5" s="15">
        <f t="shared" si="7"/>
        <v>228</v>
      </c>
      <c r="J5" s="12">
        <f t="shared" si="3"/>
        <v>0.95</v>
      </c>
      <c r="K5" s="12">
        <f>Z5*Population!$O$28+AA5*Population!$O$29+AB5*Population!$O$30+AC5*Population!$O$31+AD5*Population!$O$32+AE5*Population!$O$33+AF5*Population!$O$34+AG5*Population!$O$35+AH5*Population!$O$36+AI5*Population!$O$37+AJ5*Population!$O$38+AK5*Population!$O$39+AL5*Population!$O$40+AM5*Population!$O$41+AN5*Population!$O$42+AO5*Population!$O$43+AP5*Population!$O$44+AQ5*Population!$O$45</f>
        <v>3.8484487372535154</v>
      </c>
      <c r="L5" s="12">
        <f t="shared" si="8"/>
        <v>4.9503826329485454E-2</v>
      </c>
      <c r="M5" s="12">
        <f t="shared" si="9"/>
        <v>6.8418084364762342</v>
      </c>
      <c r="N5" s="12">
        <f t="shared" si="0"/>
        <v>0.26950354609929078</v>
      </c>
      <c r="O5" s="12">
        <f t="shared" si="4"/>
        <v>254.88681034866221</v>
      </c>
      <c r="P5" s="12">
        <f t="shared" si="10"/>
        <v>181.5565948256689</v>
      </c>
      <c r="Q5" s="12">
        <f t="shared" si="11"/>
        <v>24.248861630674483</v>
      </c>
      <c r="R5" s="12">
        <f t="shared" si="12"/>
        <v>3.0172318632191112E-2</v>
      </c>
      <c r="S5" s="12">
        <f t="shared" si="1"/>
        <v>0.7564858117736204</v>
      </c>
      <c r="T5" s="12">
        <f>Population!$B$13*MIN(X4:Y4)</f>
        <v>18.418922715651625</v>
      </c>
      <c r="U5" s="12">
        <f>W4*Population!$B$14</f>
        <v>1.0138035875542257</v>
      </c>
      <c r="V5" s="12">
        <f>AM4*S4*Population!$B$12</f>
        <v>4.8157888947994572</v>
      </c>
      <c r="W5" s="12">
        <f t="shared" si="13"/>
        <v>181.5565948256689</v>
      </c>
      <c r="X5" s="14">
        <f t="shared" si="14"/>
        <v>59.125099548700035</v>
      </c>
      <c r="Y5" s="13">
        <f t="shared" si="15"/>
        <v>59.125099548700035</v>
      </c>
      <c r="Z5" s="18">
        <f>(G5+Population!$B$11*Z4)*Population!M$28</f>
        <v>77.946040592042735</v>
      </c>
      <c r="AA5" s="18">
        <f>Z4*Population!$B$12*Population!$M$28+AA4*Population!$B$11*Population!$M$29</f>
        <v>75.392537173971121</v>
      </c>
      <c r="AB5" s="14">
        <f>(AA4*Population!$B$12*0.5*Population!$M$29)+(AB4*Population!$B$11*Population!M$30)</f>
        <v>37.425538221248161</v>
      </c>
      <c r="AC5" s="13">
        <f>(AA4*Population!$B$12*0.5*Population!$M$29)+(AC4*Population!$B$11*Population!M$30)</f>
        <v>37.425538221248161</v>
      </c>
      <c r="AD5" s="14">
        <f>(AB4*Population!$B$12*Population!M$30)+(AD4*Population!$B$11*Population!M$32)</f>
        <v>45.438833096295447</v>
      </c>
      <c r="AE5" s="13">
        <f>(AC4*Population!$B$12*Population!M$30)+(AE4*Population!$B$11*Population!M$32)</f>
        <v>45.438833096295447</v>
      </c>
      <c r="AF5" s="14">
        <f>(AD4*Population!$B$12*Population!M$32)+(AF4*Population!$B$11*Population!M$34)</f>
        <v>49.036252322442792</v>
      </c>
      <c r="AG5" s="13">
        <f>(AE4*Population!$B$12*Population!M$32)+(AG4*Population!$B$11*Population!M$34)</f>
        <v>49.036252322442792</v>
      </c>
      <c r="AH5" s="14">
        <f>(AF4*Population!$B$12*Population!M$34)+(AH4*Population!$B$11*Population!M$36)</f>
        <v>49.202891747262669</v>
      </c>
      <c r="AI5" s="13">
        <f>(AG4*Population!$B$12*Population!M$34)+(AI4*Population!$B$11*Population!M$36)</f>
        <v>49.202891747262669</v>
      </c>
      <c r="AJ5" s="14">
        <f>(AH4*Population!$B$12*Population!M$36)+(AJ4*Population!$B$11*Population!M$38)</f>
        <v>48.745656827831752</v>
      </c>
      <c r="AK5" s="13">
        <f>(AI4*Population!$B$12*Population!M$36)+(AK4*Population!$B$11*Population!M$38)</f>
        <v>48.745656827831752</v>
      </c>
      <c r="AL5" s="14">
        <f>(AJ4*Population!$B$12*Population!M$38)+(AL4*Population!$B$11*Population!M$40)</f>
        <v>48.258060380536286</v>
      </c>
      <c r="AM5" s="13">
        <f>(AK4*Population!$B$12*Population!M$38)+(AM4*Population!$B$11*Population!M$40)</f>
        <v>48.258060380536286</v>
      </c>
      <c r="AN5" s="15">
        <f>(AL4+AM4)*Population!$B$12*Population!$M$40+AN4*Population!$B$11*Population!$M$42</f>
        <v>63.756017081500225</v>
      </c>
      <c r="AO5" s="5">
        <f>AN4*Population!M$42*Population!$B$12+AO4*Population!$B$11*Population!M$43</f>
        <v>28.852928935981591</v>
      </c>
      <c r="AP5" s="5">
        <f>AO4*Population!M$43*Population!$B$12+AP4*Population!$B$11*Population!M$44</f>
        <v>18.432104150610641</v>
      </c>
      <c r="AQ5" s="5">
        <f>(AP4*Population!$B$12+AQ4)*Population!M$45</f>
        <v>25.525781562833682</v>
      </c>
    </row>
    <row r="6" spans="1:43">
      <c r="A6">
        <f>A5+Population!$B$2</f>
        <v>3</v>
      </c>
      <c r="B6" s="4">
        <f t="shared" si="5"/>
        <v>854</v>
      </c>
      <c r="C6" s="59">
        <f t="shared" si="2"/>
        <v>465</v>
      </c>
      <c r="D6" s="12">
        <f>AC5*Population!$P$31*Population!$C$2+AE5*Population!$P$33*Population!$C$2+AG5*Population!$P$35*Population!$C$2+AI5*Population!$P$37*Population!$C$2+AK5*Population!$P$39*Population!$C$2+AM4*Population!$P$41*Population!$C$2</f>
        <v>15.906547999678661</v>
      </c>
      <c r="E6" s="12">
        <f>IF(B5&gt;Population!$B$6*Population!$B$15,Population!$B$8,IF(Population!$J$6=1,D6,Population!$B$8*Population!$B$6*0.9/B5))</f>
        <v>11.880918319076509</v>
      </c>
      <c r="F6" s="12">
        <f>IF(B5&gt;Population!$B$6*0.75,Population!$B$8,E6)</f>
        <v>11.880918319076509</v>
      </c>
      <c r="G6" s="15">
        <f>IF(Population!$J$6=1,IF(E6&gt;H5,H5,E6),IF(E6&gt;W5,W5,E6))</f>
        <v>11.880918319076509</v>
      </c>
      <c r="H6" s="15">
        <f t="shared" si="6"/>
        <v>238</v>
      </c>
      <c r="I6" s="15">
        <f t="shared" si="7"/>
        <v>229</v>
      </c>
      <c r="J6" s="12">
        <f t="shared" si="3"/>
        <v>0.96218487394957986</v>
      </c>
      <c r="K6" s="12">
        <f>Z6*Population!$O$28+AA6*Population!$O$29+AB6*Population!$O$30+AC6*Population!$O$31+AD6*Population!$O$32+AE6*Population!$O$33+AF6*Population!$O$34+AG6*Population!$O$35+AH6*Population!$O$36+AI6*Population!$O$37+AJ6*Population!$O$38+AK6*Population!$O$39+AL6*Population!$O$40+AM6*Population!$O$41+AN6*Population!$O$42+AO6*Population!$O$43+AP6*Population!$O$44+AQ6*Population!$O$45</f>
        <v>4.0033784437750448</v>
      </c>
      <c r="L6" s="12">
        <f t="shared" si="8"/>
        <v>4.9919824870069365E-2</v>
      </c>
      <c r="M6" s="12">
        <f t="shared" si="9"/>
        <v>6.751046483662174</v>
      </c>
      <c r="N6" s="12">
        <f t="shared" si="0"/>
        <v>0.26814988290398128</v>
      </c>
      <c r="O6" s="12">
        <f t="shared" si="4"/>
        <v>244.93337913553177</v>
      </c>
      <c r="P6" s="12">
        <f t="shared" si="10"/>
        <v>190.03331043223412</v>
      </c>
      <c r="Q6" s="12">
        <f t="shared" si="11"/>
        <v>25.525781562833682</v>
      </c>
      <c r="R6" s="12">
        <f t="shared" si="12"/>
        <v>3.130720103661376E-2</v>
      </c>
      <c r="S6" s="12">
        <f t="shared" si="1"/>
        <v>0.79845928753039541</v>
      </c>
      <c r="T6" s="12">
        <f>Population!$B$13*MIN(X5:Y5)</f>
        <v>14.781274887175009</v>
      </c>
      <c r="U6" s="12">
        <f>W5*Population!$B$14</f>
        <v>1.0893395689540133</v>
      </c>
      <c r="V6" s="12">
        <f>AM5*S5*Population!$B$12</f>
        <v>5.2152197116557693</v>
      </c>
      <c r="W6" s="12">
        <f t="shared" si="13"/>
        <v>190.03331043223412</v>
      </c>
      <c r="X6" s="14">
        <f t="shared" si="14"/>
        <v>48.690852551785525</v>
      </c>
      <c r="Y6" s="13">
        <f t="shared" si="15"/>
        <v>48.690852551785525</v>
      </c>
      <c r="Z6" s="18">
        <f>(G6+Population!$B$11*Z5)*Population!M$28</f>
        <v>78.659861380149579</v>
      </c>
      <c r="AA6" s="18">
        <f>Z5*Population!$B$12*Population!$M$28+AA5*Population!$B$11*Population!$M$29</f>
        <v>75.738262516886323</v>
      </c>
      <c r="AB6" s="14">
        <f>(AA5*Population!$B$12*0.5*Population!$M$29)+(AB5*Population!$B$11*Population!M$30)</f>
        <v>37.432431003784771</v>
      </c>
      <c r="AC6" s="13">
        <f>(AA5*Population!$B$12*0.5*Population!$M$29)+(AC5*Population!$B$11*Population!M$30)</f>
        <v>37.432431003784771</v>
      </c>
      <c r="AD6" s="14">
        <f>(AB5*Population!$B$12*Population!M$30)+(AD5*Population!$B$11*Population!M$32)</f>
        <v>44.251864430493058</v>
      </c>
      <c r="AE6" s="13">
        <f>(AC5*Population!$B$12*Population!M$30)+(AE5*Population!$B$11*Population!M$32)</f>
        <v>44.251864430493058</v>
      </c>
      <c r="AF6" s="14">
        <f>(AD5*Population!$B$12*Population!M$32)+(AF5*Population!$B$11*Population!M$34)</f>
        <v>48.435449456608126</v>
      </c>
      <c r="AG6" s="13">
        <f>(AE5*Population!$B$12*Population!M$32)+(AG5*Population!$B$11*Population!M$34)</f>
        <v>48.435449456608126</v>
      </c>
      <c r="AH6" s="14">
        <f>(AF5*Population!$B$12*Population!M$34)+(AH5*Population!$B$11*Population!M$36)</f>
        <v>49.084662269804468</v>
      </c>
      <c r="AI6" s="13">
        <f>(AG5*Population!$B$12*Population!M$34)+(AI5*Population!$B$11*Population!M$36)</f>
        <v>49.084662269804468</v>
      </c>
      <c r="AJ6" s="14">
        <f>(AH5*Population!$B$12*Population!M$36)+(AJ5*Population!$B$11*Population!M$38)</f>
        <v>48.717259027920257</v>
      </c>
      <c r="AK6" s="13">
        <f>(AI5*Population!$B$12*Population!M$36)+(AK5*Population!$B$11*Population!M$38)</f>
        <v>48.717259027920257</v>
      </c>
      <c r="AL6" s="14">
        <f>(AJ5*Population!$B$12*Population!M$38)+(AL5*Population!$B$11*Population!M$40)</f>
        <v>48.234927799193748</v>
      </c>
      <c r="AM6" s="13">
        <f>(AK5*Population!$B$12*Population!M$38)+(AM5*Population!$B$11*Population!M$40)</f>
        <v>48.234927799193748</v>
      </c>
      <c r="AN6" s="15">
        <f>(AL5+AM5)*Population!$B$12*Population!$M$40+AN5*Population!$B$11*Population!$M$42</f>
        <v>68.013360793595353</v>
      </c>
      <c r="AO6" s="5">
        <f>AN5*Population!M$42*Population!$B$12+AO5*Population!$B$11*Population!M$43</f>
        <v>33.593751023547675</v>
      </c>
      <c r="AP6" s="5">
        <f>AO5*Population!M$43*Population!$B$12+AP5*Population!$B$11*Population!M$44</f>
        <v>19.092747242103783</v>
      </c>
      <c r="AQ6" s="5">
        <f>(AP5*Population!$B$12+AQ5)*Population!M$45</f>
        <v>26.736349685268152</v>
      </c>
    </row>
    <row r="7" spans="1:43">
      <c r="A7">
        <f>A6+Population!$B$2</f>
        <v>4</v>
      </c>
      <c r="B7" s="4">
        <f t="shared" si="5"/>
        <v>862</v>
      </c>
      <c r="C7" s="59">
        <f t="shared" si="2"/>
        <v>461</v>
      </c>
      <c r="D7" s="12">
        <f>AC6*Population!$P$31*Population!$C$2+AE6*Population!$P$33*Population!$C$2+AG6*Population!$P$35*Population!$C$2+AI6*Population!$P$37*Population!$C$2+AK6*Population!$P$39*Population!$C$2+AM5*Population!$P$41*Population!$C$2</f>
        <v>15.737407336698354</v>
      </c>
      <c r="E7" s="12">
        <f>IF(B6&gt;Population!$B$6*Population!$B$15,Population!$B$8,IF(Population!$J$6=1,D7,Population!$B$8*Population!$B$6*0.9/B6))</f>
        <v>11.880918319076509</v>
      </c>
      <c r="F7" s="12">
        <f>IF(B6&gt;Population!$B$6*0.75,Population!$B$8,E7)</f>
        <v>11.880918319076509</v>
      </c>
      <c r="G7" s="15">
        <f>IF(Population!$J$6=1,IF(E7&gt;H6,H6,E7),IF(E7&gt;W6,W6,E7))</f>
        <v>11.880918319076509</v>
      </c>
      <c r="H7" s="15">
        <f t="shared" si="6"/>
        <v>236</v>
      </c>
      <c r="I7" s="15">
        <f t="shared" si="7"/>
        <v>230</v>
      </c>
      <c r="J7" s="12">
        <f t="shared" si="3"/>
        <v>0.97457627118644063</v>
      </c>
      <c r="K7" s="12">
        <f>Z7*Population!$O$28+AA7*Population!$O$29+AB7*Population!$O$30+AC7*Population!$O$31+AD7*Population!$O$32+AE7*Population!$O$33+AF7*Population!$O$34+AG7*Population!$O$35+AH7*Population!$O$36+AI7*Population!$O$37+AJ7*Population!$O$38+AK7*Population!$O$39+AL7*Population!$O$40+AM7*Population!$O$41+AN7*Population!$O$42+AO7*Population!$O$43+AP7*Population!$O$44+AQ7*Population!$O$45</f>
        <v>4.1818143357697366</v>
      </c>
      <c r="L7" s="12">
        <f t="shared" si="8"/>
        <v>5.0342874233375037E-2</v>
      </c>
      <c r="M7" s="12">
        <f t="shared" si="9"/>
        <v>6.6612537196456625</v>
      </c>
      <c r="N7" s="12">
        <f t="shared" si="0"/>
        <v>0.26682134570765659</v>
      </c>
      <c r="O7" s="12">
        <f t="shared" si="4"/>
        <v>240.87224575186133</v>
      </c>
      <c r="P7" s="12">
        <f t="shared" si="10"/>
        <v>195.56387712406934</v>
      </c>
      <c r="Q7" s="12">
        <f t="shared" si="11"/>
        <v>26.736349685268152</v>
      </c>
      <c r="R7" s="12">
        <f t="shared" si="12"/>
        <v>3.2454024982699954E-2</v>
      </c>
      <c r="S7" s="12">
        <f t="shared" si="1"/>
        <v>0.82866049628842942</v>
      </c>
      <c r="T7" s="12">
        <f>Population!$B$13*MIN(X6:Y6)</f>
        <v>12.172713137946381</v>
      </c>
      <c r="U7" s="12">
        <f>W6*Population!$B$14</f>
        <v>1.1401998625934047</v>
      </c>
      <c r="V7" s="12">
        <f>AM6*S6*Population!$B$12</f>
        <v>5.5019465835177579</v>
      </c>
      <c r="W7" s="12">
        <f t="shared" si="13"/>
        <v>195.56387712406934</v>
      </c>
      <c r="X7" s="14">
        <f t="shared" si="14"/>
        <v>41.209647185527984</v>
      </c>
      <c r="Y7" s="13">
        <f t="shared" si="15"/>
        <v>41.209647185527984</v>
      </c>
      <c r="Z7" s="18">
        <f>(G7+Population!$B$11*Z6)*Population!M$28</f>
        <v>79.271459360321174</v>
      </c>
      <c r="AA7" s="18">
        <f>Z6*Population!$B$12*Population!$M$28+AA6*Population!$B$11*Population!$M$29</f>
        <v>76.13646484619278</v>
      </c>
      <c r="AB7" s="14">
        <f>(AA6*Population!$B$12*0.5*Population!$M$29)+(AB6*Population!$B$11*Population!M$30)</f>
        <v>37.463022583734144</v>
      </c>
      <c r="AC7" s="13">
        <f>(AA6*Population!$B$12*0.5*Population!$M$29)+(AC6*Population!$B$11*Population!M$30)</f>
        <v>37.463022583734144</v>
      </c>
      <c r="AD7" s="14">
        <f>(AB6*Population!$B$12*Population!M$30)+(AD6*Population!$B$11*Population!M$32)</f>
        <v>43.236416045597572</v>
      </c>
      <c r="AE7" s="13">
        <f>(AC6*Population!$B$12*Population!M$30)+(AE6*Population!$B$11*Population!M$32)</f>
        <v>43.236416045597572</v>
      </c>
      <c r="AF7" s="14">
        <f>(AD6*Population!$B$12*Population!M$32)+(AF6*Population!$B$11*Population!M$34)</f>
        <v>47.752058966514198</v>
      </c>
      <c r="AG7" s="13">
        <f>(AE6*Population!$B$12*Population!M$32)+(AG6*Population!$B$11*Population!M$34)</f>
        <v>47.752058966514198</v>
      </c>
      <c r="AH7" s="14">
        <f>(AF6*Population!$B$12*Population!M$34)+(AH6*Population!$B$11*Population!M$36)</f>
        <v>48.897853100447151</v>
      </c>
      <c r="AI7" s="13">
        <f>(AG6*Population!$B$12*Population!M$34)+(AI6*Population!$B$11*Population!M$36)</f>
        <v>48.897853100447151</v>
      </c>
      <c r="AJ7" s="14">
        <f>(AH6*Population!$B$12*Population!M$36)+(AJ6*Population!$B$11*Population!M$38)</f>
        <v>48.676107294538056</v>
      </c>
      <c r="AK7" s="13">
        <f>(AI6*Population!$B$12*Population!M$36)+(AK6*Population!$B$11*Population!M$38)</f>
        <v>48.676107294538056</v>
      </c>
      <c r="AL7" s="14">
        <f>(AJ6*Population!$B$12*Population!M$38)+(AL6*Population!$B$11*Population!M$40)</f>
        <v>48.211088902500343</v>
      </c>
      <c r="AM7" s="13">
        <f>(AK6*Population!$B$12*Population!M$38)+(AM6*Population!$B$11*Population!M$40)</f>
        <v>48.211088902500343</v>
      </c>
      <c r="AN7" s="15">
        <f>(AL6+AM6)*Population!$B$12*Population!$M$40+AN6*Population!$B$11*Population!$M$42</f>
        <v>71.629459577527044</v>
      </c>
      <c r="AO7" s="5">
        <f>AN6*Population!M$42*Population!$B$12+AO6*Population!$B$11*Population!M$43</f>
        <v>38.231634557086217</v>
      </c>
      <c r="AP7" s="5">
        <f>AO6*Population!M$43*Population!$B$12+AP6*Population!$B$11*Population!M$44</f>
        <v>20.302755176746167</v>
      </c>
      <c r="AQ7" s="5">
        <f>(AP6*Population!$B$12+AQ6)*Population!M$45</f>
        <v>27.97536953508736</v>
      </c>
    </row>
    <row r="8" spans="1:43">
      <c r="A8">
        <f>A7+Population!$B$2</f>
        <v>5</v>
      </c>
      <c r="B8" s="4">
        <f t="shared" si="5"/>
        <v>869</v>
      </c>
      <c r="C8" s="59">
        <f t="shared" si="2"/>
        <v>457</v>
      </c>
      <c r="D8" s="12">
        <f>AC7*Population!$P$31*Population!$C$2+AE7*Population!$P$33*Population!$C$2+AG7*Population!$P$35*Population!$C$2+AI7*Population!$P$37*Population!$C$2+AK7*Population!$P$39*Population!$C$2+AM6*Population!$P$41*Population!$C$2</f>
        <v>15.569973162628221</v>
      </c>
      <c r="E8" s="12">
        <f>IF(B7&gt;Population!$B$6*Population!$B$15,Population!$B$8,IF(Population!$J$6=1,D8,Population!$B$8*Population!$B$6*0.9/B7))</f>
        <v>11.880918319076509</v>
      </c>
      <c r="F8" s="12">
        <f>IF(B7&gt;Population!$B$6*0.75,Population!$B$8,E8)</f>
        <v>11.880918319076509</v>
      </c>
      <c r="G8" s="15">
        <f>IF(Population!$J$6=1,IF(E8&gt;H7,H7,E8),IF(E8&gt;W7,W7,E8))</f>
        <v>11.880918319076509</v>
      </c>
      <c r="H8" s="15">
        <f t="shared" si="6"/>
        <v>234</v>
      </c>
      <c r="I8" s="15">
        <f t="shared" si="7"/>
        <v>231</v>
      </c>
      <c r="J8" s="12">
        <f t="shared" si="3"/>
        <v>0.98717948717948723</v>
      </c>
      <c r="K8" s="12">
        <f>Z8*Population!$O$28+AA8*Population!$O$29+AB8*Population!$O$30+AC8*Population!$O$31+AD8*Population!$O$32+AE8*Population!$O$33+AF8*Population!$O$34+AG8*Population!$O$35+AH8*Population!$O$36+AI8*Population!$O$37+AJ8*Population!$O$38+AK8*Population!$O$39+AL8*Population!$O$40+AM8*Population!$O$41+AN8*Population!$O$42+AO8*Population!$O$43+AP8*Population!$O$44+AQ8*Population!$O$45</f>
        <v>4.3817443329064103</v>
      </c>
      <c r="L8" s="12">
        <f t="shared" si="8"/>
        <v>5.0773155209728672E-2</v>
      </c>
      <c r="M8" s="12">
        <f t="shared" si="9"/>
        <v>6.5730628771361213</v>
      </c>
      <c r="N8" s="12">
        <f t="shared" si="0"/>
        <v>0.26582278481012656</v>
      </c>
      <c r="O8" s="12">
        <f t="shared" si="4"/>
        <v>240.02865292931517</v>
      </c>
      <c r="P8" s="12">
        <f t="shared" si="10"/>
        <v>198.98567353534241</v>
      </c>
      <c r="Q8" s="12">
        <f t="shared" si="11"/>
        <v>27.97536953508736</v>
      </c>
      <c r="R8" s="12">
        <f t="shared" si="12"/>
        <v>3.3735235418122664E-2</v>
      </c>
      <c r="S8" s="12">
        <f t="shared" si="1"/>
        <v>0.85036612621941199</v>
      </c>
      <c r="T8" s="12">
        <f>Population!$B$13*MIN(X7:Y7)</f>
        <v>10.302411796381996</v>
      </c>
      <c r="U8" s="12">
        <f>W7*Population!$B$14</f>
        <v>1.1733832627444161</v>
      </c>
      <c r="V8" s="12">
        <f>AM7*S7*Population!$B$12</f>
        <v>5.7072321223645037</v>
      </c>
      <c r="W8" s="12">
        <f t="shared" si="13"/>
        <v>198.98567353534241</v>
      </c>
      <c r="X8" s="14">
        <f t="shared" si="14"/>
        <v>35.847740466382902</v>
      </c>
      <c r="Y8" s="13">
        <f t="shared" si="15"/>
        <v>35.847740466382902</v>
      </c>
      <c r="Z8" s="18">
        <f>(G8+Population!$B$11*Z7)*Population!M$28</f>
        <v>79.795473364371162</v>
      </c>
      <c r="AA8" s="18">
        <f>Z7*Population!$B$12*Population!$M$28+AA7*Population!$B$11*Population!$M$29</f>
        <v>76.565039999633598</v>
      </c>
      <c r="AB8" s="14">
        <f>(AA7*Population!$B$12*0.5*Population!$M$29)+(AB7*Population!$B$11*Population!M$30)</f>
        <v>37.517655572867469</v>
      </c>
      <c r="AC8" s="13">
        <f>(AA7*Population!$B$12*0.5*Population!$M$29)+(AC7*Population!$B$11*Population!M$30)</f>
        <v>37.517655572867469</v>
      </c>
      <c r="AD8" s="14">
        <f>(AB7*Population!$B$12*Population!M$30)+(AD7*Population!$B$11*Population!M$32)</f>
        <v>42.371227252835517</v>
      </c>
      <c r="AE8" s="13">
        <f>(AC7*Population!$B$12*Population!M$30)+(AE7*Population!$B$11*Population!M$32)</f>
        <v>42.371227252835517</v>
      </c>
      <c r="AF8" s="14">
        <f>(AD7*Population!$B$12*Population!M$32)+(AF7*Population!$B$11*Population!M$34)</f>
        <v>47.022494545842434</v>
      </c>
      <c r="AG8" s="13">
        <f>(AE7*Population!$B$12*Population!M$32)+(AG7*Population!$B$11*Population!M$34)</f>
        <v>47.022494545842434</v>
      </c>
      <c r="AH8" s="14">
        <f>(AF7*Population!$B$12*Population!M$34)+(AH7*Population!$B$11*Population!M$36)</f>
        <v>48.640598621180608</v>
      </c>
      <c r="AI8" s="13">
        <f>(AG7*Population!$B$12*Population!M$34)+(AI7*Population!$B$11*Population!M$36)</f>
        <v>48.640598621180608</v>
      </c>
      <c r="AJ8" s="14">
        <f>(AH7*Population!$B$12*Population!M$36)+(AJ7*Population!$B$11*Population!M$38)</f>
        <v>48.614266319098512</v>
      </c>
      <c r="AK8" s="13">
        <f>(AI7*Population!$B$12*Population!M$36)+(AK7*Population!$B$11*Population!M$38)</f>
        <v>48.614266319098512</v>
      </c>
      <c r="AL8" s="14">
        <f>(AJ7*Population!$B$12*Population!M$38)+(AL7*Population!$B$11*Population!M$40)</f>
        <v>48.184827262768259</v>
      </c>
      <c r="AM8" s="13">
        <f>(AK7*Population!$B$12*Population!M$38)+(AM7*Population!$B$11*Population!M$40)</f>
        <v>48.184827262768259</v>
      </c>
      <c r="AN8" s="15">
        <f>(AL7+AM7)*Population!$B$12*Population!$M$40+AN7*Population!$B$11*Population!$M$42</f>
        <v>74.699703313879269</v>
      </c>
      <c r="AO8" s="5">
        <f>AN7*Population!M$42*Population!$B$12+AO7*Population!$B$11*Population!M$43</f>
        <v>42.690982462124857</v>
      </c>
      <c r="AP8" s="5">
        <f>AO7*Population!M$43*Population!$B$12+AP7*Population!$B$11*Population!M$44</f>
        <v>21.945259302549864</v>
      </c>
      <c r="AQ8" s="5">
        <f>(AP7*Population!$B$12+AQ7)*Population!M$45</f>
        <v>29.315919578348595</v>
      </c>
    </row>
    <row r="9" spans="1:43">
      <c r="A9">
        <f>A8+Population!$B$2</f>
        <v>6</v>
      </c>
      <c r="B9" s="4">
        <f t="shared" si="5"/>
        <v>877</v>
      </c>
      <c r="C9" s="59">
        <f t="shared" si="2"/>
        <v>454</v>
      </c>
      <c r="D9" s="12">
        <f>AC8*Population!$P$31*Population!$C$2+AE8*Population!$P$33*Population!$C$2+AG8*Population!$P$35*Population!$C$2+AI8*Population!$P$37*Population!$C$2+AK8*Population!$P$39*Population!$C$2+AM7*Population!$P$41*Population!$C$2</f>
        <v>15.40516736524833</v>
      </c>
      <c r="E9" s="12">
        <f>IF(B8&gt;Population!$B$6*Population!$B$15,Population!$B$8,IF(Population!$J$6=1,D9,Population!$B$8*Population!$B$6*0.9/B8))</f>
        <v>11.880918319076509</v>
      </c>
      <c r="F9" s="12">
        <f>IF(B8&gt;Population!$B$6*0.75,Population!$B$8,E9)</f>
        <v>11.880918319076509</v>
      </c>
      <c r="G9" s="15">
        <f>IF(Population!$J$6=1,IF(E9&gt;H8,H8,E9),IF(E9&gt;W8,W8,E9))</f>
        <v>11.880918319076509</v>
      </c>
      <c r="H9" s="15">
        <f t="shared" si="6"/>
        <v>232</v>
      </c>
      <c r="I9" s="15">
        <f t="shared" si="7"/>
        <v>232</v>
      </c>
      <c r="J9" s="12">
        <f t="shared" si="3"/>
        <v>1</v>
      </c>
      <c r="K9" s="12">
        <f>Z9*Population!$O$28+AA9*Population!$O$29+AB9*Population!$O$30+AC9*Population!$O$31+AD9*Population!$O$32+AE9*Population!$O$33+AF9*Population!$O$34+AG9*Population!$O$35+AH9*Population!$O$36+AI9*Population!$O$37+AJ9*Population!$O$38+AK9*Population!$O$39+AL9*Population!$O$40+AM9*Population!$O$41+AN9*Population!$O$42+AO9*Population!$O$43+AP9*Population!$O$44+AQ9*Population!$O$45</f>
        <v>4.6007918680674758</v>
      </c>
      <c r="L9" s="12">
        <f t="shared" si="8"/>
        <v>5.1210854823605642E-2</v>
      </c>
      <c r="M9" s="12">
        <f t="shared" si="9"/>
        <v>6.4871194903749672</v>
      </c>
      <c r="N9" s="12">
        <f t="shared" si="0"/>
        <v>0.26453819840364878</v>
      </c>
      <c r="O9" s="12">
        <f t="shared" si="4"/>
        <v>243.1996807505455</v>
      </c>
      <c r="P9" s="12">
        <f t="shared" si="10"/>
        <v>200.90015962472725</v>
      </c>
      <c r="Q9" s="12">
        <f t="shared" si="11"/>
        <v>29.315919578348595</v>
      </c>
      <c r="R9" s="12">
        <f t="shared" si="12"/>
        <v>3.5132878327307049E-2</v>
      </c>
      <c r="S9" s="12">
        <f t="shared" si="1"/>
        <v>0.86594896389968645</v>
      </c>
      <c r="T9" s="12">
        <f>Population!$B$13*MIN(X8:Y8)</f>
        <v>8.9619351165957255</v>
      </c>
      <c r="U9" s="12">
        <f>W8*Population!$B$14</f>
        <v>1.1939140412120546</v>
      </c>
      <c r="V9" s="12">
        <f>AM8*S8*Population!$B$12</f>
        <v>5.8535349859988219</v>
      </c>
      <c r="W9" s="12">
        <f t="shared" si="13"/>
        <v>200.90015962472725</v>
      </c>
      <c r="X9" s="14">
        <f t="shared" si="14"/>
        <v>32.00757417782296</v>
      </c>
      <c r="Y9" s="13">
        <f t="shared" si="15"/>
        <v>32.00757417782296</v>
      </c>
      <c r="Z9" s="18">
        <f>(G9+Population!$B$11*Z8)*Population!M$28</f>
        <v>80.244445868112024</v>
      </c>
      <c r="AA9" s="18">
        <f>Z8*Population!$B$12*Population!$M$28+AA8*Population!$B$11*Population!$M$29</f>
        <v>77.007136227998203</v>
      </c>
      <c r="AB9" s="14">
        <f>(AA8*Population!$B$12*0.5*Population!$M$29)+(AB8*Population!$B$11*Population!M$30)</f>
        <v>37.595044845065139</v>
      </c>
      <c r="AC9" s="13">
        <f>(AA8*Population!$B$12*0.5*Population!$M$29)+(AC8*Population!$B$11*Population!M$30)</f>
        <v>37.595044845065139</v>
      </c>
      <c r="AD9" s="14">
        <f>(AB8*Population!$B$12*Population!M$30)+(AD8*Population!$B$11*Population!M$32)</f>
        <v>41.63814086952685</v>
      </c>
      <c r="AE9" s="13">
        <f>(AC8*Population!$B$12*Population!M$30)+(AE8*Population!$B$11*Population!M$32)</f>
        <v>41.63814086952685</v>
      </c>
      <c r="AF9" s="14">
        <f>(AD8*Population!$B$12*Population!M$32)+(AF8*Population!$B$11*Population!M$34)</f>
        <v>46.274873658735721</v>
      </c>
      <c r="AG9" s="13">
        <f>(AE8*Population!$B$12*Population!M$32)+(AG8*Population!$B$11*Population!M$34)</f>
        <v>46.274873658735721</v>
      </c>
      <c r="AH9" s="14">
        <f>(AF8*Population!$B$12*Population!M$34)+(AH8*Population!$B$11*Population!M$36)</f>
        <v>48.316494769611722</v>
      </c>
      <c r="AI9" s="13">
        <f>(AG8*Population!$B$12*Population!M$34)+(AI8*Population!$B$11*Population!M$36)</f>
        <v>48.316494769611722</v>
      </c>
      <c r="AJ9" s="14">
        <f>(AH8*Population!$B$12*Population!M$36)+(AJ8*Population!$B$11*Population!M$38)</f>
        <v>48.524681462631861</v>
      </c>
      <c r="AK9" s="13">
        <f>(AI8*Population!$B$12*Population!M$36)+(AK8*Population!$B$11*Population!M$38)</f>
        <v>48.524681462631861</v>
      </c>
      <c r="AL9" s="14">
        <f>(AJ8*Population!$B$12*Population!M$38)+(AL8*Population!$B$11*Population!M$40)</f>
        <v>48.153543042044042</v>
      </c>
      <c r="AM9" s="13">
        <f>(AK8*Population!$B$12*Population!M$38)+(AM8*Population!$B$11*Population!M$40)</f>
        <v>48.153543042044042</v>
      </c>
      <c r="AN9" s="15">
        <f>(AL8+AM8)*Population!$B$12*Population!$M$40+AN8*Population!$B$11*Population!$M$42</f>
        <v>77.304772511138481</v>
      </c>
      <c r="AO9" s="5">
        <f>AN8*Population!M$42*Population!$B$12+AO8*Population!$B$11*Population!M$43</f>
        <v>46.920995357214345</v>
      </c>
      <c r="AP9" s="5">
        <f>AO8*Population!M$43*Population!$B$12+AP8*Population!$B$11*Population!M$44</f>
        <v>23.91442595068353</v>
      </c>
      <c r="AQ9" s="5">
        <f>(AP8*Population!$B$12+AQ8)*Population!M$45</f>
        <v>30.811534293048283</v>
      </c>
    </row>
    <row r="10" spans="1:43">
      <c r="A10">
        <f>A9+Population!$B$2</f>
        <v>7</v>
      </c>
      <c r="B10" s="4">
        <f t="shared" si="5"/>
        <v>884</v>
      </c>
      <c r="C10" s="59">
        <f t="shared" si="2"/>
        <v>450</v>
      </c>
      <c r="D10" s="12">
        <f>AC9*Population!$P$31*Population!$C$2+AE9*Population!$P$33*Population!$C$2+AG9*Population!$P$35*Population!$C$2+AI9*Population!$P$37*Population!$C$2+AK9*Population!$P$39*Population!$C$2+AM8*Population!$P$41*Population!$C$2</f>
        <v>15.243913109390322</v>
      </c>
      <c r="E10" s="12">
        <f>IF(B9&gt;Population!$B$6*Population!$B$15,Population!$B$8,IF(Population!$J$6=1,D10,Population!$B$8*Population!$B$6*0.9/B9))</f>
        <v>11.880918319076509</v>
      </c>
      <c r="F10" s="12">
        <f>IF(B9&gt;Population!$B$6*0.75,Population!$B$8,E10)</f>
        <v>11.880918319076509</v>
      </c>
      <c r="G10" s="15">
        <f>IF(Population!$J$6=1,IF(E10&gt;H9,H9,E10),IF(E10&gt;W9,W9,E10))</f>
        <v>11.880918319076509</v>
      </c>
      <c r="H10" s="15">
        <f t="shared" si="6"/>
        <v>231</v>
      </c>
      <c r="I10" s="15">
        <f t="shared" si="7"/>
        <v>233</v>
      </c>
      <c r="J10" s="12">
        <f t="shared" si="3"/>
        <v>1.0086580086580086</v>
      </c>
      <c r="K10" s="12">
        <f>Z10*Population!$O$28+AA10*Population!$O$29+AB10*Population!$O$30+AC10*Population!$O$31+AD10*Population!$O$32+AE10*Population!$O$33+AF10*Population!$O$34+AG10*Population!$O$35+AH10*Population!$O$36+AI10*Population!$O$37+AJ10*Population!$O$38+AK10*Population!$O$39+AL10*Population!$O$40+AM10*Population!$O$41+AN10*Population!$O$42+AO10*Population!$O$43+AP10*Population!$O$44+AQ10*Population!$O$45</f>
        <v>4.8363893807567528</v>
      </c>
      <c r="L10" s="12">
        <f t="shared" si="8"/>
        <v>5.1432546835829041E-2</v>
      </c>
      <c r="M10" s="12">
        <f t="shared" si="9"/>
        <v>6.4040338688665051</v>
      </c>
      <c r="N10" s="12">
        <f t="shared" si="0"/>
        <v>0.26357466063348417</v>
      </c>
      <c r="O10" s="12">
        <f t="shared" si="4"/>
        <v>247.52055577866133</v>
      </c>
      <c r="P10" s="12">
        <f t="shared" si="10"/>
        <v>201.73972211066933</v>
      </c>
      <c r="Q10" s="12">
        <f t="shared" si="11"/>
        <v>30.811534293048283</v>
      </c>
      <c r="R10" s="12">
        <f t="shared" si="12"/>
        <v>3.6763222077504751E-2</v>
      </c>
      <c r="S10" s="12">
        <f t="shared" si="1"/>
        <v>0.87333213034921786</v>
      </c>
      <c r="T10" s="12">
        <f>Population!$B$13*MIN(X9:Y9)</f>
        <v>8.00189354445574</v>
      </c>
      <c r="U10" s="12">
        <f>W9*Population!$B$14</f>
        <v>1.2054009577483635</v>
      </c>
      <c r="V10" s="12">
        <f>AM9*S9*Population!$B$12</f>
        <v>5.9569301007652848</v>
      </c>
      <c r="W10" s="12">
        <f t="shared" si="13"/>
        <v>201.73972211066933</v>
      </c>
      <c r="X10" s="14">
        <f t="shared" si="14"/>
        <v>29.260825572047167</v>
      </c>
      <c r="Y10" s="13">
        <f t="shared" si="15"/>
        <v>29.260825572047167</v>
      </c>
      <c r="Z10" s="18">
        <f>(G10+Population!$B$11*Z9)*Population!M$28</f>
        <v>80.629123200315746</v>
      </c>
      <c r="AA10" s="18">
        <f>Z9*Population!$B$12*Population!$M$28+AA9*Population!$B$11*Population!$M$29</f>
        <v>77.450103479595867</v>
      </c>
      <c r="AB10" s="14">
        <f>(AA9*Population!$B$12*0.5*Population!$M$29)+(AB9*Population!$B$11*Population!M$30)</f>
        <v>37.692886487877175</v>
      </c>
      <c r="AC10" s="13">
        <f>(AA9*Population!$B$12*0.5*Population!$M$29)+(AC9*Population!$B$11*Population!M$30)</f>
        <v>37.692886487877175</v>
      </c>
      <c r="AD10" s="14">
        <f>(AB9*Population!$B$12*Population!M$30)+(AD9*Population!$B$11*Population!M$32)</f>
        <v>41.021425013570997</v>
      </c>
      <c r="AE10" s="13">
        <f>(AC9*Population!$B$12*Population!M$30)+(AE9*Population!$B$11*Population!M$32)</f>
        <v>41.021425013570997</v>
      </c>
      <c r="AF10" s="14">
        <f>(AD9*Population!$B$12*Population!M$32)+(AF9*Population!$B$11*Population!M$34)</f>
        <v>45.530659304163414</v>
      </c>
      <c r="AG10" s="13">
        <f>(AE9*Population!$B$12*Population!M$32)+(AG9*Population!$B$11*Population!M$34)</f>
        <v>45.530659304163414</v>
      </c>
      <c r="AH10" s="14">
        <f>(AF9*Population!$B$12*Population!M$34)+(AH9*Population!$B$11*Population!M$36)</f>
        <v>47.932626928462199</v>
      </c>
      <c r="AI10" s="13">
        <f>(AG9*Population!$B$12*Population!M$34)+(AI9*Population!$B$11*Population!M$36)</f>
        <v>47.932626928462199</v>
      </c>
      <c r="AJ10" s="14">
        <f>(AH9*Population!$B$12*Population!M$36)+(AJ9*Population!$B$11*Population!M$38)</f>
        <v>48.40183022071367</v>
      </c>
      <c r="AK10" s="13">
        <f>(AI9*Population!$B$12*Population!M$36)+(AK9*Population!$B$11*Population!M$38)</f>
        <v>48.40183022071367</v>
      </c>
      <c r="AL10" s="14">
        <f>(AJ9*Population!$B$12*Population!M$38)+(AL9*Population!$B$11*Population!M$40)</f>
        <v>48.114006215806214</v>
      </c>
      <c r="AM10" s="13">
        <f>(AK9*Population!$B$12*Population!M$38)+(AM9*Population!$B$11*Population!M$40)</f>
        <v>48.114006215806214</v>
      </c>
      <c r="AN10" s="15">
        <f>(AL9+AM9)*Population!$B$12*Population!$M$40+AN9*Population!$B$11*Population!$M$42</f>
        <v>79.512579134486145</v>
      </c>
      <c r="AO10" s="5">
        <f>AN9*Population!M$42*Population!$B$12+AO9*Population!$B$11*Population!M$43</f>
        <v>50.889888822240003</v>
      </c>
      <c r="AP10" s="5">
        <f>AO9*Population!M$43*Population!$B$12+AP9*Population!$B$11*Population!M$44</f>
        <v>26.116919007257792</v>
      </c>
      <c r="AQ10" s="5">
        <f>(AP9*Population!$B$12+AQ9)*Population!M$45</f>
        <v>32.498688316514198</v>
      </c>
    </row>
    <row r="11" spans="1:43">
      <c r="A11">
        <f>A10+Population!$B$2</f>
        <v>8</v>
      </c>
      <c r="B11" s="4">
        <f t="shared" si="5"/>
        <v>891</v>
      </c>
      <c r="C11" s="59">
        <f t="shared" si="2"/>
        <v>446</v>
      </c>
      <c r="D11" s="12">
        <f>AC10*Population!$P$31*Population!$C$2+AE10*Population!$P$33*Population!$C$2+AG10*Population!$P$35*Population!$C$2+AI10*Population!$P$37*Population!$C$2+AK10*Population!$P$39*Population!$C$2+AM9*Population!$P$41*Population!$C$2</f>
        <v>15.0870750521398</v>
      </c>
      <c r="E11" s="12">
        <f>IF(B10&gt;Population!$B$6*Population!$B$15,Population!$B$8,IF(Population!$J$6=1,D11,Population!$B$8*Population!$B$6*0.9/B10))</f>
        <v>11.880918319076509</v>
      </c>
      <c r="F11" s="12">
        <f>IF(B10&gt;Population!$B$6*0.75,Population!$B$8,E11)</f>
        <v>11.880918319076509</v>
      </c>
      <c r="G11" s="15">
        <f>IF(Population!$J$6=1,IF(E11&gt;H10,H10,E11),IF(E11&gt;W10,W10,E11))</f>
        <v>11.880918319076509</v>
      </c>
      <c r="H11" s="15">
        <f t="shared" si="6"/>
        <v>229</v>
      </c>
      <c r="I11" s="15">
        <f t="shared" si="7"/>
        <v>234</v>
      </c>
      <c r="J11" s="12">
        <f t="shared" si="3"/>
        <v>1.0218340611353711</v>
      </c>
      <c r="K11" s="12">
        <f>Z11*Population!$O$28+AA11*Population!$O$29+AB11*Population!$O$30+AC11*Population!$O$31+AD11*Population!$O$32+AE11*Population!$O$33+AF11*Population!$O$34+AG11*Population!$O$35+AH11*Population!$O$36+AI11*Population!$O$37+AJ11*Population!$O$38+AK11*Population!$O$39+AL11*Population!$O$40+AM11*Population!$O$41+AN11*Population!$O$42+AO11*Population!$O$43+AP11*Population!$O$44+AQ11*Population!$O$45</f>
        <v>5.0859065295340518</v>
      </c>
      <c r="L11" s="12">
        <f t="shared" si="8"/>
        <v>5.1881739384613573E-2</v>
      </c>
      <c r="M11" s="12">
        <f t="shared" si="9"/>
        <v>6.3243506606288369</v>
      </c>
      <c r="N11" s="12">
        <f t="shared" si="0"/>
        <v>0.26262626262626265</v>
      </c>
      <c r="O11" s="12">
        <f t="shared" si="4"/>
        <v>253.31659324313307</v>
      </c>
      <c r="P11" s="12">
        <f t="shared" si="10"/>
        <v>201.84170337843346</v>
      </c>
      <c r="Q11" s="12">
        <f t="shared" si="11"/>
        <v>32.498688316514198</v>
      </c>
      <c r="R11" s="12">
        <f t="shared" si="12"/>
        <v>3.8607579659829791E-2</v>
      </c>
      <c r="S11" s="12">
        <f t="shared" si="1"/>
        <v>0.88140481824643435</v>
      </c>
      <c r="T11" s="12">
        <f>Population!$B$13*MIN(X10:Y10)</f>
        <v>7.3152063930117919</v>
      </c>
      <c r="U11" s="12">
        <f>W10*Population!$B$14</f>
        <v>1.210438332664016</v>
      </c>
      <c r="V11" s="12">
        <f>AM10*S10*Population!$B$12</f>
        <v>6.0027867925836498</v>
      </c>
      <c r="W11" s="12">
        <f t="shared" si="13"/>
        <v>201.84170337843346</v>
      </c>
      <c r="X11" s="14">
        <f t="shared" si="14"/>
        <v>27.274324948317826</v>
      </c>
      <c r="Y11" s="13">
        <f t="shared" si="15"/>
        <v>27.274324948317826</v>
      </c>
      <c r="Z11" s="18">
        <f>(G11+Population!$B$11*Z10)*Population!M$28</f>
        <v>80.958712760207334</v>
      </c>
      <c r="AA11" s="18">
        <f>Z10*Population!$B$12*Population!$M$28+AA10*Population!$B$11*Population!$M$29</f>
        <v>77.884635859167744</v>
      </c>
      <c r="AB11" s="14">
        <f>(AA10*Population!$B$12*0.5*Population!$M$29)+(AB10*Population!$B$11*Population!M$30)</f>
        <v>37.808304229354547</v>
      </c>
      <c r="AC11" s="13">
        <f>(AA10*Population!$B$12*0.5*Population!$M$29)+(AC10*Population!$B$11*Population!M$30)</f>
        <v>37.808304229354547</v>
      </c>
      <c r="AD11" s="14">
        <f>(AB10*Population!$B$12*Population!M$30)+(AD10*Population!$B$11*Population!M$32)</f>
        <v>40.507279248607517</v>
      </c>
      <c r="AE11" s="13">
        <f>(AC10*Population!$B$12*Population!M$30)+(AE10*Population!$B$11*Population!M$32)</f>
        <v>40.507279248607517</v>
      </c>
      <c r="AF11" s="14">
        <f>(AD10*Population!$B$12*Population!M$32)+(AF10*Population!$B$11*Population!M$34)</f>
        <v>44.805967746475659</v>
      </c>
      <c r="AG11" s="13">
        <f>(AE10*Population!$B$12*Population!M$32)+(AG10*Population!$B$11*Population!M$34)</f>
        <v>44.805967746475659</v>
      </c>
      <c r="AH11" s="14">
        <f>(AF10*Population!$B$12*Population!M$34)+(AH10*Population!$B$11*Population!M$36)</f>
        <v>47.498116878122396</v>
      </c>
      <c r="AI11" s="13">
        <f>(AG10*Population!$B$12*Population!M$34)+(AI10*Population!$B$11*Population!M$36)</f>
        <v>47.498116878122396</v>
      </c>
      <c r="AJ11" s="14">
        <f>(AH10*Population!$B$12*Population!M$36)+(AJ10*Population!$B$11*Population!M$38)</f>
        <v>48.241998360699853</v>
      </c>
      <c r="AK11" s="13">
        <f>(AI10*Population!$B$12*Population!M$36)+(AK10*Population!$B$11*Population!M$38)</f>
        <v>48.241998360699853</v>
      </c>
      <c r="AL11" s="14">
        <f>(AJ10*Population!$B$12*Population!M$38)+(AL10*Population!$B$11*Population!M$40)</f>
        <v>48.062666092845873</v>
      </c>
      <c r="AM11" s="13">
        <f>(AK10*Population!$B$12*Population!M$38)+(AM10*Population!$B$11*Population!M$40)</f>
        <v>48.062666092845873</v>
      </c>
      <c r="AN11" s="15">
        <f>(AL10+AM10)*Population!$B$12*Population!$M$40+AN10*Population!$B$11*Population!$M$42</f>
        <v>81.379990323187215</v>
      </c>
      <c r="AO11" s="5">
        <f>AN10*Population!M$42*Population!$B$12+AO10*Population!$B$11*Population!M$43</f>
        <v>54.580247957919099</v>
      </c>
      <c r="AP11" s="5">
        <f>AO10*Population!M$43*Population!$B$12+AP10*Population!$B$11*Population!M$44</f>
        <v>28.472270097477939</v>
      </c>
      <c r="AQ11" s="5">
        <f>(AP10*Population!$B$12+AQ10)*Population!M$45</f>
        <v>34.399353476908345</v>
      </c>
    </row>
    <row r="12" spans="1:43">
      <c r="A12">
        <f>A11+Population!$B$2</f>
        <v>9</v>
      </c>
      <c r="B12" s="4">
        <f t="shared" si="5"/>
        <v>898</v>
      </c>
      <c r="C12" s="59">
        <f t="shared" si="2"/>
        <v>442</v>
      </c>
      <c r="D12" s="12">
        <f>AC11*Population!$P$31*Population!$C$2+AE11*Population!$P$33*Population!$C$2+AG11*Population!$P$35*Population!$C$2+AI11*Population!$P$37*Population!$C$2+AK11*Population!$P$39*Population!$C$2+AM10*Population!$P$41*Population!$C$2</f>
        <v>14.935423804313023</v>
      </c>
      <c r="E12" s="12">
        <f>IF(B11&gt;Population!$B$6*Population!$B$15,Population!$B$8,IF(Population!$J$6=1,D12,Population!$B$8*Population!$B$6*0.9/B11))</f>
        <v>11.880918319076509</v>
      </c>
      <c r="F12" s="12">
        <f>IF(B11&gt;Population!$B$6*0.75,Population!$B$8,E12)</f>
        <v>11.880918319076509</v>
      </c>
      <c r="G12" s="15">
        <f>IF(Population!$J$6=1,IF(E12&gt;H11,H11,E12),IF(E12&gt;W11,W11,E12))</f>
        <v>11.880918319076509</v>
      </c>
      <c r="H12" s="15">
        <f t="shared" si="6"/>
        <v>227</v>
      </c>
      <c r="I12" s="15">
        <f t="shared" si="7"/>
        <v>235</v>
      </c>
      <c r="J12" s="12">
        <f t="shared" si="3"/>
        <v>1.0352422907488987</v>
      </c>
      <c r="K12" s="12">
        <f>Z12*Population!$O$28+AA12*Population!$O$29+AB12*Population!$O$30+AC12*Population!$O$31+AD12*Population!$O$32+AE12*Population!$O$33+AF12*Population!$O$34+AG12*Population!$O$35+AH12*Population!$O$36+AI12*Population!$O$37+AJ12*Population!$O$38+AK12*Population!$O$39+AL12*Population!$O$40+AM12*Population!$O$41+AN12*Population!$O$42+AO12*Population!$O$43+AP12*Population!$O$44+AQ12*Population!$O$45</f>
        <v>5.3467428148681346</v>
      </c>
      <c r="L12" s="12">
        <f t="shared" si="8"/>
        <v>5.2338847220601357E-2</v>
      </c>
      <c r="M12" s="12">
        <f t="shared" si="9"/>
        <v>6.2485313508634324</v>
      </c>
      <c r="N12" s="12">
        <f t="shared" si="0"/>
        <v>0.26169265033407574</v>
      </c>
      <c r="O12" s="12">
        <f t="shared" si="4"/>
        <v>260.20514991580222</v>
      </c>
      <c r="P12" s="12">
        <f t="shared" si="10"/>
        <v>201.39742504209889</v>
      </c>
      <c r="Q12" s="12">
        <f t="shared" si="11"/>
        <v>34.399353476908345</v>
      </c>
      <c r="R12" s="12">
        <f t="shared" si="12"/>
        <v>4.0672023224139021E-2</v>
      </c>
      <c r="S12" s="12">
        <f t="shared" si="1"/>
        <v>0.88721332617664705</v>
      </c>
      <c r="T12" s="12">
        <f>Population!$B$13*MIN(X11:Y11)</f>
        <v>6.8185812370794565</v>
      </c>
      <c r="U12" s="12">
        <f>W11*Population!$B$14</f>
        <v>1.2110502202706008</v>
      </c>
      <c r="V12" s="12">
        <f>AM11*S11*Population!$B$12</f>
        <v>6.0518093531434118</v>
      </c>
      <c r="W12" s="12">
        <f t="shared" si="13"/>
        <v>201.39742504209889</v>
      </c>
      <c r="X12" s="14">
        <f t="shared" si="14"/>
        <v>25.860997783795057</v>
      </c>
      <c r="Y12" s="13">
        <f t="shared" si="15"/>
        <v>25.860997783795057</v>
      </c>
      <c r="Z12" s="18">
        <f>(G12+Population!$B$11*Z11)*Population!M$28</f>
        <v>81.241103400090424</v>
      </c>
      <c r="AA12" s="18">
        <f>Z11*Population!$B$12*Population!$M$28+AA11*Population!$B$11*Population!$M$29</f>
        <v>78.304073488489038</v>
      </c>
      <c r="AB12" s="14">
        <f>(AA11*Population!$B$12*0.5*Population!$M$29)+(AB11*Population!$B$11*Population!M$30)</f>
        <v>37.938170485799077</v>
      </c>
      <c r="AC12" s="13">
        <f>(AA11*Population!$B$12*0.5*Population!$M$29)+(AC11*Population!$B$11*Population!M$30)</f>
        <v>37.938170485799077</v>
      </c>
      <c r="AD12" s="14">
        <f>(AB11*Population!$B$12*Population!M$30)+(AD11*Population!$B$11*Population!M$32)</f>
        <v>40.0834753977608</v>
      </c>
      <c r="AE12" s="13">
        <f>(AC11*Population!$B$12*Population!M$30)+(AE11*Population!$B$11*Population!M$32)</f>
        <v>40.0834753977608</v>
      </c>
      <c r="AF12" s="14">
        <f>(AD11*Population!$B$12*Population!M$32)+(AF11*Population!$B$11*Population!M$34)</f>
        <v>44.112616791699736</v>
      </c>
      <c r="AG12" s="13">
        <f>(AE11*Population!$B$12*Population!M$32)+(AG11*Population!$B$11*Population!M$34)</f>
        <v>44.112616791699736</v>
      </c>
      <c r="AH12" s="14">
        <f>(AF11*Population!$B$12*Population!M$34)+(AH11*Population!$B$11*Population!M$36)</f>
        <v>47.023066178671542</v>
      </c>
      <c r="AI12" s="13">
        <f>(AG11*Population!$B$12*Population!M$34)+(AI11*Population!$B$11*Population!M$36)</f>
        <v>47.023066178671542</v>
      </c>
      <c r="AJ12" s="14">
        <f>(AH11*Population!$B$12*Population!M$36)+(AJ11*Population!$B$11*Population!M$38)</f>
        <v>48.043308976685758</v>
      </c>
      <c r="AK12" s="13">
        <f>(AI11*Population!$B$12*Population!M$36)+(AK11*Population!$B$11*Population!M$38)</f>
        <v>48.043308976685758</v>
      </c>
      <c r="AL12" s="14">
        <f>(AJ11*Population!$B$12*Population!M$38)+(AL11*Population!$B$11*Population!M$40)</f>
        <v>47.995955481076138</v>
      </c>
      <c r="AM12" s="13">
        <f>(AK11*Population!$B$12*Population!M$38)+(AM11*Population!$B$11*Population!M$40)</f>
        <v>47.995955481076138</v>
      </c>
      <c r="AN12" s="15">
        <f>(AL11+AM11)*Population!$B$12*Population!$M$40+AN11*Population!$B$11*Population!$M$42</f>
        <v>82.954383415422853</v>
      </c>
      <c r="AO12" s="5">
        <f>AN11*Population!M$42*Population!$B$12+AO11*Population!$B$11*Population!M$43</f>
        <v>57.985318907812747</v>
      </c>
      <c r="AP12" s="5">
        <f>AO11*Population!M$43*Population!$B$12+AP11*Population!$B$11*Population!M$44</f>
        <v>30.91252103330633</v>
      </c>
      <c r="AQ12" s="5">
        <f>(AP11*Population!$B$12+AQ11)*Population!M$45</f>
        <v>36.52347685527684</v>
      </c>
    </row>
    <row r="13" spans="1:43">
      <c r="A13">
        <f>A12+Population!$B$2</f>
        <v>10</v>
      </c>
      <c r="B13" s="4">
        <f t="shared" si="5"/>
        <v>904</v>
      </c>
      <c r="C13" s="59">
        <f t="shared" si="2"/>
        <v>438</v>
      </c>
      <c r="D13" s="12">
        <f>AC12*Population!$P$31*Population!$C$2+AE12*Population!$P$33*Population!$C$2+AG12*Population!$P$35*Population!$C$2+AI12*Population!$P$37*Population!$C$2+AK12*Population!$P$39*Population!$C$2+AM11*Population!$P$41*Population!$C$2</f>
        <v>14.789617259241631</v>
      </c>
      <c r="E13" s="12">
        <f>IF(B12&gt;Population!$B$6*Population!$B$15,Population!$B$8,IF(Population!$J$6=1,D13,Population!$B$8*Population!$B$6*0.9/B12))</f>
        <v>11.880918319076509</v>
      </c>
      <c r="F13" s="12">
        <f>IF(B12&gt;Population!$B$6*0.75,Population!$B$8,E13)</f>
        <v>11.880918319076509</v>
      </c>
      <c r="G13" s="15">
        <f>IF(Population!$J$6=1,IF(E13&gt;H12,H12,E13),IF(E13&gt;W12,W12,E13))</f>
        <v>11.880918319076509</v>
      </c>
      <c r="H13" s="15">
        <f t="shared" si="6"/>
        <v>225</v>
      </c>
      <c r="I13" s="15">
        <f t="shared" si="7"/>
        <v>236</v>
      </c>
      <c r="J13" s="12">
        <f t="shared" si="3"/>
        <v>1.048888888888889</v>
      </c>
      <c r="K13" s="12">
        <f>Z13*Population!$O$28+AA13*Population!$O$29+AB13*Population!$O$30+AC13*Population!$O$31+AD13*Population!$O$32+AE13*Population!$O$33+AF13*Population!$O$34+AG13*Population!$O$35+AH13*Population!$O$36+AI13*Population!$O$37+AJ13*Population!$O$38+AK13*Population!$O$39+AL13*Population!$O$40+AM13*Population!$O$41+AN13*Population!$O$42+AO13*Population!$O$43+AP13*Population!$O$44+AQ13*Population!$O$45</f>
        <v>5.6163924281263462</v>
      </c>
      <c r="L13" s="12">
        <f t="shared" si="8"/>
        <v>5.2804081418117814E-2</v>
      </c>
      <c r="M13" s="12">
        <f t="shared" si="9"/>
        <v>6.1769461336812368</v>
      </c>
      <c r="N13" s="12">
        <f t="shared" si="0"/>
        <v>0.26106194690265488</v>
      </c>
      <c r="O13" s="12">
        <f t="shared" si="4"/>
        <v>266.85789192595041</v>
      </c>
      <c r="P13" s="12">
        <f t="shared" si="10"/>
        <v>200.57105403702479</v>
      </c>
      <c r="Q13" s="12">
        <f t="shared" si="11"/>
        <v>36.52347685527684</v>
      </c>
      <c r="R13" s="12">
        <f t="shared" si="12"/>
        <v>4.2999209245028674E-2</v>
      </c>
      <c r="S13" s="12">
        <f t="shared" si="1"/>
        <v>0.89142690683122128</v>
      </c>
      <c r="T13" s="12">
        <f>Population!$B$13*MIN(X12:Y12)</f>
        <v>6.4652494459487642</v>
      </c>
      <c r="U13" s="12">
        <f>W12*Population!$B$14</f>
        <v>1.2083845502525934</v>
      </c>
      <c r="V13" s="12">
        <f>AM12*S12*Population!$B$12</f>
        <v>6.0832359007702621</v>
      </c>
      <c r="W13" s="12">
        <f t="shared" ref="W13:W76" si="16">W12+T13-V13-U13</f>
        <v>200.57105403702479</v>
      </c>
      <c r="X13" s="14">
        <f t="shared" si="14"/>
        <v>24.860966503863608</v>
      </c>
      <c r="Y13" s="13">
        <f t="shared" si="15"/>
        <v>24.860966503863608</v>
      </c>
      <c r="Z13" s="18">
        <f>(G13+Population!$B$11*Z12)*Population!M$28</f>
        <v>81.483054248047523</v>
      </c>
      <c r="AA13" s="18">
        <f>Z12*Population!$B$12*Population!$M$28+AA12*Population!$B$11*Population!$M$29</f>
        <v>78.703835706262112</v>
      </c>
      <c r="AB13" s="14">
        <f>(AA12*Population!$B$12*0.5*Population!$M$29)+(AB12*Population!$B$11*Population!M$30)</f>
        <v>38.079331427419106</v>
      </c>
      <c r="AC13" s="13">
        <f>(AA12*Population!$B$12*0.5*Population!$M$29)+(AC12*Population!$B$11*Population!M$30)</f>
        <v>38.079331427419106</v>
      </c>
      <c r="AD13" s="14">
        <f>(AB12*Population!$B$12*Population!M$30)+(AD12*Population!$B$11*Population!M$32)</f>
        <v>39.739095783366643</v>
      </c>
      <c r="AE13" s="13">
        <f>(AC12*Population!$B$12*Population!M$30)+(AE12*Population!$B$11*Population!M$32)</f>
        <v>39.739095783366643</v>
      </c>
      <c r="AF13" s="14">
        <f>(AD12*Population!$B$12*Population!M$32)+(AF12*Population!$B$11*Population!M$34)</f>
        <v>43.458971321494964</v>
      </c>
      <c r="AG13" s="13">
        <f>(AE12*Population!$B$12*Population!M$32)+(AG12*Population!$B$11*Population!M$34)</f>
        <v>43.458971321494964</v>
      </c>
      <c r="AH13" s="14">
        <f>(AF12*Population!$B$12*Population!M$34)+(AH12*Population!$B$11*Population!M$36)</f>
        <v>46.517801702444373</v>
      </c>
      <c r="AI13" s="13">
        <f>(AG12*Population!$B$12*Population!M$34)+(AI12*Population!$B$11*Population!M$36)</f>
        <v>46.517801702444373</v>
      </c>
      <c r="AJ13" s="14">
        <f>(AH12*Population!$B$12*Population!M$36)+(AJ12*Population!$B$11*Population!M$38)</f>
        <v>47.805596690330233</v>
      </c>
      <c r="AK13" s="13">
        <f>(AI12*Population!$B$12*Population!M$36)+(AK12*Population!$B$11*Population!M$38)</f>
        <v>47.805596690330233</v>
      </c>
      <c r="AL13" s="14">
        <f>(AJ12*Population!$B$12*Population!M$38)+(AL12*Population!$B$11*Population!M$40)</f>
        <v>47.910555043252195</v>
      </c>
      <c r="AM13" s="13">
        <f>(AK12*Population!$B$12*Population!M$38)+(AM12*Population!$B$11*Population!M$40)</f>
        <v>47.910555043252195</v>
      </c>
      <c r="AN13" s="15">
        <f>(AL12+AM12)*Population!$B$12*Population!$M$40+AN12*Population!$B$11*Population!$M$42</f>
        <v>84.275055901010177</v>
      </c>
      <c r="AO13" s="5">
        <f>AN12*Population!M$42*Population!$B$12+AO12*Population!$B$11*Population!M$43</f>
        <v>61.106073744292523</v>
      </c>
      <c r="AP13" s="5">
        <f>AO12*Population!M$43*Population!$B$12+AP12*Population!$B$11*Population!M$44</f>
        <v>33.381406881421896</v>
      </c>
      <c r="AQ13" s="5">
        <f>(AP12*Population!$B$12+AQ12)*Population!M$45</f>
        <v>38.871285157505923</v>
      </c>
    </row>
    <row r="14" spans="1:43">
      <c r="A14">
        <f>A13+Population!$B$2</f>
        <v>11</v>
      </c>
      <c r="B14" s="4">
        <f t="shared" si="5"/>
        <v>911</v>
      </c>
      <c r="C14" s="59">
        <f t="shared" si="2"/>
        <v>435</v>
      </c>
      <c r="D14" s="12">
        <f>AC13*Population!$P$31*Population!$C$2+AE13*Population!$P$33*Population!$C$2+AG13*Population!$P$35*Population!$C$2+AI13*Population!$P$37*Population!$C$2+AK13*Population!$P$39*Population!$C$2+AM12*Population!$P$41*Population!$C$2</f>
        <v>14.65019344514274</v>
      </c>
      <c r="E14" s="12">
        <f>IF(B13&gt;Population!$B$6*Population!$B$15,Population!$B$8,IF(Population!$J$6=1,D14,Population!$B$8*Population!$B$6*0.9/B13))</f>
        <v>11.880918319076509</v>
      </c>
      <c r="F14" s="12">
        <f>IF(B13&gt;Population!$B$6*0.75,Population!$B$8,E14)</f>
        <v>11.880918319076509</v>
      </c>
      <c r="G14" s="15">
        <f>IF(Population!$J$6=1,IF(E14&gt;H13,H13,E14),IF(E14&gt;W13,W13,E14))</f>
        <v>11.880918319076509</v>
      </c>
      <c r="H14" s="15">
        <f t="shared" si="6"/>
        <v>223</v>
      </c>
      <c r="I14" s="15">
        <f t="shared" si="7"/>
        <v>237</v>
      </c>
      <c r="J14" s="12">
        <f t="shared" si="3"/>
        <v>1.0627802690582959</v>
      </c>
      <c r="K14" s="12">
        <f>Z14*Population!$O$28+AA14*Population!$O$29+AB14*Population!$O$30+AC14*Population!$O$31+AD14*Population!$O$32+AE14*Population!$O$33+AF14*Population!$O$34+AG14*Population!$O$35+AH14*Population!$O$36+AI14*Population!$O$37+AJ14*Population!$O$38+AK14*Population!$O$39+AL14*Population!$O$40+AM14*Population!$O$41+AN14*Population!$O$42+AO14*Population!$O$43+AP14*Population!$O$44+AQ14*Population!$O$45</f>
        <v>5.8924876368303334</v>
      </c>
      <c r="L14" s="12">
        <f t="shared" si="8"/>
        <v>5.3277660623661474E-2</v>
      </c>
      <c r="M14" s="12">
        <f t="shared" si="9"/>
        <v>6.1098724395586554</v>
      </c>
      <c r="N14" s="12">
        <f t="shared" si="0"/>
        <v>0.26015367727771682</v>
      </c>
      <c r="O14" s="12">
        <f t="shared" si="4"/>
        <v>275.03676357582663</v>
      </c>
      <c r="P14" s="12">
        <f t="shared" si="10"/>
        <v>199.48161821208669</v>
      </c>
      <c r="Q14" s="12">
        <f t="shared" si="11"/>
        <v>38.871285157505923</v>
      </c>
      <c r="R14" s="12">
        <f t="shared" si="12"/>
        <v>4.5483382942639726E-2</v>
      </c>
      <c r="S14" s="12">
        <f t="shared" si="1"/>
        <v>0.89453640453850536</v>
      </c>
      <c r="T14" s="12">
        <f>Population!$B$13*MIN(X13:Y13)</f>
        <v>6.215241625965902</v>
      </c>
      <c r="U14" s="12">
        <f>W13*Population!$B$14</f>
        <v>1.2034263242221488</v>
      </c>
      <c r="V14" s="12">
        <f>AM13*S13*Population!$B$12</f>
        <v>6.1012511266818956</v>
      </c>
      <c r="W14" s="12">
        <f t="shared" si="16"/>
        <v>199.48161821208669</v>
      </c>
      <c r="X14" s="14">
        <f t="shared" si="14"/>
        <v>24.159496990271379</v>
      </c>
      <c r="Y14" s="13">
        <f t="shared" si="15"/>
        <v>24.159496990271379</v>
      </c>
      <c r="Z14" s="18">
        <f>(G14+Population!$B$11*Z13)*Population!M$28</f>
        <v>81.690356490258537</v>
      </c>
      <c r="AA14" s="18">
        <f>Z13*Population!$B$12*Population!$M$28+AA13*Population!$B$11*Population!$M$29</f>
        <v>79.080962312484573</v>
      </c>
      <c r="AB14" s="14">
        <f>(AA13*Population!$B$12*0.5*Population!$M$29)+(AB13*Population!$B$11*Population!M$30)</f>
        <v>38.228759231289544</v>
      </c>
      <c r="AC14" s="13">
        <f>(AA13*Population!$B$12*0.5*Population!$M$29)+(AC13*Population!$B$11*Population!M$30)</f>
        <v>38.228759231289544</v>
      </c>
      <c r="AD14" s="14">
        <f>(AB13*Population!$B$12*Population!M$30)+(AD13*Population!$B$11*Population!M$32)</f>
        <v>39.464341196439911</v>
      </c>
      <c r="AE14" s="13">
        <f>(AC13*Population!$B$12*Population!M$30)+(AE13*Population!$B$11*Population!M$32)</f>
        <v>39.464341196439911</v>
      </c>
      <c r="AF14" s="14">
        <f>(AD13*Population!$B$12*Population!M$32)+(AF13*Population!$B$11*Population!M$34)</f>
        <v>42.850629286347328</v>
      </c>
      <c r="AG14" s="13">
        <f>(AE13*Population!$B$12*Population!M$32)+(AG13*Population!$B$11*Population!M$34)</f>
        <v>42.850629286347328</v>
      </c>
      <c r="AH14" s="14">
        <f>(AF13*Population!$B$12*Population!M$34)+(AH13*Population!$B$11*Population!M$36)</f>
        <v>45.992350747944535</v>
      </c>
      <c r="AI14" s="13">
        <f>(AG13*Population!$B$12*Population!M$34)+(AI13*Population!$B$11*Population!M$36)</f>
        <v>45.992350747944535</v>
      </c>
      <c r="AJ14" s="14">
        <f>(AH13*Population!$B$12*Population!M$36)+(AJ13*Population!$B$11*Population!M$38)</f>
        <v>47.530192455897783</v>
      </c>
      <c r="AK14" s="13">
        <f>(AI13*Population!$B$12*Population!M$36)+(AK13*Population!$B$11*Population!M$38)</f>
        <v>47.530192455897783</v>
      </c>
      <c r="AL14" s="14">
        <f>(AJ13*Population!$B$12*Population!M$38)+(AL13*Population!$B$11*Population!M$40)</f>
        <v>47.803601515728523</v>
      </c>
      <c r="AM14" s="13">
        <f>(AK13*Population!$B$12*Population!M$38)+(AM13*Population!$B$11*Population!M$40)</f>
        <v>47.803601515728523</v>
      </c>
      <c r="AN14" s="15">
        <f>(AL13+AM13)*Population!$B$12*Population!$M$40+AN13*Population!$B$11*Population!$M$42</f>
        <v>85.374500575643637</v>
      </c>
      <c r="AO14" s="5">
        <f>AN13*Population!M$42*Population!$B$12+AO13*Population!$B$11*Population!M$43</f>
        <v>63.948912857658044</v>
      </c>
      <c r="AP14" s="5">
        <f>AO13*Population!M$43*Population!$B$12+AP13*Population!$B$11*Population!M$44</f>
        <v>35.833274849183027</v>
      </c>
      <c r="AQ14" s="5">
        <f>(AP13*Population!$B$12+AQ13)*Population!M$45</f>
        <v>41.435361860744791</v>
      </c>
    </row>
    <row r="15" spans="1:43">
      <c r="A15">
        <f>A14+Population!$B$2</f>
        <v>12</v>
      </c>
      <c r="B15" s="4">
        <f t="shared" si="5"/>
        <v>917</v>
      </c>
      <c r="C15" s="59">
        <f t="shared" si="2"/>
        <v>431</v>
      </c>
      <c r="D15" s="12">
        <f>AC14*Population!$P$31*Population!$C$2+AE14*Population!$P$33*Population!$C$2+AG14*Population!$P$35*Population!$C$2+AI14*Population!$P$37*Population!$C$2+AK14*Population!$P$39*Population!$C$2+AM13*Population!$P$41*Population!$C$2</f>
        <v>14.517571056555221</v>
      </c>
      <c r="E15" s="12">
        <f>IF(B14&gt;Population!$B$6*Population!$B$15,Population!$B$8,IF(Population!$J$6=1,D15,Population!$B$8*Population!$B$6*0.9/B14))</f>
        <v>11.880918319076509</v>
      </c>
      <c r="F15" s="12">
        <f>IF(B14&gt;Population!$B$6*0.75,Population!$B$8,E15)</f>
        <v>11.880918319076509</v>
      </c>
      <c r="G15" s="15">
        <f>IF(Population!$J$6=1,IF(E15&gt;H14,H14,E15),IF(E15&gt;W14,W14,E15))</f>
        <v>11.880918319076509</v>
      </c>
      <c r="H15" s="15">
        <f t="shared" si="6"/>
        <v>221</v>
      </c>
      <c r="I15" s="15">
        <f t="shared" si="7"/>
        <v>238</v>
      </c>
      <c r="J15" s="12">
        <f t="shared" si="3"/>
        <v>1.0769230769230769</v>
      </c>
      <c r="K15" s="12">
        <f>Z15*Population!$O$28+AA15*Population!$O$29+AB15*Population!$O$30+AC15*Population!$O$31+AD15*Population!$O$32+AE15*Population!$O$33+AF15*Population!$O$34+AG15*Population!$O$35+AH15*Population!$O$36+AI15*Population!$O$37+AJ15*Population!$O$38+AK15*Population!$O$39+AL15*Population!$O$40+AM15*Population!$O$41+AN15*Population!$O$42+AO15*Population!$O$43+AP15*Population!$O$44+AQ15*Population!$O$45</f>
        <v>6.1728257924862877</v>
      </c>
      <c r="L15" s="12">
        <f t="shared" si="8"/>
        <v>5.3759811398536236E-2</v>
      </c>
      <c r="M15" s="12">
        <f t="shared" si="9"/>
        <v>6.047498055323631</v>
      </c>
      <c r="N15" s="12">
        <f t="shared" si="0"/>
        <v>0.25954198473282442</v>
      </c>
      <c r="O15" s="12">
        <f t="shared" si="4"/>
        <v>282.56852644891347</v>
      </c>
      <c r="P15" s="12">
        <f t="shared" si="10"/>
        <v>198.21573677554326</v>
      </c>
      <c r="Q15" s="12">
        <f t="shared" si="11"/>
        <v>41.435361860744791</v>
      </c>
      <c r="R15" s="12">
        <f t="shared" si="12"/>
        <v>4.8203350905216082E-2</v>
      </c>
      <c r="S15" s="12">
        <f t="shared" si="1"/>
        <v>0.89690378631467538</v>
      </c>
      <c r="T15" s="12">
        <f>Population!$B$13*MIN(X14:Y14)</f>
        <v>6.0398742475678446</v>
      </c>
      <c r="U15" s="12">
        <f>W14*Population!$B$14</f>
        <v>1.1968897092725201</v>
      </c>
      <c r="V15" s="12">
        <f>AM14*S14*Population!$B$12</f>
        <v>6.1088659748387473</v>
      </c>
      <c r="W15" s="12">
        <f t="shared" si="16"/>
        <v>198.21573677554326</v>
      </c>
      <c r="X15" s="14">
        <f t="shared" si="14"/>
        <v>23.674222163980915</v>
      </c>
      <c r="Y15" s="13">
        <f t="shared" si="15"/>
        <v>23.674222163980915</v>
      </c>
      <c r="Z15" s="18">
        <f>(G15+Population!$B$11*Z14)*Population!M$28</f>
        <v>81.867971985259103</v>
      </c>
      <c r="AA15" s="18">
        <f>Z14*Population!$B$12*Population!$M$28+AA14*Population!$B$11*Population!$M$29</f>
        <v>79.43374354018701</v>
      </c>
      <c r="AB15" s="14">
        <f>(AA14*Population!$B$12*0.5*Population!$M$29)+(AB14*Population!$B$11*Population!M$30)</f>
        <v>38.383649698633555</v>
      </c>
      <c r="AC15" s="13">
        <f>(AA14*Population!$B$12*0.5*Population!$M$29)+(AC14*Population!$B$11*Population!M$30)</f>
        <v>38.383649698633555</v>
      </c>
      <c r="AD15" s="14">
        <f>(AB14*Population!$B$12*Population!M$30)+(AD14*Population!$B$11*Population!M$32)</f>
        <v>39.250388185631479</v>
      </c>
      <c r="AE15" s="13">
        <f>(AC14*Population!$B$12*Population!M$30)+(AE14*Population!$B$11*Population!M$32)</f>
        <v>39.250388185631479</v>
      </c>
      <c r="AF15" s="14">
        <f>(AD14*Population!$B$12*Population!M$32)+(AF14*Population!$B$11*Population!M$34)</f>
        <v>42.290981163997849</v>
      </c>
      <c r="AG15" s="13">
        <f>(AE14*Population!$B$12*Population!M$32)+(AG14*Population!$B$11*Population!M$34)</f>
        <v>42.290981163997849</v>
      </c>
      <c r="AH15" s="14">
        <f>(AF14*Population!$B$12*Population!M$34)+(AH14*Population!$B$11*Population!M$36)</f>
        <v>45.456089812166915</v>
      </c>
      <c r="AI15" s="13">
        <f>(AG14*Population!$B$12*Population!M$34)+(AI14*Population!$B$11*Population!M$36)</f>
        <v>45.456089812166915</v>
      </c>
      <c r="AJ15" s="14">
        <f>(AH14*Population!$B$12*Population!M$36)+(AJ14*Population!$B$11*Population!M$38)</f>
        <v>47.219664621829033</v>
      </c>
      <c r="AK15" s="13">
        <f>(AI14*Population!$B$12*Population!M$36)+(AK14*Population!$B$11*Population!M$38)</f>
        <v>47.219664621829033</v>
      </c>
      <c r="AL15" s="14">
        <f>(AJ14*Population!$B$12*Population!M$38)+(AL14*Population!$B$11*Population!M$40)</f>
        <v>47.672835155898916</v>
      </c>
      <c r="AM15" s="13">
        <f>(AK14*Population!$B$12*Population!M$38)+(AM14*Population!$B$11*Population!M$40)</f>
        <v>47.672835155898916</v>
      </c>
      <c r="AN15" s="15">
        <f>(AL14+AM14)*Population!$B$12*Population!$M$40+AN14*Population!$B$11*Population!$M$42</f>
        <v>86.279549982922561</v>
      </c>
      <c r="AO15" s="5">
        <f>AN14*Population!M$42*Population!$B$12+AO14*Population!$B$11*Population!M$43</f>
        <v>66.523890697587206</v>
      </c>
      <c r="AP15" s="5">
        <f>AO14*Population!M$43*Population!$B$12+AP14*Population!$B$11*Population!M$44</f>
        <v>38.231878580321975</v>
      </c>
      <c r="AQ15" s="5">
        <f>(AP14*Population!$B$12+AQ14)*Population!M$45</f>
        <v>44.202472780083149</v>
      </c>
    </row>
    <row r="16" spans="1:43">
      <c r="A16">
        <f>A15+Population!$B$2</f>
        <v>13</v>
      </c>
      <c r="B16" s="4">
        <f t="shared" si="5"/>
        <v>922</v>
      </c>
      <c r="C16" s="59">
        <f t="shared" si="2"/>
        <v>428</v>
      </c>
      <c r="D16" s="12">
        <f>AC15*Population!$P$31*Population!$C$2+AE15*Population!$P$33*Population!$C$2+AG15*Population!$P$35*Population!$C$2+AI15*Population!$P$37*Population!$C$2+AK15*Population!$P$39*Population!$C$2+AM14*Population!$P$41*Population!$C$2</f>
        <v>14.392054920610843</v>
      </c>
      <c r="E16" s="12">
        <f>IF(B15&gt;Population!$B$6*Population!$B$15,Population!$B$8,IF(Population!$J$6=1,D16,Population!$B$8*Population!$B$6*0.9/B15))</f>
        <v>11.880918319076509</v>
      </c>
      <c r="F16" s="12">
        <f>IF(B15&gt;Population!$B$6*0.75,Population!$B$8,E16)</f>
        <v>11.880918319076509</v>
      </c>
      <c r="G16" s="15">
        <f>IF(Population!$J$6=1,IF(E16&gt;H15,H15,E16),IF(E16&gt;W15,W15,E16))</f>
        <v>11.880918319076509</v>
      </c>
      <c r="H16" s="15">
        <f t="shared" si="6"/>
        <v>220</v>
      </c>
      <c r="I16" s="15">
        <f t="shared" si="7"/>
        <v>238</v>
      </c>
      <c r="J16" s="12">
        <f t="shared" si="3"/>
        <v>1.0818181818181818</v>
      </c>
      <c r="K16" s="12">
        <f>Z16*Population!$O$28+AA16*Population!$O$29+AB16*Population!$O$30+AC16*Population!$O$31+AD16*Population!$O$32+AE16*Population!$O$33+AF16*Population!$O$34+AG16*Population!$O$35+AH16*Population!$O$36+AI16*Population!$O$37+AJ16*Population!$O$38+AK16*Population!$O$39+AL16*Population!$O$40+AM16*Population!$O$41+AN16*Population!$O$42+AO16*Population!$O$43+AP16*Population!$O$44+AQ16*Population!$O$45</f>
        <v>6.4553840435514616</v>
      </c>
      <c r="L16" s="12">
        <f t="shared" si="8"/>
        <v>5.4004174177620497E-2</v>
      </c>
      <c r="M16" s="12">
        <f t="shared" si="9"/>
        <v>5.9899272797266052</v>
      </c>
      <c r="N16" s="12">
        <f t="shared" si="0"/>
        <v>0.25813449023861174</v>
      </c>
      <c r="O16" s="12">
        <f t="shared" si="4"/>
        <v>290.32656030985265</v>
      </c>
      <c r="P16" s="12">
        <f t="shared" si="10"/>
        <v>196.83671984507367</v>
      </c>
      <c r="Q16" s="12">
        <f t="shared" si="11"/>
        <v>44.202472780083149</v>
      </c>
      <c r="R16" s="12">
        <f t="shared" si="12"/>
        <v>5.1144398986841887E-2</v>
      </c>
      <c r="S16" s="12">
        <f t="shared" si="1"/>
        <v>0.89471236293215306</v>
      </c>
      <c r="T16" s="12">
        <f>Population!$B$13*MIN(X15:Y15)</f>
        <v>5.9185555409952286</v>
      </c>
      <c r="U16" s="12">
        <f>W15*Population!$B$14</f>
        <v>1.1892944206532596</v>
      </c>
      <c r="V16" s="12">
        <f>AM15*S15*Population!$B$12</f>
        <v>6.1082780508115864</v>
      </c>
      <c r="W16" s="12">
        <f t="shared" si="16"/>
        <v>196.83671984507367</v>
      </c>
      <c r="X16" s="14">
        <f t="shared" si="14"/>
        <v>23.345989322672324</v>
      </c>
      <c r="Y16" s="13">
        <f t="shared" si="15"/>
        <v>23.345989322672324</v>
      </c>
      <c r="Z16" s="18">
        <f>(G16+Population!$B$11*Z15)*Population!M$28</f>
        <v>82.020152027924482</v>
      </c>
      <c r="AA16" s="18">
        <f>Z15*Population!$B$12*Population!$M$28+AA15*Population!$B$11*Population!$M$29</f>
        <v>79.761422753710846</v>
      </c>
      <c r="AB16" s="14">
        <f>(AA15*Population!$B$12*0.5*Population!$M$29)+(AB15*Population!$B$11*Population!M$30)</f>
        <v>38.541479422395682</v>
      </c>
      <c r="AC16" s="13">
        <f>(AA15*Population!$B$12*0.5*Population!$M$29)+(AC15*Population!$B$11*Population!M$30)</f>
        <v>38.541479422395682</v>
      </c>
      <c r="AD16" s="14">
        <f>(AB15*Population!$B$12*Population!M$30)+(AD15*Population!$B$11*Population!M$32)</f>
        <v>39.089280782087748</v>
      </c>
      <c r="AE16" s="13">
        <f>(AC15*Population!$B$12*Population!M$30)+(AE15*Population!$B$11*Population!M$32)</f>
        <v>39.089280782087748</v>
      </c>
      <c r="AF16" s="14">
        <f>(AD15*Population!$B$12*Population!M$32)+(AF15*Population!$B$11*Population!M$34)</f>
        <v>41.781668206666922</v>
      </c>
      <c r="AG16" s="13">
        <f>(AE15*Population!$B$12*Population!M$32)+(AG15*Population!$B$11*Population!M$34)</f>
        <v>41.781668206666922</v>
      </c>
      <c r="AH16" s="14">
        <f>(AF15*Population!$B$12*Population!M$34)+(AH15*Population!$B$11*Population!M$36)</f>
        <v>44.917523885504039</v>
      </c>
      <c r="AI16" s="13">
        <f>(AG15*Population!$B$12*Population!M$34)+(AI15*Population!$B$11*Population!M$36)</f>
        <v>44.917523885504039</v>
      </c>
      <c r="AJ16" s="14">
        <f>(AH15*Population!$B$12*Population!M$36)+(AJ15*Population!$B$11*Population!M$38)</f>
        <v>46.87754733060833</v>
      </c>
      <c r="AK16" s="13">
        <f>(AI15*Population!$B$12*Population!M$36)+(AK15*Population!$B$11*Population!M$38)</f>
        <v>46.87754733060833</v>
      </c>
      <c r="AL16" s="14">
        <f>(AJ15*Population!$B$12*Population!M$38)+(AL15*Population!$B$11*Population!M$40)</f>
        <v>47.516688962878952</v>
      </c>
      <c r="AM16" s="13">
        <f>(AK15*Population!$B$12*Population!M$38)+(AM15*Population!$B$11*Population!M$40)</f>
        <v>47.516688962878952</v>
      </c>
      <c r="AN16" s="15">
        <f>(AL15+AM15)*Population!$B$12*Population!$M$40+AN15*Population!$B$11*Population!$M$42</f>
        <v>87.012392299725349</v>
      </c>
      <c r="AO16" s="5">
        <f>AN15*Population!M$42*Population!$B$12+AO15*Population!$B$11*Population!M$43</f>
        <v>68.843368312246383</v>
      </c>
      <c r="AP16" s="5">
        <f>AO15*Population!M$43*Population!$B$12+AP15*Population!$B$11*Population!M$44</f>
        <v>40.549145276670622</v>
      </c>
      <c r="AQ16" s="5">
        <f>(AP15*Population!$B$12+AQ15)*Population!M$45</f>
        <v>47.155135865868218</v>
      </c>
    </row>
    <row r="17" spans="1:43">
      <c r="A17">
        <f>A16+Population!$B$2</f>
        <v>14</v>
      </c>
      <c r="B17" s="4">
        <f t="shared" si="5"/>
        <v>928</v>
      </c>
      <c r="C17" s="59">
        <f t="shared" si="2"/>
        <v>425</v>
      </c>
      <c r="D17" s="12">
        <f>AC16*Population!$P$31*Population!$C$2+AE16*Population!$P$33*Population!$C$2+AG16*Population!$P$35*Population!$C$2+AI16*Population!$P$37*Population!$C$2+AK16*Population!$P$39*Population!$C$2+AM15*Population!$P$41*Population!$C$2</f>
        <v>14.273844458112224</v>
      </c>
      <c r="E17" s="12">
        <f>IF(B16&gt;Population!$B$6*Population!$B$15,Population!$B$8,IF(Population!$J$6=1,D17,Population!$B$8*Population!$B$6*0.9/B16))</f>
        <v>11.880918319076509</v>
      </c>
      <c r="F17" s="12">
        <f>IF(B16&gt;Population!$B$6*0.75,Population!$B$8,E17)</f>
        <v>11.880918319076509</v>
      </c>
      <c r="G17" s="15">
        <f>IF(Population!$J$6=1,IF(E17&gt;H16,H16,E17),IF(E17&gt;W16,W16,E17))</f>
        <v>11.880918319076509</v>
      </c>
      <c r="H17" s="15">
        <f t="shared" si="6"/>
        <v>218</v>
      </c>
      <c r="I17" s="15">
        <f t="shared" si="7"/>
        <v>239</v>
      </c>
      <c r="J17" s="12">
        <f t="shared" si="3"/>
        <v>1.0963302752293578</v>
      </c>
      <c r="K17" s="12">
        <f>Z17*Population!$O$28+AA17*Population!$O$29+AB17*Population!$O$30+AC17*Population!$O$31+AD17*Population!$O$32+AE17*Population!$O$33+AF17*Population!$O$34+AG17*Population!$O$35+AH17*Population!$O$36+AI17*Population!$O$37+AJ17*Population!$O$38+AK17*Population!$O$39+AL17*Population!$O$40+AM17*Population!$O$41+AN17*Population!$O$42+AO17*Population!$O$43+AP17*Population!$O$44+AQ17*Population!$O$45</f>
        <v>6.738325008496969</v>
      </c>
      <c r="L17" s="12">
        <f t="shared" si="8"/>
        <v>5.4499625316864718E-2</v>
      </c>
      <c r="M17" s="12">
        <f t="shared" si="9"/>
        <v>5.937188949243926</v>
      </c>
      <c r="N17" s="12">
        <f t="shared" si="0"/>
        <v>0.25754310344827586</v>
      </c>
      <c r="O17" s="12">
        <f t="shared" si="4"/>
        <v>298.16239744685447</v>
      </c>
      <c r="P17" s="12">
        <f t="shared" si="10"/>
        <v>195.41880127657276</v>
      </c>
      <c r="Q17" s="12">
        <f t="shared" si="11"/>
        <v>47.155135865868218</v>
      </c>
      <c r="R17" s="12">
        <f t="shared" si="12"/>
        <v>5.4173431537987239E-2</v>
      </c>
      <c r="S17" s="12">
        <f t="shared" si="1"/>
        <v>0.89641651961730628</v>
      </c>
      <c r="T17" s="12">
        <f>Population!$B$13*MIN(X16:Y16)</f>
        <v>5.836497330668081</v>
      </c>
      <c r="U17" s="12">
        <f>W16*Population!$B$14</f>
        <v>1.181020319070442</v>
      </c>
      <c r="V17" s="12">
        <f>AM16*S16*Population!$B$12</f>
        <v>6.0733955800985111</v>
      </c>
      <c r="W17" s="12">
        <f t="shared" si="16"/>
        <v>195.41880127657276</v>
      </c>
      <c r="X17" s="14">
        <f t="shared" si="14"/>
        <v>23.10456963443545</v>
      </c>
      <c r="Y17" s="13">
        <f t="shared" si="15"/>
        <v>23.10456963443545</v>
      </c>
      <c r="Z17" s="18">
        <f>(G17+Population!$B$11*Z16)*Population!M$28</f>
        <v>82.150539105839954</v>
      </c>
      <c r="AA17" s="18">
        <f>Z16*Population!$B$12*Population!$M$28+AA16*Population!$B$11*Population!$M$29</f>
        <v>80.063958635392666</v>
      </c>
      <c r="AB17" s="14">
        <f>(AA16*Population!$B$12*0.5*Population!$M$29)+(AB16*Population!$B$11*Population!M$30)</f>
        <v>38.700033510261783</v>
      </c>
      <c r="AC17" s="13">
        <f>(AA16*Population!$B$12*0.5*Population!$M$29)+(AC16*Population!$B$11*Population!M$30)</f>
        <v>38.700033510261783</v>
      </c>
      <c r="AD17" s="14">
        <f>(AB16*Population!$B$12*Population!M$30)+(AD16*Population!$B$11*Population!M$32)</f>
        <v>38.973845939645813</v>
      </c>
      <c r="AE17" s="13">
        <f>(AC16*Population!$B$12*Population!M$30)+(AE16*Population!$B$11*Population!M$32)</f>
        <v>38.973845939645813</v>
      </c>
      <c r="AF17" s="14">
        <f>(AD16*Population!$B$12*Population!M$32)+(AF16*Population!$B$11*Population!M$34)</f>
        <v>41.322959017109021</v>
      </c>
      <c r="AG17" s="13">
        <f>(AE16*Population!$B$12*Population!M$32)+(AG16*Population!$B$11*Population!M$34)</f>
        <v>41.322959017109021</v>
      </c>
      <c r="AH17" s="14">
        <f>(AF16*Population!$B$12*Population!M$34)+(AH16*Population!$B$11*Population!M$36)</f>
        <v>44.384162977367623</v>
      </c>
      <c r="AI17" s="13">
        <f>(AG16*Population!$B$12*Population!M$34)+(AI16*Population!$B$11*Population!M$36)</f>
        <v>44.384162977367623</v>
      </c>
      <c r="AJ17" s="14">
        <f>(AH16*Population!$B$12*Population!M$36)+(AJ16*Population!$B$11*Population!M$38)</f>
        <v>46.508076696863604</v>
      </c>
      <c r="AK17" s="13">
        <f>(AI16*Population!$B$12*Population!M$36)+(AK16*Population!$B$11*Population!M$38)</f>
        <v>46.508076696863604</v>
      </c>
      <c r="AL17" s="14">
        <f>(AJ16*Population!$B$12*Population!M$38)+(AL16*Population!$B$11*Population!M$40)</f>
        <v>47.334326280022132</v>
      </c>
      <c r="AM17" s="13">
        <f>(AK16*Population!$B$12*Population!M$38)+(AM16*Population!$B$11*Population!M$40)</f>
        <v>47.334326280022132</v>
      </c>
      <c r="AN17" s="15">
        <f>(AL16+AM16)*Population!$B$12*Population!$M$40+AN16*Population!$B$11*Population!$M$42</f>
        <v>87.591461224779223</v>
      </c>
      <c r="AO17" s="5">
        <f>AN16*Population!M$42*Population!$B$12+AO16*Population!$B$11*Population!M$43</f>
        <v>70.921010829635421</v>
      </c>
      <c r="AP17" s="5">
        <f>AO16*Population!M$43*Population!$B$12+AP16*Population!$B$11*Population!M$44</f>
        <v>42.76398123367742</v>
      </c>
      <c r="AQ17" s="5">
        <f>(AP16*Population!$B$12+AQ16)*Population!M$45</f>
        <v>50.272944467252159</v>
      </c>
    </row>
    <row r="18" spans="1:43">
      <c r="A18">
        <f>A17+Population!$B$2</f>
        <v>15</v>
      </c>
      <c r="B18" s="4">
        <f t="shared" si="5"/>
        <v>933</v>
      </c>
      <c r="C18" s="59">
        <f t="shared" si="2"/>
        <v>421</v>
      </c>
      <c r="D18" s="12">
        <f>AC17*Population!$P$31*Population!$C$2+AE17*Population!$P$33*Population!$C$2+AG17*Population!$P$35*Population!$C$2+AI17*Population!$P$37*Population!$C$2+AK17*Population!$P$39*Population!$C$2+AM16*Population!$P$41*Population!$C$2</f>
        <v>14.163043784458452</v>
      </c>
      <c r="E18" s="12">
        <f>IF(B17&gt;Population!$B$6*Population!$B$15,Population!$B$8,IF(Population!$J$6=1,D18,Population!$B$8*Population!$B$6*0.9/B17))</f>
        <v>11.880918319076509</v>
      </c>
      <c r="F18" s="12">
        <f>IF(B17&gt;Population!$B$6*0.75,Population!$B$8,E18)</f>
        <v>11.880918319076509</v>
      </c>
      <c r="G18" s="15">
        <f>IF(Population!$J$6=1,IF(E18&gt;H17,H17,E18),IF(E18&gt;W17,W17,E18))</f>
        <v>11.880918319076509</v>
      </c>
      <c r="H18" s="15">
        <f t="shared" si="6"/>
        <v>216</v>
      </c>
      <c r="I18" s="15">
        <f t="shared" si="7"/>
        <v>240</v>
      </c>
      <c r="J18" s="12">
        <f t="shared" si="3"/>
        <v>1.1111111111111112</v>
      </c>
      <c r="K18" s="12">
        <f>Z18*Population!$O$28+AA18*Population!$O$29+AB18*Population!$O$30+AC18*Population!$O$31+AD18*Population!$O$32+AE18*Population!$O$33+AF18*Population!$O$34+AG18*Population!$O$35+AH18*Population!$O$36+AI18*Population!$O$37+AJ18*Population!$O$38+AK18*Population!$O$39+AL18*Population!$O$40+AM18*Population!$O$41+AN18*Population!$O$42+AO18*Population!$O$43+AP18*Population!$O$44+AQ18*Population!$O$45</f>
        <v>7.0199959803475576</v>
      </c>
      <c r="L18" s="12">
        <f t="shared" si="8"/>
        <v>5.5004251477206056E-2</v>
      </c>
      <c r="M18" s="12">
        <f t="shared" si="9"/>
        <v>5.8892454713392075</v>
      </c>
      <c r="N18" s="12">
        <f t="shared" si="0"/>
        <v>0.25723472668810288</v>
      </c>
      <c r="O18" s="12">
        <f t="shared" si="4"/>
        <v>305.07835882277493</v>
      </c>
      <c r="P18" s="12">
        <f t="shared" si="10"/>
        <v>193.96082058861253</v>
      </c>
      <c r="Q18" s="12">
        <f t="shared" si="11"/>
        <v>50.272944467252159</v>
      </c>
      <c r="R18" s="12">
        <f t="shared" si="12"/>
        <v>5.7377986845983477E-2</v>
      </c>
      <c r="S18" s="12">
        <f t="shared" si="1"/>
        <v>0.89796676198431724</v>
      </c>
      <c r="T18" s="12">
        <f>Population!$B$13*MIN(X17:Y17)</f>
        <v>5.7761424086088624</v>
      </c>
      <c r="U18" s="12">
        <f>W17*Population!$B$14</f>
        <v>1.1725128076594367</v>
      </c>
      <c r="V18" s="12">
        <f>AM17*S17*Population!$B$12</f>
        <v>6.0616102889096339</v>
      </c>
      <c r="W18" s="12">
        <f t="shared" si="16"/>
        <v>193.96082058861253</v>
      </c>
      <c r="X18" s="14">
        <f t="shared" si="14"/>
        <v>22.954917159950469</v>
      </c>
      <c r="Y18" s="13">
        <f t="shared" si="15"/>
        <v>22.954917159950469</v>
      </c>
      <c r="Z18" s="18">
        <f>(G18+Population!$B$11*Z17)*Population!M$28</f>
        <v>82.26225408363581</v>
      </c>
      <c r="AA18" s="18">
        <f>Z17*Population!$B$12*Population!$M$28+AA17*Population!$B$11*Population!$M$29</f>
        <v>80.341835922165885</v>
      </c>
      <c r="AB18" s="14">
        <f>(AA17*Population!$B$12*0.5*Population!$M$29)+(AB17*Population!$B$11*Population!M$30)</f>
        <v>38.857412341758405</v>
      </c>
      <c r="AC18" s="13">
        <f>(AA17*Population!$B$12*0.5*Population!$M$29)+(AC17*Population!$B$11*Population!M$30)</f>
        <v>38.857412341758405</v>
      </c>
      <c r="AD18" s="14">
        <f>(AB17*Population!$B$12*Population!M$30)+(AD17*Population!$B$11*Population!M$32)</f>
        <v>38.897625080731217</v>
      </c>
      <c r="AE18" s="13">
        <f>(AC17*Population!$B$12*Population!M$30)+(AE17*Population!$B$11*Population!M$32)</f>
        <v>38.897625080731217</v>
      </c>
      <c r="AF18" s="14">
        <f>(AD17*Population!$B$12*Population!M$32)+(AF17*Population!$B$11*Population!M$34)</f>
        <v>40.914059639891768</v>
      </c>
      <c r="AG18" s="13">
        <f>(AE17*Population!$B$12*Population!M$32)+(AG17*Population!$B$11*Population!M$34)</f>
        <v>40.914059639891768</v>
      </c>
      <c r="AH18" s="14">
        <f>(AF17*Population!$B$12*Population!M$34)+(AH17*Population!$B$11*Population!M$36)</f>
        <v>43.862470177500377</v>
      </c>
      <c r="AI18" s="13">
        <f>(AG17*Population!$B$12*Population!M$34)+(AI17*Population!$B$11*Population!M$36)</f>
        <v>43.862470177500377</v>
      </c>
      <c r="AJ18" s="14">
        <f>(AH17*Population!$B$12*Population!M$36)+(AJ17*Population!$B$11*Population!M$38)</f>
        <v>46.115947503154977</v>
      </c>
      <c r="AK18" s="13">
        <f>(AI17*Population!$B$12*Population!M$36)+(AK17*Population!$B$11*Population!M$38)</f>
        <v>46.115947503154977</v>
      </c>
      <c r="AL18" s="14">
        <f>(AJ17*Population!$B$12*Population!M$38)+(AL17*Population!$B$11*Population!M$40)</f>
        <v>47.125635347284657</v>
      </c>
      <c r="AM18" s="13">
        <f>(AK17*Population!$B$12*Population!M$38)+(AM17*Population!$B$11*Population!M$40)</f>
        <v>47.125635347284657</v>
      </c>
      <c r="AN18" s="15">
        <f>(AL17+AM17)*Population!$B$12*Population!$M$40+AN17*Population!$B$11*Population!$M$42</f>
        <v>88.032203933218071</v>
      </c>
      <c r="AO18" s="5">
        <f>AN17*Population!M$42*Population!$B$12+AO17*Population!$B$11*Population!M$43</f>
        <v>72.771060591088997</v>
      </c>
      <c r="AP18" s="5">
        <f>AO17*Population!M$43*Population!$B$12+AP17*Population!$B$11*Population!M$44</f>
        <v>44.861157558804685</v>
      </c>
      <c r="AQ18" s="5">
        <f>(AP17*Population!$B$12+AQ17)*Population!M$45</f>
        <v>53.533661727302587</v>
      </c>
    </row>
    <row r="19" spans="1:43">
      <c r="A19">
        <f>A18+Population!$B$2</f>
        <v>16</v>
      </c>
      <c r="B19" s="4">
        <f t="shared" si="5"/>
        <v>938</v>
      </c>
      <c r="C19" s="59">
        <f t="shared" si="2"/>
        <v>419</v>
      </c>
      <c r="D19" s="12">
        <f>AC18*Population!$P$31*Population!$C$2+AE18*Population!$P$33*Population!$C$2+AG18*Population!$P$35*Population!$C$2+AI18*Population!$P$37*Population!$C$2+AK18*Population!$P$39*Population!$C$2+AM17*Population!$P$41*Population!$C$2</f>
        <v>14.059672518848092</v>
      </c>
      <c r="E19" s="12">
        <f>IF(B18&gt;Population!$B$6*Population!$B$15,Population!$B$8,IF(Population!$J$6=1,D19,Population!$B$8*Population!$B$6*0.9/B18))</f>
        <v>11.880918319076509</v>
      </c>
      <c r="F19" s="12">
        <f>IF(B18&gt;Population!$B$6*0.75,Population!$B$8,E19)</f>
        <v>11.880918319076509</v>
      </c>
      <c r="G19" s="15">
        <f>IF(Population!$J$6=1,IF(E19&gt;H18,H18,E19),IF(E19&gt;W18,W18,E19))</f>
        <v>11.880918319076509</v>
      </c>
      <c r="H19" s="15">
        <f t="shared" si="6"/>
        <v>215</v>
      </c>
      <c r="I19" s="15">
        <f t="shared" si="7"/>
        <v>240</v>
      </c>
      <c r="J19" s="12">
        <f t="shared" si="3"/>
        <v>1.1162790697674418</v>
      </c>
      <c r="K19" s="12">
        <f>Z19*Population!$O$28+AA19*Population!$O$29+AB19*Population!$O$30+AC19*Population!$O$31+AD19*Population!$O$32+AE19*Population!$O$33+AF19*Population!$O$34+AG19*Population!$O$35+AH19*Population!$O$36+AI19*Population!$O$37+AJ19*Population!$O$38+AK19*Population!$O$39+AL19*Population!$O$40+AM19*Population!$O$41+AN19*Population!$O$42+AO19*Population!$O$43+AP19*Population!$O$44+AQ19*Population!$O$45</f>
        <v>7.2989236702495477</v>
      </c>
      <c r="L19" s="12">
        <f t="shared" si="8"/>
        <v>5.5260085205007019E-2</v>
      </c>
      <c r="M19" s="12">
        <f t="shared" si="9"/>
        <v>5.8460022357975605</v>
      </c>
      <c r="N19" s="12">
        <f t="shared" si="0"/>
        <v>0.25586353944562901</v>
      </c>
      <c r="O19" s="12">
        <f t="shared" si="4"/>
        <v>313.01907414107876</v>
      </c>
      <c r="P19" s="12">
        <f t="shared" si="10"/>
        <v>192.49046292946062</v>
      </c>
      <c r="Q19" s="12">
        <f t="shared" si="11"/>
        <v>53.533661727302587</v>
      </c>
      <c r="R19" s="12">
        <f t="shared" si="12"/>
        <v>6.0676021906306533E-2</v>
      </c>
      <c r="S19" s="12">
        <f t="shared" si="1"/>
        <v>0.89530447874167729</v>
      </c>
      <c r="T19" s="12">
        <f>Population!$B$13*MIN(X18:Y18)</f>
        <v>5.7387292899876172</v>
      </c>
      <c r="U19" s="12">
        <f>W18*Population!$B$14</f>
        <v>1.1637649235316752</v>
      </c>
      <c r="V19" s="12">
        <f>AM18*S18*Population!$B$12</f>
        <v>6.0453220256078408</v>
      </c>
      <c r="W19" s="12">
        <f t="shared" si="16"/>
        <v>192.49046292946062</v>
      </c>
      <c r="X19" s="14">
        <f t="shared" si="14"/>
        <v>22.87287162041801</v>
      </c>
      <c r="Y19" s="13">
        <f t="shared" si="15"/>
        <v>22.87287162041801</v>
      </c>
      <c r="Z19" s="18">
        <f>(G19+Population!$B$11*Z18)*Population!M$28</f>
        <v>82.357970902077142</v>
      </c>
      <c r="AA19" s="18">
        <f>Z18*Population!$B$12*Population!$M$28+AA18*Population!$B$11*Population!$M$29</f>
        <v>80.595915666139746</v>
      </c>
      <c r="AB19" s="14">
        <f>(AA18*Population!$B$12*0.5*Population!$M$29)+(AB18*Population!$B$11*Population!M$30)</f>
        <v>39.012023838760285</v>
      </c>
      <c r="AC19" s="13">
        <f>(AA18*Population!$B$12*0.5*Population!$M$29)+(AC18*Population!$B$11*Population!M$30)</f>
        <v>39.012023838760285</v>
      </c>
      <c r="AD19" s="14">
        <f>(AB18*Population!$B$12*Population!M$30)+(AD18*Population!$B$11*Population!M$32)</f>
        <v>38.854816441710348</v>
      </c>
      <c r="AE19" s="13">
        <f>(AC18*Population!$B$12*Population!M$30)+(AE18*Population!$B$11*Population!M$32)</f>
        <v>38.854816441710348</v>
      </c>
      <c r="AF19" s="14">
        <f>(AD18*Population!$B$12*Population!M$32)+(AF18*Population!$B$11*Population!M$34)</f>
        <v>40.553369073761189</v>
      </c>
      <c r="AG19" s="13">
        <f>(AE18*Population!$B$12*Population!M$32)+(AG18*Population!$B$11*Population!M$34)</f>
        <v>40.553369073761189</v>
      </c>
      <c r="AH19" s="14">
        <f>(AF18*Population!$B$12*Population!M$34)+(AH18*Population!$B$11*Population!M$36)</f>
        <v>43.357861436277233</v>
      </c>
      <c r="AI19" s="13">
        <f>(AG18*Population!$B$12*Population!M$34)+(AI18*Population!$B$11*Population!M$36)</f>
        <v>43.357861436277233</v>
      </c>
      <c r="AJ19" s="14">
        <f>(AH18*Population!$B$12*Population!M$36)+(AJ18*Population!$B$11*Population!M$38)</f>
        <v>45.706097648350443</v>
      </c>
      <c r="AK19" s="13">
        <f>(AI18*Population!$B$12*Population!M$36)+(AK18*Population!$B$11*Population!M$38)</f>
        <v>45.706097648350443</v>
      </c>
      <c r="AL19" s="14">
        <f>(AJ18*Population!$B$12*Population!M$38)+(AL18*Population!$B$11*Population!M$40)</f>
        <v>46.891189949779445</v>
      </c>
      <c r="AM19" s="13">
        <f>(AK18*Population!$B$12*Population!M$38)+(AM18*Population!$B$11*Population!M$40)</f>
        <v>46.891189949779445</v>
      </c>
      <c r="AN19" s="15">
        <f>(AL18+AM18)*Population!$B$12*Population!$M$40+AN18*Population!$B$11*Population!$M$42</f>
        <v>88.347732997578461</v>
      </c>
      <c r="AO19" s="5">
        <f>AN18*Population!M$42*Population!$B$12+AO18*Population!$B$11*Population!M$43</f>
        <v>74.407827552217697</v>
      </c>
      <c r="AP19" s="5">
        <f>AO18*Population!M$43*Population!$B$12+AP18*Population!$B$11*Population!M$44</f>
        <v>46.830300239343842</v>
      </c>
      <c r="AQ19" s="5">
        <f>(AP18*Population!$B$12+AQ18)*Population!M$45</f>
        <v>56.914108548115529</v>
      </c>
    </row>
    <row r="20" spans="1:43">
      <c r="A20">
        <f>A19+Population!$B$2</f>
        <v>17</v>
      </c>
      <c r="B20" s="4">
        <f t="shared" si="5"/>
        <v>942</v>
      </c>
      <c r="C20" s="59">
        <f t="shared" si="2"/>
        <v>415</v>
      </c>
      <c r="D20" s="12">
        <f>AC19*Population!$P$31*Population!$C$2+AE19*Population!$P$33*Population!$C$2+AG19*Population!$P$35*Population!$C$2+AI19*Population!$P$37*Population!$C$2+AK19*Population!$P$39*Population!$C$2+AM18*Population!$P$41*Population!$C$2</f>
        <v>13.963676674692433</v>
      </c>
      <c r="E20" s="12">
        <f>IF(B19&gt;Population!$B$6*Population!$B$15,Population!$B$8,IF(Population!$J$6=1,D20,Population!$B$8*Population!$B$6*0.9/B19))</f>
        <v>11.880918319076509</v>
      </c>
      <c r="F20" s="12">
        <f>IF(B19&gt;Population!$B$6*0.75,Population!$B$8,E20)</f>
        <v>11.880918319076509</v>
      </c>
      <c r="G20" s="15">
        <f>IF(Population!$J$6=1,IF(E20&gt;H19,H19,E20),IF(E20&gt;W19,W19,E20))</f>
        <v>11.880918319076509</v>
      </c>
      <c r="H20" s="15">
        <f t="shared" si="6"/>
        <v>213</v>
      </c>
      <c r="I20" s="15">
        <f t="shared" si="7"/>
        <v>241</v>
      </c>
      <c r="J20" s="12">
        <f t="shared" si="3"/>
        <v>1.1314553990610328</v>
      </c>
      <c r="K20" s="12">
        <f>Z20*Population!$O$28+AA20*Population!$O$29+AB20*Population!$O$30+AC20*Population!$O$31+AD20*Population!$O$32+AE20*Population!$O$33+AF20*Population!$O$34+AG20*Population!$O$35+AH20*Population!$O$36+AI20*Population!$O$37+AJ20*Population!$O$38+AK20*Population!$O$39+AL20*Population!$O$40+AM20*Population!$O$41+AN20*Population!$O$42+AO20*Population!$O$43+AP20*Population!$O$44+AQ20*Population!$O$45</f>
        <v>7.5738060345240541</v>
      </c>
      <c r="L20" s="12">
        <f t="shared" si="8"/>
        <v>5.5778959244490653E-2</v>
      </c>
      <c r="M20" s="12">
        <f t="shared" si="9"/>
        <v>5.8073169542954171</v>
      </c>
      <c r="N20" s="12">
        <f t="shared" si="0"/>
        <v>0.25583864118895966</v>
      </c>
      <c r="O20" s="12">
        <f t="shared" si="4"/>
        <v>318.88735027904164</v>
      </c>
      <c r="P20" s="12">
        <f t="shared" si="10"/>
        <v>191.05632486047918</v>
      </c>
      <c r="Q20" s="12">
        <f t="shared" si="11"/>
        <v>56.914108548115529</v>
      </c>
      <c r="R20" s="12">
        <f t="shared" si="12"/>
        <v>6.4109203512451515E-2</v>
      </c>
      <c r="S20" s="12">
        <f t="shared" si="1"/>
        <v>0.89697805098816519</v>
      </c>
      <c r="T20" s="12">
        <f>Population!$B$13*MIN(X19:Y19)</f>
        <v>5.7182179051045026</v>
      </c>
      <c r="U20" s="12">
        <f>W19*Population!$B$14</f>
        <v>1.1549427775767638</v>
      </c>
      <c r="V20" s="12">
        <f>AM19*S19*Population!$B$12</f>
        <v>5.9974131965091804</v>
      </c>
      <c r="W20" s="12">
        <f t="shared" si="16"/>
        <v>191.05632486047918</v>
      </c>
      <c r="X20" s="14">
        <f t="shared" si="14"/>
        <v>22.813039910986561</v>
      </c>
      <c r="Y20" s="13">
        <f t="shared" si="15"/>
        <v>22.813039910986561</v>
      </c>
      <c r="Z20" s="18">
        <f>(G20+Population!$B$11*Z19)*Population!M$28</f>
        <v>82.43998057985975</v>
      </c>
      <c r="AA20" s="18">
        <f>Z19*Population!$B$12*Population!$M$28+AA19*Population!$B$11*Population!$M$29</f>
        <v>80.827317582368579</v>
      </c>
      <c r="AB20" s="14">
        <f>(AA19*Population!$B$12*0.5*Population!$M$29)+(AB19*Population!$B$11*Population!M$30)</f>
        <v>39.162566153258446</v>
      </c>
      <c r="AC20" s="13">
        <f>(AA19*Population!$B$12*0.5*Population!$M$29)+(AC19*Population!$B$11*Population!M$30)</f>
        <v>39.162566153258446</v>
      </c>
      <c r="AD20" s="14">
        <f>(AB19*Population!$B$12*Population!M$30)+(AD19*Population!$B$11*Population!M$32)</f>
        <v>38.840224598555764</v>
      </c>
      <c r="AE20" s="13">
        <f>(AC19*Population!$B$12*Population!M$30)+(AE19*Population!$B$11*Population!M$32)</f>
        <v>38.840224598555764</v>
      </c>
      <c r="AF20" s="14">
        <f>(AD19*Population!$B$12*Population!M$32)+(AF19*Population!$B$11*Population!M$34)</f>
        <v>40.238689633211258</v>
      </c>
      <c r="AG20" s="13">
        <f>(AE19*Population!$B$12*Population!M$32)+(AG19*Population!$B$11*Population!M$34)</f>
        <v>40.238689633211258</v>
      </c>
      <c r="AH20" s="14">
        <f>(AF19*Population!$B$12*Population!M$34)+(AH19*Population!$B$11*Population!M$36)</f>
        <v>42.874741808436724</v>
      </c>
      <c r="AI20" s="13">
        <f>(AG19*Population!$B$12*Population!M$34)+(AI19*Population!$B$11*Population!M$36)</f>
        <v>42.874741808436724</v>
      </c>
      <c r="AJ20" s="14">
        <f>(AH19*Population!$B$12*Population!M$36)+(AJ19*Population!$B$11*Population!M$38)</f>
        <v>45.283523712501889</v>
      </c>
      <c r="AK20" s="13">
        <f>(AI19*Population!$B$12*Population!M$36)+(AK19*Population!$B$11*Population!M$38)</f>
        <v>45.283523712501889</v>
      </c>
      <c r="AL20" s="14">
        <f>(AJ19*Population!$B$12*Population!M$38)+(AL19*Population!$B$11*Population!M$40)</f>
        <v>46.632185018760119</v>
      </c>
      <c r="AM20" s="13">
        <f>(AK19*Population!$B$12*Population!M$38)+(AM19*Population!$B$11*Population!M$40)</f>
        <v>46.632185018760119</v>
      </c>
      <c r="AN20" s="15">
        <f>(AL19+AM19)*Population!$B$12*Population!$M$40+AN19*Population!$B$11*Population!$M$42</f>
        <v>88.549369904318269</v>
      </c>
      <c r="AO20" s="5">
        <f>AN19*Population!M$42*Population!$B$12+AO19*Population!$B$11*Population!M$43</f>
        <v>75.845348106875832</v>
      </c>
      <c r="AP20" s="5">
        <f>AO19*Population!M$43*Population!$B$12+AP19*Population!$B$11*Population!M$44</f>
        <v>48.664995947139609</v>
      </c>
      <c r="AQ20" s="5">
        <f>(AP19*Population!$B$12+AQ19)*Population!M$45</f>
        <v>60.390869708729326</v>
      </c>
    </row>
    <row r="21" spans="1:43">
      <c r="A21">
        <f>A20+Population!$B$2</f>
        <v>18</v>
      </c>
      <c r="B21" s="4">
        <f t="shared" si="5"/>
        <v>947</v>
      </c>
      <c r="C21" s="59">
        <f t="shared" si="2"/>
        <v>413</v>
      </c>
      <c r="D21" s="12">
        <f>AC20*Population!$P$31*Population!$C$2+AE20*Population!$P$33*Population!$C$2+AG20*Population!$P$35*Population!$C$2+AI20*Population!$P$37*Population!$C$2+AK20*Population!$P$39*Population!$C$2+AM19*Population!$P$41*Population!$C$2</f>
        <v>13.87493922158319</v>
      </c>
      <c r="E21" s="12">
        <f>IF(B20&gt;Population!$B$6*Population!$B$15,Population!$B$8,IF(Population!$J$6=1,D21,Population!$B$8*Population!$B$6*0.9/B20))</f>
        <v>11.880918319076509</v>
      </c>
      <c r="F21" s="12">
        <f>IF(B20&gt;Population!$B$6*0.75,Population!$B$8,E21)</f>
        <v>11.880918319076509</v>
      </c>
      <c r="G21" s="15">
        <f>IF(Population!$J$6=1,IF(E21&gt;H20,H20,E21),IF(E21&gt;W20,W20,E21))</f>
        <v>11.880918319076509</v>
      </c>
      <c r="H21" s="15">
        <f t="shared" si="6"/>
        <v>212</v>
      </c>
      <c r="I21" s="15">
        <f t="shared" si="7"/>
        <v>242</v>
      </c>
      <c r="J21" s="12">
        <f t="shared" si="3"/>
        <v>1.1415094339622642</v>
      </c>
      <c r="K21" s="12">
        <f>Z21*Population!$O$28+AA21*Population!$O$29+AB21*Population!$O$30+AC21*Population!$O$31+AD21*Population!$O$32+AE21*Population!$O$33+AF21*Population!$O$34+AG21*Population!$O$35+AH21*Population!$O$36+AI21*Population!$O$37+AJ21*Population!$O$38+AK21*Population!$O$39+AL21*Population!$O$40+AM21*Population!$O$41+AN21*Population!$O$42+AO21*Population!$O$43+AP21*Population!$O$44+AQ21*Population!$O$45</f>
        <v>7.8435023518770617</v>
      </c>
      <c r="L21" s="12">
        <f t="shared" si="8"/>
        <v>5.6042067542813719E-2</v>
      </c>
      <c r="M21" s="12">
        <f t="shared" si="9"/>
        <v>5.7730086159734935</v>
      </c>
      <c r="N21" s="12">
        <f t="shared" si="0"/>
        <v>0.25554382259767688</v>
      </c>
      <c r="O21" s="12">
        <f t="shared" si="4"/>
        <v>325.72437663085896</v>
      </c>
      <c r="P21" s="12">
        <f t="shared" si="10"/>
        <v>189.63781168457052</v>
      </c>
      <c r="Q21" s="12">
        <f t="shared" si="11"/>
        <v>60.390869708729326</v>
      </c>
      <c r="R21" s="12">
        <f t="shared" si="12"/>
        <v>6.7519369610680391E-2</v>
      </c>
      <c r="S21" s="12">
        <f t="shared" si="1"/>
        <v>0.89451797964420054</v>
      </c>
      <c r="T21" s="12">
        <f>Population!$B$13*MIN(X20:Y20)</f>
        <v>5.7032599777466402</v>
      </c>
      <c r="U21" s="12">
        <f>W20*Population!$B$14</f>
        <v>1.1463379491628751</v>
      </c>
      <c r="V21" s="12">
        <f>AM20*S20*Population!$B$12</f>
        <v>5.975435204492423</v>
      </c>
      <c r="W21" s="12">
        <f t="shared" si="16"/>
        <v>189.63781168457052</v>
      </c>
      <c r="X21" s="14">
        <f t="shared" si="14"/>
        <v>22.798852832890873</v>
      </c>
      <c r="Y21" s="13">
        <f t="shared" si="15"/>
        <v>22.798852832890873</v>
      </c>
      <c r="Z21" s="18">
        <f>(G21+Population!$B$11*Z20)*Population!M$28</f>
        <v>82.510246050019816</v>
      </c>
      <c r="AA21" s="18">
        <f>Z20*Population!$B$12*Population!$M$28+AA20*Population!$B$11*Population!$M$29</f>
        <v>81.037328366174236</v>
      </c>
      <c r="AB21" s="14">
        <f>(AA20*Population!$B$12*0.5*Population!$M$29)+(AB20*Population!$B$11*Population!M$30)</f>
        <v>39.308004440606091</v>
      </c>
      <c r="AC21" s="13">
        <f>(AA20*Population!$B$12*0.5*Population!$M$29)+(AC20*Population!$B$11*Population!M$30)</f>
        <v>39.308004440606091</v>
      </c>
      <c r="AD21" s="14">
        <f>(AB20*Population!$B$12*Population!M$30)+(AD20*Population!$B$11*Population!M$32)</f>
        <v>38.849214773542066</v>
      </c>
      <c r="AE21" s="13">
        <f>(AC20*Population!$B$12*Population!M$30)+(AE20*Population!$B$11*Population!M$32)</f>
        <v>38.849214773542066</v>
      </c>
      <c r="AF21" s="14">
        <f>(AD20*Population!$B$12*Population!M$32)+(AF20*Population!$B$11*Population!M$34)</f>
        <v>39.967399708458046</v>
      </c>
      <c r="AG21" s="13">
        <f>(AE20*Population!$B$12*Population!M$32)+(AG20*Population!$B$11*Population!M$34)</f>
        <v>39.967399708458046</v>
      </c>
      <c r="AH21" s="14">
        <f>(AF20*Population!$B$12*Population!M$34)+(AH20*Population!$B$11*Population!M$36)</f>
        <v>42.416566453443238</v>
      </c>
      <c r="AI21" s="13">
        <f>(AG20*Population!$B$12*Population!M$34)+(AI20*Population!$B$11*Population!M$36)</f>
        <v>42.416566453443238</v>
      </c>
      <c r="AJ21" s="14">
        <f>(AH20*Population!$B$12*Population!M$36)+(AJ20*Population!$B$11*Population!M$38)</f>
        <v>44.853128340858262</v>
      </c>
      <c r="AK21" s="13">
        <f>(AI20*Population!$B$12*Population!M$36)+(AK20*Population!$B$11*Population!M$38)</f>
        <v>44.853128340858262</v>
      </c>
      <c r="AL21" s="14">
        <f>(AJ20*Population!$B$12*Population!M$38)+(AL20*Population!$B$11*Population!M$40)</f>
        <v>46.350355241159782</v>
      </c>
      <c r="AM21" s="13">
        <f>(AK20*Population!$B$12*Population!M$38)+(AM20*Population!$B$11*Population!M$40)</f>
        <v>46.350355241159782</v>
      </c>
      <c r="AN21" s="15">
        <f>(AL20+AM20)*Population!$B$12*Population!$M$40+AN20*Population!$B$11*Population!$M$42</f>
        <v>88.647089183159991</v>
      </c>
      <c r="AO21" s="5">
        <f>AN20*Population!M$42*Population!$B$12+AO20*Population!$B$11*Population!M$43</f>
        <v>77.097171853016846</v>
      </c>
      <c r="AP21" s="5">
        <f>AO20*Population!M$43*Population!$B$12+AP20*Population!$B$11*Population!M$44</f>
        <v>50.362015920634526</v>
      </c>
      <c r="AQ21" s="5">
        <f>(AP20*Population!$B$12+AQ20)*Population!M$45</f>
        <v>63.940843021314329</v>
      </c>
    </row>
    <row r="22" spans="1:43">
      <c r="A22">
        <f>A21+Population!$B$2</f>
        <v>19</v>
      </c>
      <c r="B22" s="4">
        <f t="shared" si="5"/>
        <v>951</v>
      </c>
      <c r="C22" s="59">
        <f t="shared" si="2"/>
        <v>410</v>
      </c>
      <c r="D22" s="12">
        <f>AC21*Population!$P$31*Population!$C$2+AE21*Population!$P$33*Population!$C$2+AG21*Population!$P$35*Population!$C$2+AI21*Population!$P$37*Population!$C$2+AK21*Population!$P$39*Population!$C$2+AM20*Population!$P$41*Population!$C$2</f>
        <v>13.79329006303522</v>
      </c>
      <c r="E22" s="12">
        <f>IF(B21&gt;Population!$B$6*Population!$B$15,Population!$B$8,IF(Population!$J$6=1,D22,Population!$B$8*Population!$B$6*0.9/B21))</f>
        <v>11.880918319076509</v>
      </c>
      <c r="F22" s="12">
        <f>IF(B21&gt;Population!$B$6*0.75,Population!$B$8,E22)</f>
        <v>11.880918319076509</v>
      </c>
      <c r="G22" s="15">
        <f>IF(Population!$J$6=1,IF(E22&gt;H21,H21,E22),IF(E22&gt;W21,W21,E22))</f>
        <v>11.880918319076509</v>
      </c>
      <c r="H22" s="15">
        <f t="shared" si="6"/>
        <v>211</v>
      </c>
      <c r="I22" s="15">
        <f t="shared" si="7"/>
        <v>242</v>
      </c>
      <c r="J22" s="12">
        <f t="shared" si="3"/>
        <v>1.1469194312796209</v>
      </c>
      <c r="K22" s="12">
        <f>Z22*Population!$O$28+AA22*Population!$O$29+AB22*Population!$O$30+AC22*Population!$O$31+AD22*Population!$O$32+AE22*Population!$O$33+AF22*Population!$O$34+AG22*Population!$O$35+AH22*Population!$O$36+AI22*Population!$O$37+AJ22*Population!$O$38+AK22*Population!$O$39+AL22*Population!$O$40+AM22*Population!$O$41+AN22*Population!$O$42+AO22*Population!$O$43+AP22*Population!$O$44+AQ22*Population!$O$45</f>
        <v>8.1070224120573506</v>
      </c>
      <c r="L22" s="12">
        <f t="shared" si="8"/>
        <v>5.6307669758656441E-2</v>
      </c>
      <c r="M22" s="12">
        <f t="shared" si="9"/>
        <v>5.7428658516847273</v>
      </c>
      <c r="N22" s="12">
        <f t="shared" si="0"/>
        <v>0.25446898002103052</v>
      </c>
      <c r="O22" s="12">
        <f t="shared" si="4"/>
        <v>332.44666856208931</v>
      </c>
      <c r="P22" s="12">
        <f t="shared" si="10"/>
        <v>188.27666571895534</v>
      </c>
      <c r="Q22" s="12">
        <f t="shared" si="11"/>
        <v>63.940843021314329</v>
      </c>
      <c r="R22" s="12">
        <f t="shared" si="12"/>
        <v>7.1021719738540892E-2</v>
      </c>
      <c r="S22" s="12">
        <f t="shared" si="1"/>
        <v>0.89230647260168405</v>
      </c>
      <c r="T22" s="12">
        <f>Population!$B$13*MIN(X21:Y21)</f>
        <v>5.6997132082227182</v>
      </c>
      <c r="U22" s="12">
        <f>W21*Population!$B$14</f>
        <v>1.1378268701074232</v>
      </c>
      <c r="V22" s="12">
        <f>AM21*S21*Population!$B$12</f>
        <v>5.9230323037304613</v>
      </c>
      <c r="W22" s="12">
        <f t="shared" si="16"/>
        <v>188.27666571895534</v>
      </c>
      <c r="X22" s="14">
        <f t="shared" si="14"/>
        <v>22.790999215215322</v>
      </c>
      <c r="Y22" s="13">
        <f t="shared" si="15"/>
        <v>22.790999215215322</v>
      </c>
      <c r="Z22" s="18">
        <f>(G22+Population!$B$11*Z21)*Population!M$28</f>
        <v>82.570449143487693</v>
      </c>
      <c r="AA22" s="18">
        <f>Z21*Population!$B$12*Population!$M$28+AA21*Population!$B$11*Population!$M$29</f>
        <v>81.227330956267792</v>
      </c>
      <c r="AB22" s="14">
        <f>(AA21*Population!$B$12*0.5*Population!$M$29)+(AB21*Population!$B$11*Population!M$30)</f>
        <v>39.447544422555879</v>
      </c>
      <c r="AC22" s="13">
        <f>(AA21*Population!$B$12*0.5*Population!$M$29)+(AC21*Population!$B$11*Population!M$30)</f>
        <v>39.447544422555879</v>
      </c>
      <c r="AD22" s="14">
        <f>(AB21*Population!$B$12*Population!M$30)+(AD21*Population!$B$11*Population!M$32)</f>
        <v>38.877670391935929</v>
      </c>
      <c r="AE22" s="13">
        <f>(AC21*Population!$B$12*Population!M$30)+(AE21*Population!$B$11*Population!M$32)</f>
        <v>38.877670391935929</v>
      </c>
      <c r="AF22" s="14">
        <f>(AD21*Population!$B$12*Population!M$32)+(AF21*Population!$B$11*Population!M$34)</f>
        <v>39.736595039709954</v>
      </c>
      <c r="AG22" s="13">
        <f>(AE21*Population!$B$12*Population!M$32)+(AG21*Population!$B$11*Population!M$34)</f>
        <v>39.736595039709954</v>
      </c>
      <c r="AH22" s="14">
        <f>(AF21*Population!$B$12*Population!M$34)+(AH21*Population!$B$11*Population!M$36)</f>
        <v>41.985917453733371</v>
      </c>
      <c r="AI22" s="13">
        <f>(AG21*Population!$B$12*Population!M$34)+(AI21*Population!$B$11*Population!M$36)</f>
        <v>41.985917453733371</v>
      </c>
      <c r="AJ22" s="14">
        <f>(AH21*Population!$B$12*Population!M$36)+(AJ21*Population!$B$11*Population!M$38)</f>
        <v>44.419598378930786</v>
      </c>
      <c r="AK22" s="13">
        <f>(AI21*Population!$B$12*Population!M$36)+(AK21*Population!$B$11*Population!M$38)</f>
        <v>44.419598378930786</v>
      </c>
      <c r="AL22" s="14">
        <f>(AJ21*Population!$B$12*Population!M$38)+(AL21*Population!$B$11*Population!M$40)</f>
        <v>46.047883669860624</v>
      </c>
      <c r="AM22" s="13">
        <f>(AK21*Population!$B$12*Population!M$38)+(AM21*Population!$B$11*Population!M$40)</f>
        <v>46.047883669860624</v>
      </c>
      <c r="AN22" s="15">
        <f>(AL21+AM21)*Population!$B$12*Population!$M$40+AN21*Population!$B$11*Population!$M$42</f>
        <v>88.649873119669437</v>
      </c>
      <c r="AO22" s="5">
        <f>AN21*Population!M$42*Population!$B$12+AO21*Population!$B$11*Population!M$43</f>
        <v>78.17624313272529</v>
      </c>
      <c r="AP22" s="5">
        <f>AO21*Population!M$43*Population!$B$12+AP21*Population!$B$11*Population!M$44</f>
        <v>51.920654087860989</v>
      </c>
      <c r="AQ22" s="5">
        <f>(AP21*Population!$B$12+AQ21)*Population!M$45</f>
        <v>67.541655471352385</v>
      </c>
    </row>
    <row r="23" spans="1:43">
      <c r="A23">
        <f>A22+Population!$B$2</f>
        <v>20</v>
      </c>
      <c r="B23" s="4">
        <f t="shared" si="5"/>
        <v>954</v>
      </c>
      <c r="C23" s="59">
        <f t="shared" si="2"/>
        <v>406</v>
      </c>
      <c r="D23" s="12">
        <f>AC22*Population!$P$31*Population!$C$2+AE22*Population!$P$33*Population!$C$2+AG22*Population!$P$35*Population!$C$2+AI22*Population!$P$37*Population!$C$2+AK22*Population!$P$39*Population!$C$2+AM21*Population!$P$41*Population!$C$2</f>
        <v>13.718515281966672</v>
      </c>
      <c r="E23" s="12">
        <f>IF(B22&gt;Population!$B$6*Population!$B$15,Population!$B$8,IF(Population!$J$6=1,D23,Population!$B$8*Population!$B$6*0.9/B22))</f>
        <v>11.880918319076509</v>
      </c>
      <c r="F23" s="12">
        <f>IF(B22&gt;Population!$B$6*0.75,Population!$B$8,E23)</f>
        <v>11.880918319076509</v>
      </c>
      <c r="G23" s="15">
        <f>IF(Population!$J$6=1,IF(E23&gt;H22,H22,E23),IF(E23&gt;W22,W22,E23))</f>
        <v>11.880918319076509</v>
      </c>
      <c r="H23" s="15">
        <f t="shared" si="6"/>
        <v>209</v>
      </c>
      <c r="I23" s="15">
        <f t="shared" si="7"/>
        <v>243</v>
      </c>
      <c r="J23" s="12">
        <f t="shared" si="3"/>
        <v>1.1626794258373205</v>
      </c>
      <c r="K23" s="12">
        <f>Z23*Population!$O$28+AA23*Population!$O$29+AB23*Population!$O$30+AC23*Population!$O$31+AD23*Population!$O$32+AE23*Population!$O$33+AF23*Population!$O$34+AG23*Population!$O$35+AH23*Population!$O$36+AI23*Population!$O$37+AJ23*Population!$O$38+AK23*Population!$O$39+AL23*Population!$O$40+AM23*Population!$O$41+AN23*Population!$O$42+AO23*Population!$O$43+AP23*Population!$O$44+AQ23*Population!$O$45</f>
        <v>8.3635154332345625</v>
      </c>
      <c r="L23" s="12">
        <f t="shared" si="8"/>
        <v>5.6846499134337362E-2</v>
      </c>
      <c r="M23" s="12">
        <f t="shared" si="9"/>
        <v>5.7166545789867849</v>
      </c>
      <c r="N23" s="12">
        <f t="shared" si="0"/>
        <v>0.25471698113207547</v>
      </c>
      <c r="O23" s="12">
        <f t="shared" si="4"/>
        <v>337.05015312831659</v>
      </c>
      <c r="P23" s="12">
        <f t="shared" si="10"/>
        <v>186.9749234358417</v>
      </c>
      <c r="Q23" s="12">
        <f t="shared" si="11"/>
        <v>67.541655471352385</v>
      </c>
      <c r="R23" s="12">
        <f t="shared" si="12"/>
        <v>7.4603740626223408E-2</v>
      </c>
      <c r="S23" s="12">
        <f t="shared" si="1"/>
        <v>0.89461685854469719</v>
      </c>
      <c r="T23" s="12">
        <f>Population!$B$13*MIN(X22:Y22)</f>
        <v>5.6977498038038306</v>
      </c>
      <c r="U23" s="12">
        <f>W22*Population!$B$14</f>
        <v>1.129659994313732</v>
      </c>
      <c r="V23" s="12">
        <f>AM22*S22*Population!$B$12</f>
        <v>5.8698320926037173</v>
      </c>
      <c r="W23" s="12">
        <f t="shared" si="16"/>
        <v>186.9749234358417</v>
      </c>
      <c r="X23" s="14">
        <f t="shared" si="14"/>
        <v>22.789440457425314</v>
      </c>
      <c r="Y23" s="13">
        <f t="shared" si="15"/>
        <v>22.789440457425314</v>
      </c>
      <c r="Z23" s="18">
        <f>(G23+Population!$B$11*Z22)*Population!M$28</f>
        <v>82.622030844355066</v>
      </c>
      <c r="AA23" s="18">
        <f>Z22*Population!$B$12*Population!$M$28+AA22*Population!$B$11*Population!$M$29</f>
        <v>81.398750625993031</v>
      </c>
      <c r="AB23" s="14">
        <f>(AA22*Population!$B$12*0.5*Population!$M$29)+(AB22*Population!$B$11*Population!M$30)</f>
        <v>39.580604697104057</v>
      </c>
      <c r="AC23" s="13">
        <f>(AA22*Population!$B$12*0.5*Population!$M$29)+(AC22*Population!$B$11*Population!M$30)</f>
        <v>39.580604697104057</v>
      </c>
      <c r="AD23" s="14">
        <f>(AB22*Population!$B$12*Population!M$30)+(AD22*Population!$B$11*Population!M$32)</f>
        <v>38.92195296357653</v>
      </c>
      <c r="AE23" s="13">
        <f>(AC22*Population!$B$12*Population!M$30)+(AE22*Population!$B$11*Population!M$32)</f>
        <v>38.92195296357653</v>
      </c>
      <c r="AF23" s="14">
        <f>(AD22*Population!$B$12*Population!M$32)+(AF22*Population!$B$11*Population!M$34)</f>
        <v>39.543203519350669</v>
      </c>
      <c r="AG23" s="13">
        <f>(AE22*Population!$B$12*Population!M$32)+(AG22*Population!$B$11*Population!M$34)</f>
        <v>39.543203519350669</v>
      </c>
      <c r="AH23" s="14">
        <f>(AF22*Population!$B$12*Population!M$34)+(AH22*Population!$B$11*Population!M$36)</f>
        <v>41.584589675795279</v>
      </c>
      <c r="AI23" s="13">
        <f>(AG22*Population!$B$12*Population!M$34)+(AI22*Population!$B$11*Population!M$36)</f>
        <v>41.584589675795279</v>
      </c>
      <c r="AJ23" s="14">
        <f>(AH22*Population!$B$12*Population!M$36)+(AJ22*Population!$B$11*Population!M$38)</f>
        <v>43.987311570354514</v>
      </c>
      <c r="AK23" s="13">
        <f>(AI22*Population!$B$12*Population!M$36)+(AK22*Population!$B$11*Population!M$38)</f>
        <v>43.987311570354514</v>
      </c>
      <c r="AL23" s="14">
        <f>(AJ22*Population!$B$12*Population!M$38)+(AL22*Population!$B$11*Population!M$40)</f>
        <v>45.727306164190026</v>
      </c>
      <c r="AM23" s="13">
        <f>(AK22*Population!$B$12*Population!M$38)+(AM22*Population!$B$11*Population!M$40)</f>
        <v>45.727306164190026</v>
      </c>
      <c r="AN23" s="15">
        <f>(AL22+AM22)*Population!$B$12*Population!$M$40+AN22*Population!$B$11*Population!$M$42</f>
        <v>88.565987529105712</v>
      </c>
      <c r="AO23" s="5">
        <f>AN22*Population!M$42*Population!$B$12+AO22*Population!$B$11*Population!M$43</f>
        <v>79.094850537089997</v>
      </c>
      <c r="AP23" s="5">
        <f>AO22*Population!M$43*Population!$B$12+AP22*Population!$B$11*Population!M$44</f>
        <v>53.342171604295217</v>
      </c>
      <c r="AQ23" s="5">
        <f>(AP22*Population!$B$12+AQ22)*Population!M$45</f>
        <v>71.171968557417131</v>
      </c>
    </row>
    <row r="24" spans="1:43">
      <c r="A24">
        <f>A23+Population!$B$2</f>
        <v>21</v>
      </c>
      <c r="B24" s="4">
        <f t="shared" si="5"/>
        <v>958</v>
      </c>
      <c r="C24" s="59">
        <f t="shared" si="2"/>
        <v>405</v>
      </c>
      <c r="D24" s="12">
        <f>AC23*Population!$P$31*Population!$C$2+AE23*Population!$P$33*Population!$C$2+AG23*Population!$P$35*Population!$C$2+AI23*Population!$P$37*Population!$C$2+AK23*Population!$P$39*Population!$C$2+AM22*Population!$P$41*Population!$C$2</f>
        <v>13.650365580299065</v>
      </c>
      <c r="E24" s="12">
        <f>IF(B23&gt;Population!$B$6*Population!$B$15,Population!$B$8,IF(Population!$J$6=1,D24,Population!$B$8*Population!$B$6*0.9/B23))</f>
        <v>11.880918319076509</v>
      </c>
      <c r="F24" s="12">
        <f>IF(B23&gt;Population!$B$6*0.75,Population!$B$8,E24)</f>
        <v>11.880918319076509</v>
      </c>
      <c r="G24" s="15">
        <f>IF(Population!$J$6=1,IF(E24&gt;H23,H23,E24),IF(E24&gt;W23,W23,E24))</f>
        <v>11.880918319076509</v>
      </c>
      <c r="H24" s="15">
        <f t="shared" si="6"/>
        <v>208</v>
      </c>
      <c r="I24" s="15">
        <f t="shared" si="7"/>
        <v>243</v>
      </c>
      <c r="J24" s="12">
        <f t="shared" si="3"/>
        <v>1.1682692307692308</v>
      </c>
      <c r="K24" s="12">
        <f>Z24*Population!$O$28+AA24*Population!$O$29+AB24*Population!$O$30+AC24*Population!$O$31+AD24*Population!$O$32+AE24*Population!$O$33+AF24*Population!$O$34+AG24*Population!$O$35+AH24*Population!$O$36+AI24*Population!$O$37+AJ24*Population!$O$38+AK24*Population!$O$39+AL24*Population!$O$40+AM24*Population!$O$41+AN24*Population!$O$42+AO24*Population!$O$43+AP24*Population!$O$44+AQ24*Population!$O$45</f>
        <v>8.6122591331157956</v>
      </c>
      <c r="L24" s="12">
        <f t="shared" si="8"/>
        <v>5.7119799610944752E-2</v>
      </c>
      <c r="M24" s="12">
        <f t="shared" si="9"/>
        <v>5.694124859452411</v>
      </c>
      <c r="N24" s="12">
        <f t="shared" si="0"/>
        <v>0.25365344467640921</v>
      </c>
      <c r="O24" s="12">
        <f t="shared" si="4"/>
        <v>343.58725169235385</v>
      </c>
      <c r="P24" s="12">
        <f t="shared" si="10"/>
        <v>185.70637415382308</v>
      </c>
      <c r="Q24" s="12">
        <f t="shared" si="11"/>
        <v>71.171968557417131</v>
      </c>
      <c r="R24" s="12">
        <f t="shared" si="12"/>
        <v>7.8091537434554298E-2</v>
      </c>
      <c r="S24" s="12">
        <f t="shared" si="1"/>
        <v>0.89281910650876484</v>
      </c>
      <c r="T24" s="12">
        <f>Population!$B$13*MIN(X23:Y23)</f>
        <v>5.6973601143563286</v>
      </c>
      <c r="U24" s="12">
        <f>W23*Population!$B$14</f>
        <v>1.1218495406150502</v>
      </c>
      <c r="V24" s="12">
        <f>AM23*S23*Population!$B$12</f>
        <v>5.844059855759892</v>
      </c>
      <c r="W24" s="12">
        <f t="shared" si="16"/>
        <v>185.70637415382308</v>
      </c>
      <c r="X24" s="14">
        <f t="shared" si="14"/>
        <v>22.821933209923628</v>
      </c>
      <c r="Y24" s="13">
        <f t="shared" si="15"/>
        <v>22.821933209923628</v>
      </c>
      <c r="Z24" s="18">
        <f>(G24+Population!$B$11*Z23)*Population!M$28</f>
        <v>82.666225780380913</v>
      </c>
      <c r="AA24" s="18">
        <f>Z23*Population!$B$12*Population!$M$28+AA23*Population!$B$11*Population!$M$29</f>
        <v>81.553014534635054</v>
      </c>
      <c r="AB24" s="14">
        <f>(AA23*Population!$B$12*0.5*Population!$M$29)+(AB23*Population!$B$11*Population!M$30)</f>
        <v>39.706789176931061</v>
      </c>
      <c r="AC24" s="13">
        <f>(AA23*Population!$B$12*0.5*Population!$M$29)+(AC23*Population!$B$11*Population!M$30)</f>
        <v>39.706789176931061</v>
      </c>
      <c r="AD24" s="14">
        <f>(AB23*Population!$B$12*Population!M$30)+(AD23*Population!$B$11*Population!M$32)</f>
        <v>38.978863776463022</v>
      </c>
      <c r="AE24" s="13">
        <f>(AC23*Population!$B$12*Population!M$30)+(AE23*Population!$B$11*Population!M$32)</f>
        <v>38.978863776463022</v>
      </c>
      <c r="AF24" s="14">
        <f>(AD23*Population!$B$12*Population!M$32)+(AF23*Population!$B$11*Population!M$34)</f>
        <v>39.384077679137619</v>
      </c>
      <c r="AG24" s="13">
        <f>(AE23*Population!$B$12*Population!M$32)+(AG23*Population!$B$11*Population!M$34)</f>
        <v>39.384077679137619</v>
      </c>
      <c r="AH24" s="14">
        <f>(AF23*Population!$B$12*Population!M$34)+(AH23*Population!$B$11*Population!M$36)</f>
        <v>41.213680592900005</v>
      </c>
      <c r="AI24" s="13">
        <f>(AG23*Population!$B$12*Population!M$34)+(AI23*Population!$B$11*Population!M$36)</f>
        <v>41.213680592900005</v>
      </c>
      <c r="AJ24" s="14">
        <f>(AH23*Population!$B$12*Population!M$36)+(AJ23*Population!$B$11*Population!M$38)</f>
        <v>43.560268979493479</v>
      </c>
      <c r="AK24" s="13">
        <f>(AI23*Population!$B$12*Population!M$36)+(AK23*Population!$B$11*Population!M$38)</f>
        <v>43.560268979493479</v>
      </c>
      <c r="AL24" s="14">
        <f>(AJ23*Population!$B$12*Population!M$38)+(AL23*Population!$B$11*Population!M$40)</f>
        <v>45.391416335752588</v>
      </c>
      <c r="AM24" s="13">
        <f>(AK23*Population!$B$12*Population!M$38)+(AM23*Population!$B$11*Population!M$40)</f>
        <v>45.391416335752588</v>
      </c>
      <c r="AN24" s="15">
        <f>(AL23+AM23)*Population!$B$12*Population!$M$40+AN23*Population!$B$11*Population!$M$42</f>
        <v>88.403189169975406</v>
      </c>
      <c r="AO24" s="5">
        <f>AN23*Population!M$42*Population!$B$12+AO23*Population!$B$11*Population!M$43</f>
        <v>79.864623049099478</v>
      </c>
      <c r="AP24" s="5">
        <f>AO23*Population!M$43*Population!$B$12+AP23*Population!$B$11*Population!M$44</f>
        <v>54.629337634253346</v>
      </c>
      <c r="AQ24" s="5">
        <f>(AP23*Population!$B$12+AQ23)*Population!M$45</f>
        <v>74.811692862303019</v>
      </c>
    </row>
    <row r="25" spans="1:43">
      <c r="A25">
        <f>A24+Population!$B$2</f>
        <v>22</v>
      </c>
      <c r="B25" s="4">
        <f t="shared" si="5"/>
        <v>961</v>
      </c>
      <c r="C25" s="59">
        <f t="shared" si="2"/>
        <v>402</v>
      </c>
      <c r="D25" s="12">
        <f>AC24*Population!$P$31*Population!$C$2+AE24*Population!$P$33*Population!$C$2+AG24*Population!$P$35*Population!$C$2+AI24*Population!$P$37*Population!$C$2+AK24*Population!$P$39*Population!$C$2+AM23*Population!$P$41*Population!$C$2</f>
        <v>13.588563889558053</v>
      </c>
      <c r="E25" s="12">
        <f>IF(B24&gt;Population!$B$6*Population!$B$15,Population!$B$8,IF(Population!$J$6=1,D25,Population!$B$8*Population!$B$6*0.9/B24))</f>
        <v>11.880918319076509</v>
      </c>
      <c r="F25" s="12">
        <f>IF(B24&gt;Population!$B$6*0.75,Population!$B$8,E25)</f>
        <v>11.880918319076509</v>
      </c>
      <c r="G25" s="15">
        <f>IF(Population!$J$6=1,IF(E25&gt;H24,H24,E25),IF(E25&gt;W24,W24,E25))</f>
        <v>11.880918319076509</v>
      </c>
      <c r="H25" s="15">
        <f t="shared" si="6"/>
        <v>207</v>
      </c>
      <c r="I25" s="15">
        <f t="shared" si="7"/>
        <v>244</v>
      </c>
      <c r="J25" s="12">
        <f t="shared" si="3"/>
        <v>1.1787439613526569</v>
      </c>
      <c r="K25" s="12">
        <f>Z25*Population!$O$28+AA25*Population!$O$29+AB25*Population!$O$30+AC25*Population!$O$31+AD25*Population!$O$32+AE25*Population!$O$33+AF25*Population!$O$34+AG25*Population!$O$35+AH25*Population!$O$36+AI25*Population!$O$37+AJ25*Population!$O$38+AK25*Population!$O$39+AL25*Population!$O$40+AM25*Population!$O$41+AN25*Population!$O$42+AO25*Population!$O$43+AP25*Population!$O$44+AQ25*Population!$O$45</f>
        <v>8.8526492299240367</v>
      </c>
      <c r="L25" s="12">
        <f t="shared" si="8"/>
        <v>5.7395740671867194E-2</v>
      </c>
      <c r="M25" s="12">
        <f t="shared" si="9"/>
        <v>5.6750169438691112</v>
      </c>
      <c r="N25" s="12">
        <f t="shared" si="0"/>
        <v>0.25390218522372526</v>
      </c>
      <c r="O25" s="12">
        <f t="shared" si="4"/>
        <v>347.98371122753906</v>
      </c>
      <c r="P25" s="12">
        <f t="shared" si="10"/>
        <v>184.50814438623047</v>
      </c>
      <c r="Q25" s="12">
        <f t="shared" si="11"/>
        <v>74.811692862303019</v>
      </c>
      <c r="R25" s="12">
        <f t="shared" si="12"/>
        <v>8.1625524969416843E-2</v>
      </c>
      <c r="S25" s="12">
        <f t="shared" si="1"/>
        <v>0.89134369268710367</v>
      </c>
      <c r="T25" s="12">
        <f>Population!$B$13*MIN(X24:Y24)</f>
        <v>5.7054833024809071</v>
      </c>
      <c r="U25" s="12">
        <f>W24*Population!$B$14</f>
        <v>1.1142382449229384</v>
      </c>
      <c r="V25" s="12">
        <f>AM24*S24*Population!$B$12</f>
        <v>5.7894748251505677</v>
      </c>
      <c r="W25" s="12">
        <f t="shared" si="16"/>
        <v>184.50814438623047</v>
      </c>
      <c r="X25" s="14">
        <f t="shared" si="14"/>
        <v>22.852436015857904</v>
      </c>
      <c r="Y25" s="13">
        <f t="shared" si="15"/>
        <v>22.852436015857904</v>
      </c>
      <c r="Z25" s="18">
        <f>(G25+Population!$B$11*Z24)*Population!M$28</f>
        <v>82.704091774279618</v>
      </c>
      <c r="AA25" s="18">
        <f>Z24*Population!$B$12*Population!$M$28+AA24*Population!$B$11*Population!$M$29</f>
        <v>81.691521990128962</v>
      </c>
      <c r="AB25" s="14">
        <f>(AA24*Population!$B$12*0.5*Population!$M$29)+(AB24*Population!$B$11*Population!M$30)</f>
        <v>39.825860599179293</v>
      </c>
      <c r="AC25" s="13">
        <f>(AA24*Population!$B$12*0.5*Population!$M$29)+(AC24*Population!$B$11*Population!M$30)</f>
        <v>39.825860599179293</v>
      </c>
      <c r="AD25" s="14">
        <f>(AB24*Population!$B$12*Population!M$30)+(AD24*Population!$B$11*Population!M$32)</f>
        <v>39.045607160364256</v>
      </c>
      <c r="AE25" s="13">
        <f>(AC24*Population!$B$12*Population!M$30)+(AE24*Population!$B$11*Population!M$32)</f>
        <v>39.045607160364256</v>
      </c>
      <c r="AF25" s="14">
        <f>(AD24*Population!$B$12*Population!M$32)+(AF24*Population!$B$11*Population!M$34)</f>
        <v>39.256068345606579</v>
      </c>
      <c r="AG25" s="13">
        <f>(AE24*Population!$B$12*Population!M$32)+(AG24*Population!$B$11*Population!M$34)</f>
        <v>39.256068345606579</v>
      </c>
      <c r="AH25" s="14">
        <f>(AF24*Population!$B$12*Population!M$34)+(AH24*Population!$B$11*Population!M$36)</f>
        <v>40.873680315280502</v>
      </c>
      <c r="AI25" s="13">
        <f>(AG24*Population!$B$12*Population!M$34)+(AI24*Population!$B$11*Population!M$36)</f>
        <v>40.873680315280502</v>
      </c>
      <c r="AJ25" s="14">
        <f>(AH24*Population!$B$12*Population!M$36)+(AJ24*Population!$B$11*Population!M$38)</f>
        <v>43.14204998635411</v>
      </c>
      <c r="AK25" s="13">
        <f>(AI24*Population!$B$12*Population!M$36)+(AK24*Population!$B$11*Population!M$38)</f>
        <v>43.14204998635411</v>
      </c>
      <c r="AL25" s="14">
        <f>(AJ24*Population!$B$12*Population!M$38)+(AL24*Population!$B$11*Population!M$40)</f>
        <v>45.043174594482927</v>
      </c>
      <c r="AM25" s="13">
        <f>(AK24*Population!$B$12*Population!M$38)+(AM24*Population!$B$11*Population!M$40)</f>
        <v>45.043174594482927</v>
      </c>
      <c r="AN25" s="15">
        <f>(AL24+AM24)*Population!$B$12*Population!$M$40+AN24*Population!$B$11*Population!$M$42</f>
        <v>88.168875131962068</v>
      </c>
      <c r="AO25" s="5">
        <f>AN24*Population!M$42*Population!$B$12+AO24*Population!$B$11*Population!M$43</f>
        <v>80.496556177207736</v>
      </c>
      <c r="AP25" s="5">
        <f>AO24*Population!M$43*Population!$B$12+AP24*Population!$B$11*Population!M$44</f>
        <v>55.786055073402679</v>
      </c>
      <c r="AQ25" s="5">
        <f>(AP24*Population!$B$12+AQ24)*Population!M$45</f>
        <v>78.442129495609592</v>
      </c>
    </row>
    <row r="26" spans="1:43">
      <c r="A26">
        <f>A25+Population!$B$2</f>
        <v>23</v>
      </c>
      <c r="B26" s="4">
        <f t="shared" si="5"/>
        <v>964</v>
      </c>
      <c r="C26" s="59">
        <f t="shared" si="2"/>
        <v>400</v>
      </c>
      <c r="D26" s="12">
        <f>AC25*Population!$P$31*Population!$C$2+AE25*Population!$P$33*Population!$C$2+AG25*Population!$P$35*Population!$C$2+AI25*Population!$P$37*Population!$C$2+AK25*Population!$P$39*Population!$C$2+AM24*Population!$P$41*Population!$C$2</f>
        <v>13.532812162801365</v>
      </c>
      <c r="E26" s="12">
        <f>IF(B25&gt;Population!$B$6*Population!$B$15,Population!$B$8,IF(Population!$J$6=1,D26,Population!$B$8*Population!$B$6*0.9/B25))</f>
        <v>11.880918319076509</v>
      </c>
      <c r="F26" s="12">
        <f>IF(B25&gt;Population!$B$6*0.75,Population!$B$8,E26)</f>
        <v>11.880918319076509</v>
      </c>
      <c r="G26" s="15">
        <f>IF(Population!$J$6=1,IF(E26&gt;H25,H25,E26),IF(E26&gt;W25,W25,E26))</f>
        <v>11.880918319076509</v>
      </c>
      <c r="H26" s="15">
        <f t="shared" si="6"/>
        <v>206</v>
      </c>
      <c r="I26" s="15">
        <f t="shared" si="7"/>
        <v>244</v>
      </c>
      <c r="J26" s="12">
        <f t="shared" si="3"/>
        <v>1.1844660194174756</v>
      </c>
      <c r="K26" s="12">
        <f>Z26*Population!$O$28+AA26*Population!$O$29+AB26*Population!$O$30+AC26*Population!$O$31+AD26*Population!$O$32+AE26*Population!$O$33+AF26*Population!$O$34+AG26*Population!$O$35+AH26*Population!$O$36+AI26*Population!$O$37+AJ26*Population!$O$38+AK26*Population!$O$39+AL26*Population!$O$40+AM26*Population!$O$41+AN26*Population!$O$42+AO26*Population!$O$43+AP26*Population!$O$44+AQ26*Population!$O$45</f>
        <v>9.08418953644723</v>
      </c>
      <c r="L26" s="12">
        <f t="shared" si="8"/>
        <v>5.7674360772216063E-2</v>
      </c>
      <c r="M26" s="12">
        <f t="shared" si="9"/>
        <v>5.6590665128322684</v>
      </c>
      <c r="N26" s="12">
        <f t="shared" si="0"/>
        <v>0.25311203319502074</v>
      </c>
      <c r="O26" s="12">
        <f t="shared" si="4"/>
        <v>353.2427194017867</v>
      </c>
      <c r="P26" s="12">
        <f t="shared" si="10"/>
        <v>183.37864029910665</v>
      </c>
      <c r="Q26" s="12">
        <f t="shared" si="11"/>
        <v>78.442129495609592</v>
      </c>
      <c r="R26" s="12">
        <f t="shared" si="12"/>
        <v>8.511001413241466E-2</v>
      </c>
      <c r="S26" s="12">
        <f t="shared" si="1"/>
        <v>0.89018757426750805</v>
      </c>
      <c r="T26" s="12">
        <f>Population!$B$13*MIN(X25:Y25)</f>
        <v>5.7131090039644761</v>
      </c>
      <c r="U26" s="12">
        <f>W25*Population!$B$14</f>
        <v>1.1070488663173828</v>
      </c>
      <c r="V26" s="12">
        <f>AM25*S25*Population!$B$12</f>
        <v>5.735564224770906</v>
      </c>
      <c r="W26" s="12">
        <f t="shared" si="16"/>
        <v>183.37864029910665</v>
      </c>
      <c r="X26" s="14">
        <f t="shared" si="14"/>
        <v>22.88316701284333</v>
      </c>
      <c r="Y26" s="13">
        <f t="shared" si="15"/>
        <v>22.88316701284333</v>
      </c>
      <c r="Z26" s="18">
        <f>(G26+Population!$B$11*Z25)*Population!M$28</f>
        <v>82.73653516311262</v>
      </c>
      <c r="AA26" s="18">
        <f>Z25*Population!$B$12*Population!$M$28+AA25*Population!$B$11*Population!$M$29</f>
        <v>81.815623185586631</v>
      </c>
      <c r="AB26" s="14">
        <f>(AA25*Population!$B$12*0.5*Population!$M$29)+(AB25*Population!$B$11*Population!M$30)</f>
        <v>39.9377157175729</v>
      </c>
      <c r="AC26" s="13">
        <f>(AA25*Population!$B$12*0.5*Population!$M$29)+(AC25*Population!$B$11*Population!M$30)</f>
        <v>39.9377157175729</v>
      </c>
      <c r="AD26" s="14">
        <f>(AB25*Population!$B$12*Population!M$30)+(AD25*Population!$B$11*Population!M$32)</f>
        <v>39.119755247781555</v>
      </c>
      <c r="AE26" s="13">
        <f>(AC25*Population!$B$12*Population!M$30)+(AE25*Population!$B$11*Population!M$32)</f>
        <v>39.119755247781555</v>
      </c>
      <c r="AF26" s="14">
        <f>(AD25*Population!$B$12*Population!M$32)+(AF25*Population!$B$11*Population!M$34)</f>
        <v>39.156082409005506</v>
      </c>
      <c r="AG26" s="13">
        <f>(AE25*Population!$B$12*Population!M$32)+(AG25*Population!$B$11*Population!M$34)</f>
        <v>39.156082409005506</v>
      </c>
      <c r="AH26" s="14">
        <f>(AF25*Population!$B$12*Population!M$34)+(AH25*Population!$B$11*Population!M$36)</f>
        <v>40.564559112690574</v>
      </c>
      <c r="AI26" s="13">
        <f>(AG25*Population!$B$12*Population!M$34)+(AI25*Population!$B$11*Population!M$36)</f>
        <v>40.564559112690574</v>
      </c>
      <c r="AJ26" s="14">
        <f>(AH25*Population!$B$12*Population!M$36)+(AJ25*Population!$B$11*Population!M$38)</f>
        <v>42.735786621622431</v>
      </c>
      <c r="AK26" s="13">
        <f>(AI25*Population!$B$12*Population!M$36)+(AK25*Population!$B$11*Population!M$38)</f>
        <v>42.735786621622431</v>
      </c>
      <c r="AL26" s="14">
        <f>(AJ25*Population!$B$12*Population!M$38)+(AL25*Population!$B$11*Population!M$40)</f>
        <v>44.685623920849913</v>
      </c>
      <c r="AM26" s="13">
        <f>(AK25*Population!$B$12*Population!M$38)+(AM25*Population!$B$11*Population!M$40)</f>
        <v>44.685623920849913</v>
      </c>
      <c r="AN26" s="15">
        <f>(AL25+AM25)*Population!$B$12*Population!$M$40+AN25*Population!$B$11*Population!$M$42</f>
        <v>87.870184017436458</v>
      </c>
      <c r="AO26" s="5">
        <f>AN25*Population!M$42*Population!$B$12+AO25*Population!$B$11*Population!M$43</f>
        <v>81.001055379541896</v>
      </c>
      <c r="AP26" s="5">
        <f>AO25*Population!M$43*Population!$B$12+AP25*Population!$B$11*Population!M$44</f>
        <v>56.81705965306989</v>
      </c>
      <c r="AQ26" s="5">
        <f>(AP25*Population!$B$12+AQ25)*Population!M$45</f>
        <v>82.046053623647737</v>
      </c>
    </row>
    <row r="27" spans="1:43">
      <c r="A27">
        <f>A26+Population!$B$2</f>
        <v>24</v>
      </c>
      <c r="B27" s="4">
        <f t="shared" si="5"/>
        <v>967</v>
      </c>
      <c r="C27" s="59">
        <f t="shared" si="2"/>
        <v>398</v>
      </c>
      <c r="D27" s="12">
        <f>AC26*Population!$P$31*Population!$C$2+AE26*Population!$P$33*Population!$C$2+AG26*Population!$P$35*Population!$C$2+AI26*Population!$P$37*Population!$C$2+AK26*Population!$P$39*Population!$C$2+AM25*Population!$P$41*Population!$C$2</f>
        <v>13.482797379591961</v>
      </c>
      <c r="E27" s="12">
        <f>IF(B26&gt;Population!$B$6*Population!$B$15,Population!$B$8,IF(Population!$J$6=1,D27,Population!$B$8*Population!$B$6*0.9/B26))</f>
        <v>11.880918319076509</v>
      </c>
      <c r="F27" s="12">
        <f>IF(B26&gt;Population!$B$6*0.75,Population!$B$8,E27)</f>
        <v>11.880918319076509</v>
      </c>
      <c r="G27" s="15">
        <f>IF(Population!$J$6=1,IF(E27&gt;H26,H26,E27),IF(E27&gt;W26,W26,E27))</f>
        <v>11.880918319076509</v>
      </c>
      <c r="H27" s="15">
        <f t="shared" si="6"/>
        <v>205</v>
      </c>
      <c r="I27" s="15">
        <f t="shared" si="7"/>
        <v>244</v>
      </c>
      <c r="J27" s="12">
        <f t="shared" si="3"/>
        <v>1.1902439024390243</v>
      </c>
      <c r="K27" s="12">
        <f>Z27*Population!$O$28+AA27*Population!$O$29+AB27*Population!$O$30+AC27*Population!$O$31+AD27*Population!$O$32+AE27*Population!$O$33+AF27*Population!$O$34+AG27*Population!$O$35+AH27*Population!$O$36+AI27*Population!$O$37+AJ27*Population!$O$38+AK27*Population!$O$39+AL27*Population!$O$40+AM27*Population!$O$41+AN27*Population!$O$42+AO27*Population!$O$43+AP27*Population!$O$44+AQ27*Population!$O$45</f>
        <v>9.3064827269726109</v>
      </c>
      <c r="L27" s="12">
        <f t="shared" si="8"/>
        <v>5.7955699117446385E-2</v>
      </c>
      <c r="M27" s="12">
        <f t="shared" si="9"/>
        <v>5.6460091428049921</v>
      </c>
      <c r="N27" s="12">
        <f t="shared" si="0"/>
        <v>0.25232678386763185</v>
      </c>
      <c r="O27" s="12">
        <f t="shared" si="4"/>
        <v>358.36699019687762</v>
      </c>
      <c r="P27" s="12">
        <f t="shared" si="10"/>
        <v>182.31650490156119</v>
      </c>
      <c r="Q27" s="12">
        <f t="shared" si="11"/>
        <v>82.046053623647737</v>
      </c>
      <c r="R27" s="12">
        <f t="shared" si="12"/>
        <v>8.8529217131254861E-2</v>
      </c>
      <c r="S27" s="12">
        <f t="shared" si="1"/>
        <v>0.88934880439785946</v>
      </c>
      <c r="T27" s="12">
        <f>Population!$B$13*MIN(X26:Y26)</f>
        <v>5.7207917532108326</v>
      </c>
      <c r="U27" s="12">
        <f>W26*Population!$B$14</f>
        <v>1.10027184179464</v>
      </c>
      <c r="V27" s="12">
        <f>AM26*S26*Population!$B$12</f>
        <v>5.6826553089616452</v>
      </c>
      <c r="W27" s="12">
        <f t="shared" si="16"/>
        <v>182.31650490156119</v>
      </c>
      <c r="X27" s="14">
        <f t="shared" si="14"/>
        <v>22.915655336756174</v>
      </c>
      <c r="Y27" s="13">
        <f t="shared" si="15"/>
        <v>22.915655336756174</v>
      </c>
      <c r="Z27" s="18">
        <f>(G27+Population!$B$11*Z26)*Population!M$28</f>
        <v>82.764332491813022</v>
      </c>
      <c r="AA27" s="18">
        <f>Z26*Population!$B$12*Population!$M$28+AA26*Population!$B$11*Population!$M$29</f>
        <v>81.926604593150813</v>
      </c>
      <c r="AB27" s="14">
        <f>(AA26*Population!$B$12*0.5*Population!$M$29)+(AB26*Population!$B$11*Population!M$30)</f>
        <v>40.042362540307039</v>
      </c>
      <c r="AC27" s="13">
        <f>(AA26*Population!$B$12*0.5*Population!$M$29)+(AC26*Population!$B$11*Population!M$30)</f>
        <v>40.042362540307039</v>
      </c>
      <c r="AD27" s="14">
        <f>(AB26*Population!$B$12*Population!M$30)+(AD26*Population!$B$11*Population!M$32)</f>
        <v>39.199214257239511</v>
      </c>
      <c r="AE27" s="13">
        <f>(AC26*Population!$B$12*Population!M$30)+(AE26*Population!$B$11*Population!M$32)</f>
        <v>39.199214257239511</v>
      </c>
      <c r="AF27" s="14">
        <f>(AD26*Population!$B$12*Population!M$32)+(AF26*Population!$B$11*Population!M$34)</f>
        <v>39.081127215101674</v>
      </c>
      <c r="AG27" s="13">
        <f>(AE26*Population!$B$12*Population!M$32)+(AG26*Population!$B$11*Population!M$34)</f>
        <v>39.081127215101674</v>
      </c>
      <c r="AH27" s="14">
        <f>(AF26*Population!$B$12*Population!M$34)+(AH26*Population!$B$11*Population!M$36)</f>
        <v>40.285850526563635</v>
      </c>
      <c r="AI27" s="13">
        <f>(AG26*Population!$B$12*Population!M$34)+(AI26*Population!$B$11*Population!M$36)</f>
        <v>40.285850526563635</v>
      </c>
      <c r="AJ27" s="14">
        <f>(AH26*Population!$B$12*Population!M$36)+(AJ26*Population!$B$11*Population!M$38)</f>
        <v>42.34415408957824</v>
      </c>
      <c r="AK27" s="13">
        <f>(AI26*Population!$B$12*Population!M$36)+(AK26*Population!$B$11*Population!M$38)</f>
        <v>42.34415408957824</v>
      </c>
      <c r="AL27" s="14">
        <f>(AJ26*Population!$B$12*Population!M$38)+(AL26*Population!$B$11*Population!M$40)</f>
        <v>44.321814149834317</v>
      </c>
      <c r="AM27" s="13">
        <f>(AK26*Population!$B$12*Population!M$38)+(AM26*Population!$B$11*Population!M$40)</f>
        <v>44.321814149834317</v>
      </c>
      <c r="AN27" s="15">
        <f>(AL26+AM26)*Population!$B$12*Population!$M$40+AN26*Population!$B$11*Population!$M$42</f>
        <v>87.514058020814872</v>
      </c>
      <c r="AO27" s="5">
        <f>AN26*Population!M$42*Population!$B$12+AO26*Population!$B$11*Population!M$43</f>
        <v>81.387987364507339</v>
      </c>
      <c r="AP27" s="5">
        <f>AO26*Population!M$43*Population!$B$12+AP26*Population!$B$11*Population!M$44</f>
        <v>57.727681217774432</v>
      </c>
      <c r="AQ27" s="5">
        <f>(AP26*Population!$B$12+AQ26)*Population!M$45</f>
        <v>85.607752965923453</v>
      </c>
    </row>
    <row r="28" spans="1:43">
      <c r="A28">
        <f>A27+Population!$B$2</f>
        <v>25</v>
      </c>
      <c r="B28" s="4">
        <f t="shared" si="5"/>
        <v>970</v>
      </c>
      <c r="C28" s="59">
        <f t="shared" si="2"/>
        <v>396</v>
      </c>
      <c r="D28" s="12">
        <f>AC27*Population!$P$31*Population!$C$2+AE27*Population!$P$33*Population!$C$2+AG27*Population!$P$35*Population!$C$2+AI27*Population!$P$37*Population!$C$2+AK27*Population!$P$39*Population!$C$2+AM26*Population!$P$41*Population!$C$2</f>
        <v>13.438196808689725</v>
      </c>
      <c r="E28" s="12">
        <f>IF(B27&gt;Population!$B$6*Population!$B$15,Population!$B$8,IF(Population!$J$6=1,D28,Population!$B$8*Population!$B$6*0.9/B27))</f>
        <v>11.880918319076509</v>
      </c>
      <c r="F28" s="12">
        <f>IF(B27&gt;Population!$B$6*0.75,Population!$B$8,E28)</f>
        <v>11.880918319076509</v>
      </c>
      <c r="G28" s="15">
        <f>IF(Population!$J$6=1,IF(E28&gt;H27,H27,E28),IF(E28&gt;W27,W27,E28))</f>
        <v>11.880918319076509</v>
      </c>
      <c r="H28" s="15">
        <f t="shared" si="6"/>
        <v>204</v>
      </c>
      <c r="I28" s="15">
        <f t="shared" si="7"/>
        <v>245</v>
      </c>
      <c r="J28" s="12">
        <f t="shared" si="3"/>
        <v>1.2009803921568627</v>
      </c>
      <c r="K28" s="12">
        <f>Z28*Population!$O$28+AA28*Population!$O$29+AB28*Population!$O$30+AC28*Population!$O$31+AD28*Population!$O$32+AE28*Population!$O$33+AF28*Population!$O$34+AG28*Population!$O$35+AH28*Population!$O$36+AI28*Population!$O$37+AJ28*Population!$O$38+AK28*Population!$O$39+AL28*Population!$O$40+AM28*Population!$O$41+AN28*Population!$O$42+AO28*Population!$O$43+AP28*Population!$O$44+AQ28*Population!$O$45</f>
        <v>9.5192217974228619</v>
      </c>
      <c r="L28" s="12">
        <f t="shared" si="8"/>
        <v>5.8239795681747593E-2</v>
      </c>
      <c r="M28" s="12">
        <f t="shared" si="9"/>
        <v>5.6355840430505388</v>
      </c>
      <c r="N28" s="12">
        <f t="shared" si="0"/>
        <v>0.25257731958762886</v>
      </c>
      <c r="O28" s="12">
        <f t="shared" si="4"/>
        <v>362.35911842243235</v>
      </c>
      <c r="P28" s="12">
        <f t="shared" si="10"/>
        <v>181.32044078878383</v>
      </c>
      <c r="Q28" s="12">
        <f t="shared" si="11"/>
        <v>85.607752965923453</v>
      </c>
      <c r="R28" s="12">
        <f t="shared" si="12"/>
        <v>9.1869105120065894E-2</v>
      </c>
      <c r="S28" s="12">
        <f t="shared" si="1"/>
        <v>0.88882569014109725</v>
      </c>
      <c r="T28" s="12">
        <f>Population!$B$13*MIN(X27:Y27)</f>
        <v>5.7289138341890435</v>
      </c>
      <c r="U28" s="12">
        <f>W27*Population!$B$14</f>
        <v>1.0938990294093671</v>
      </c>
      <c r="V28" s="12">
        <f>AM27*S27*Population!$B$12</f>
        <v>5.6310789175570397</v>
      </c>
      <c r="W28" s="12">
        <f t="shared" si="16"/>
        <v>181.32044078878383</v>
      </c>
      <c r="X28" s="14">
        <f t="shared" si="14"/>
        <v>22.950934470939814</v>
      </c>
      <c r="Y28" s="13">
        <f t="shared" si="15"/>
        <v>22.950934470939814</v>
      </c>
      <c r="Z28" s="18">
        <f>(G28+Population!$B$11*Z27)*Population!M$28</f>
        <v>82.788149100085846</v>
      </c>
      <c r="AA28" s="18">
        <f>Z27*Population!$B$12*Population!$M$28+AA27*Population!$B$11*Population!$M$29</f>
        <v>82.025679545075079</v>
      </c>
      <c r="AB28" s="14">
        <f>(AA27*Population!$B$12*0.5*Population!$M$29)+(AB27*Population!$B$11*Population!M$30)</f>
        <v>40.139899795199355</v>
      </c>
      <c r="AC28" s="13">
        <f>(AA27*Population!$B$12*0.5*Population!$M$29)+(AC27*Population!$B$11*Population!M$30)</f>
        <v>40.139899795199355</v>
      </c>
      <c r="AD28" s="14">
        <f>(AB27*Population!$B$12*Population!M$30)+(AD27*Population!$B$11*Population!M$32)</f>
        <v>39.28219237216004</v>
      </c>
      <c r="AE28" s="13">
        <f>(AC27*Population!$B$12*Population!M$30)+(AE27*Population!$B$11*Population!M$32)</f>
        <v>39.28219237216004</v>
      </c>
      <c r="AF28" s="14">
        <f>(AD27*Population!$B$12*Population!M$32)+(AF27*Population!$B$11*Population!M$34)</f>
        <v>39.028343730163499</v>
      </c>
      <c r="AG28" s="13">
        <f>(AE27*Population!$B$12*Population!M$32)+(AG27*Population!$B$11*Population!M$34)</f>
        <v>39.028343730163499</v>
      </c>
      <c r="AH28" s="14">
        <f>(AF27*Population!$B$12*Population!M$34)+(AH27*Population!$B$11*Population!M$36)</f>
        <v>40.03672880173778</v>
      </c>
      <c r="AI28" s="13">
        <f>(AG27*Population!$B$12*Population!M$34)+(AI27*Population!$B$11*Population!M$36)</f>
        <v>40.03672880173778</v>
      </c>
      <c r="AJ28" s="14">
        <f>(AH27*Population!$B$12*Population!M$36)+(AJ27*Population!$B$11*Population!M$38)</f>
        <v>41.969374510844304</v>
      </c>
      <c r="AK28" s="13">
        <f>(AI27*Population!$B$12*Population!M$36)+(AK27*Population!$B$11*Population!M$38)</f>
        <v>41.969374510844304</v>
      </c>
      <c r="AL28" s="14">
        <f>(AJ27*Population!$B$12*Population!M$38)+(AL27*Population!$B$11*Population!M$40)</f>
        <v>43.954735844818011</v>
      </c>
      <c r="AM28" s="13">
        <f>(AK27*Population!$B$12*Population!M$38)+(AM27*Population!$B$11*Population!M$40)</f>
        <v>43.954735844818011</v>
      </c>
      <c r="AN28" s="15">
        <f>(AL27+AM27)*Population!$B$12*Population!$M$40+AN27*Population!$B$11*Population!$M$42</f>
        <v>87.1072741620453</v>
      </c>
      <c r="AO28" s="5">
        <f>AN27*Population!M$42*Population!$B$12+AO27*Population!$B$11*Population!M$43</f>
        <v>81.666732548121715</v>
      </c>
      <c r="AP28" s="5">
        <f>AO27*Population!M$43*Population!$B$12+AP27*Population!$B$11*Population!M$44</f>
        <v>58.523656718861353</v>
      </c>
      <c r="AQ28" s="5">
        <f>(AP27*Population!$B$12+AQ27)*Population!M$45</f>
        <v>89.113031966463922</v>
      </c>
    </row>
    <row r="29" spans="1:43">
      <c r="A29">
        <f>A28+Population!$B$2</f>
        <v>26</v>
      </c>
      <c r="B29" s="4">
        <f t="shared" si="5"/>
        <v>972</v>
      </c>
      <c r="C29" s="59">
        <f t="shared" si="2"/>
        <v>394</v>
      </c>
      <c r="D29" s="12">
        <f>AC28*Population!$P$31*Population!$C$2+AE28*Population!$P$33*Population!$C$2+AG28*Population!$P$35*Population!$C$2+AI28*Population!$P$37*Population!$C$2+AK28*Population!$P$39*Population!$C$2+AM27*Population!$P$41*Population!$C$2</f>
        <v>13.398682580259468</v>
      </c>
      <c r="E29" s="12">
        <f>IF(B28&gt;Population!$B$6*Population!$B$15,Population!$B$8,IF(Population!$J$6=1,D29,Population!$B$8*Population!$B$6*0.9/B28))</f>
        <v>11.880918319076509</v>
      </c>
      <c r="F29" s="12">
        <f>IF(B28&gt;Population!$B$6*0.75,Population!$B$8,E29)</f>
        <v>11.880918319076509</v>
      </c>
      <c r="G29" s="15">
        <f>IF(Population!$J$6=1,IF(E29&gt;H28,H28,E29),IF(E29&gt;W28,W28,E29))</f>
        <v>11.880918319076509</v>
      </c>
      <c r="H29" s="15">
        <f t="shared" si="6"/>
        <v>203</v>
      </c>
      <c r="I29" s="15">
        <f t="shared" si="7"/>
        <v>245</v>
      </c>
      <c r="J29" s="12">
        <f t="shared" si="3"/>
        <v>1.2068965517241379</v>
      </c>
      <c r="K29" s="12">
        <f>Z29*Population!$O$28+AA29*Population!$O$29+AB29*Population!$O$30+AC29*Population!$O$31+AD29*Population!$O$32+AE29*Population!$O$33+AF29*Population!$O$34+AG29*Population!$O$35+AH29*Population!$O$36+AI29*Population!$O$37+AJ29*Population!$O$38+AK29*Population!$O$39+AL29*Population!$O$40+AM29*Population!$O$41+AN29*Population!$O$42+AO29*Population!$O$43+AP29*Population!$O$44+AQ29*Population!$O$45</f>
        <v>9.7221821985525061</v>
      </c>
      <c r="L29" s="12">
        <f t="shared" si="8"/>
        <v>5.8526691226977873E-2</v>
      </c>
      <c r="M29" s="12">
        <f t="shared" si="9"/>
        <v>5.6275371186159324</v>
      </c>
      <c r="N29" s="12">
        <f t="shared" si="0"/>
        <v>0.25205761316872427</v>
      </c>
      <c r="O29" s="12">
        <f t="shared" si="4"/>
        <v>366.22181031135358</v>
      </c>
      <c r="P29" s="12">
        <f t="shared" si="10"/>
        <v>180.38909484432321</v>
      </c>
      <c r="Q29" s="12">
        <f t="shared" si="11"/>
        <v>89.113031966463922</v>
      </c>
      <c r="R29" s="12">
        <f t="shared" si="12"/>
        <v>9.5215216449449094E-2</v>
      </c>
      <c r="S29" s="12">
        <f t="shared" si="1"/>
        <v>0.8886162307602129</v>
      </c>
      <c r="T29" s="12">
        <f>Population!$B$13*MIN(X28:Y28)</f>
        <v>5.7377336177349534</v>
      </c>
      <c r="U29" s="12">
        <f>W28*Population!$B$14</f>
        <v>1.0879226447327031</v>
      </c>
      <c r="V29" s="12">
        <f>AM28*S28*Population!$B$12</f>
        <v>5.5811569174628559</v>
      </c>
      <c r="W29" s="12">
        <f t="shared" si="16"/>
        <v>180.38909484432321</v>
      </c>
      <c r="X29" s="14">
        <f t="shared" si="14"/>
        <v>22.989680071882617</v>
      </c>
      <c r="Y29" s="13">
        <f t="shared" si="15"/>
        <v>22.989680071882617</v>
      </c>
      <c r="Z29" s="18">
        <f>(G29+Population!$B$11*Z28)*Population!M$28</f>
        <v>82.808555047568589</v>
      </c>
      <c r="AA29" s="18">
        <f>Z28*Population!$B$12*Population!$M$28+AA28*Population!$B$11*Population!$M$29</f>
        <v>82.113982816373692</v>
      </c>
      <c r="AB29" s="14">
        <f>(AA28*Population!$B$12*0.5*Population!$M$29)+(AB28*Population!$B$11*Population!M$30)</f>
        <v>40.230498672536555</v>
      </c>
      <c r="AC29" s="13">
        <f>(AA28*Population!$B$12*0.5*Population!$M$29)+(AC28*Population!$B$11*Population!M$30)</f>
        <v>40.230498672536555</v>
      </c>
      <c r="AD29" s="14">
        <f>(AB28*Population!$B$12*Population!M$30)+(AD28*Population!$B$11*Population!M$32)</f>
        <v>39.36716930395297</v>
      </c>
      <c r="AE29" s="13">
        <f>(AC28*Population!$B$12*Population!M$30)+(AE28*Population!$B$11*Population!M$32)</f>
        <v>39.36716930395297</v>
      </c>
      <c r="AF29" s="14">
        <f>(AD28*Population!$B$12*Population!M$32)+(AF28*Population!$B$11*Population!M$34)</f>
        <v>38.99503032914842</v>
      </c>
      <c r="AG29" s="13">
        <f>(AE28*Population!$B$12*Population!M$32)+(AG28*Population!$B$11*Population!M$34)</f>
        <v>38.99503032914842</v>
      </c>
      <c r="AH29" s="14">
        <f>(AF28*Population!$B$12*Population!M$34)+(AH28*Population!$B$11*Population!M$36)</f>
        <v>39.816079857833188</v>
      </c>
      <c r="AI29" s="13">
        <f>(AG28*Population!$B$12*Population!M$34)+(AI28*Population!$B$11*Population!M$36)</f>
        <v>39.816079857833188</v>
      </c>
      <c r="AJ29" s="14">
        <f>(AH28*Population!$B$12*Population!M$36)+(AJ28*Population!$B$11*Population!M$38)</f>
        <v>41.613231164734195</v>
      </c>
      <c r="AK29" s="13">
        <f>(AI28*Population!$B$12*Population!M$36)+(AK28*Population!$B$11*Population!M$38)</f>
        <v>41.613231164734195</v>
      </c>
      <c r="AL29" s="14">
        <f>(AJ28*Population!$B$12*Population!M$38)+(AL28*Population!$B$11*Population!M$40)</f>
        <v>43.58726426053704</v>
      </c>
      <c r="AM29" s="13">
        <f>(AK28*Population!$B$12*Population!M$38)+(AM28*Population!$B$11*Population!M$40)</f>
        <v>43.58726426053704</v>
      </c>
      <c r="AN29" s="15">
        <f>(AL28+AM28)*Population!$B$12*Population!$M$40+AN28*Population!$B$11*Population!$M$42</f>
        <v>86.656452007173542</v>
      </c>
      <c r="AO29" s="5">
        <f>AN28*Population!M$42*Population!$B$12+AO28*Population!$B$11*Population!M$43</f>
        <v>81.846234121036787</v>
      </c>
      <c r="AP29" s="5">
        <f>AO28*Population!M$43*Population!$B$12+AP28*Population!$B$11*Population!M$44</f>
        <v>59.210985460813532</v>
      </c>
      <c r="AQ29" s="5">
        <f>(AP28*Population!$B$12+AQ28)*Population!M$45</f>
        <v>92.549190388864517</v>
      </c>
    </row>
    <row r="30" spans="1:43">
      <c r="A30">
        <f>A29+Population!$B$2</f>
        <v>27</v>
      </c>
      <c r="B30" s="4">
        <f t="shared" si="5"/>
        <v>974</v>
      </c>
      <c r="C30" s="59">
        <f t="shared" si="2"/>
        <v>393</v>
      </c>
      <c r="D30" s="12">
        <f>AC29*Population!$P$31*Population!$C$2+AE29*Population!$P$33*Population!$C$2+AG29*Population!$P$35*Population!$C$2+AI29*Population!$P$37*Population!$C$2+AK29*Population!$P$39*Population!$C$2+AM28*Population!$P$41*Population!$C$2</f>
        <v>13.363925622549695</v>
      </c>
      <c r="E30" s="12">
        <f>IF(B29&gt;Population!$B$6*Population!$B$15,Population!$B$8,IF(Population!$J$6=1,D30,Population!$B$8*Population!$B$6*0.9/B29))</f>
        <v>11.880918319076509</v>
      </c>
      <c r="F30" s="12">
        <f>IF(B29&gt;Population!$B$6*0.75,Population!$B$8,E30)</f>
        <v>11.880918319076509</v>
      </c>
      <c r="G30" s="15">
        <f>IF(Population!$J$6=1,IF(E30&gt;H29,H29,E30),IF(E30&gt;W29,W29,E30))</f>
        <v>11.880918319076509</v>
      </c>
      <c r="H30" s="15">
        <f t="shared" si="6"/>
        <v>202</v>
      </c>
      <c r="I30" s="15">
        <f t="shared" si="7"/>
        <v>245</v>
      </c>
      <c r="J30" s="12">
        <f t="shared" si="3"/>
        <v>1.2128712871287128</v>
      </c>
      <c r="K30" s="12">
        <f>Z30*Population!$O$28+AA30*Population!$O$29+AB30*Population!$O$30+AC30*Population!$O$31+AD30*Population!$O$32+AE30*Population!$O$33+AF30*Population!$O$34+AG30*Population!$O$35+AH30*Population!$O$36+AI30*Population!$O$37+AJ30*Population!$O$38+AK30*Population!$O$39+AL30*Population!$O$40+AM30*Population!$O$41+AN30*Population!$O$42+AO30*Population!$O$43+AP30*Population!$O$44+AQ30*Population!$O$45</f>
        <v>9.9152145964933904</v>
      </c>
      <c r="L30" s="12">
        <f t="shared" si="8"/>
        <v>5.8816427322160934E-2</v>
      </c>
      <c r="M30" s="12">
        <f t="shared" si="9"/>
        <v>5.6216234200816189</v>
      </c>
      <c r="N30" s="12">
        <f t="shared" si="0"/>
        <v>0.25154004106776179</v>
      </c>
      <c r="O30" s="12">
        <f t="shared" si="4"/>
        <v>369.95802526392924</v>
      </c>
      <c r="P30" s="12">
        <f t="shared" si="10"/>
        <v>179.52098736803538</v>
      </c>
      <c r="Q30" s="12">
        <f t="shared" si="11"/>
        <v>92.549190388864517</v>
      </c>
      <c r="R30" s="12">
        <f t="shared" si="12"/>
        <v>9.8465075316554226E-2</v>
      </c>
      <c r="S30" s="12">
        <f t="shared" si="1"/>
        <v>0.88871775924769991</v>
      </c>
      <c r="T30" s="12">
        <f>Population!$B$13*MIN(X29:Y29)</f>
        <v>5.7474200179706543</v>
      </c>
      <c r="U30" s="12">
        <f>W29*Population!$B$14</f>
        <v>1.0823345690659394</v>
      </c>
      <c r="V30" s="12">
        <f>AM29*S29*Population!$B$12</f>
        <v>5.5331929251925374</v>
      </c>
      <c r="W30" s="12">
        <f t="shared" si="16"/>
        <v>179.52098736803538</v>
      </c>
      <c r="X30" s="14">
        <f t="shared" si="14"/>
        <v>23.032308680783217</v>
      </c>
      <c r="Y30" s="13">
        <f t="shared" si="15"/>
        <v>23.032308680783217</v>
      </c>
      <c r="Z30" s="18">
        <f>(G30+Population!$B$11*Z29)*Population!M$28</f>
        <v>82.826038758426918</v>
      </c>
      <c r="AA30" s="18">
        <f>Z29*Population!$B$12*Population!$M$28+AA29*Population!$B$11*Population!$M$29</f>
        <v>82.192568256522776</v>
      </c>
      <c r="AB30" s="14">
        <f>(AA29*Population!$B$12*0.5*Population!$M$29)+(AB29*Population!$B$11*Population!M$30)</f>
        <v>40.314386804132823</v>
      </c>
      <c r="AC30" s="13">
        <f>(AA29*Population!$B$12*0.5*Population!$M$29)+(AC29*Population!$B$11*Population!M$30)</f>
        <v>40.314386804132823</v>
      </c>
      <c r="AD30" s="14">
        <f>(AB29*Population!$B$12*Population!M$30)+(AD29*Population!$B$11*Population!M$32)</f>
        <v>39.452867622419923</v>
      </c>
      <c r="AE30" s="13">
        <f>(AC29*Population!$B$12*Population!M$30)+(AE29*Population!$B$11*Population!M$32)</f>
        <v>39.452867622419923</v>
      </c>
      <c r="AF30" s="14">
        <f>(AD29*Population!$B$12*Population!M$32)+(AF29*Population!$B$11*Population!M$34)</f>
        <v>38.978658802443576</v>
      </c>
      <c r="AG30" s="13">
        <f>(AE29*Population!$B$12*Population!M$32)+(AG29*Population!$B$11*Population!M$34)</f>
        <v>38.978658802443576</v>
      </c>
      <c r="AH30" s="14">
        <f>(AF29*Population!$B$12*Population!M$34)+(AH29*Population!$B$11*Population!M$36)</f>
        <v>39.622565396850483</v>
      </c>
      <c r="AI30" s="13">
        <f>(AG29*Population!$B$12*Population!M$34)+(AI29*Population!$B$11*Population!M$36)</f>
        <v>39.622565396850483</v>
      </c>
      <c r="AJ30" s="14">
        <f>(AH29*Population!$B$12*Population!M$36)+(AJ29*Population!$B$11*Population!M$38)</f>
        <v>41.277090792841939</v>
      </c>
      <c r="AK30" s="13">
        <f>(AI29*Population!$B$12*Population!M$36)+(AK29*Population!$B$11*Population!M$38)</f>
        <v>41.277090792841939</v>
      </c>
      <c r="AL30" s="14">
        <f>(AJ29*Population!$B$12*Population!M$38)+(AL29*Population!$B$11*Population!M$40)</f>
        <v>43.222113434262681</v>
      </c>
      <c r="AM30" s="13">
        <f>(AK29*Population!$B$12*Population!M$38)+(AM29*Population!$B$11*Population!M$40)</f>
        <v>43.222113434262681</v>
      </c>
      <c r="AN30" s="15">
        <f>(AL29+AM29)*Population!$B$12*Population!$M$40+AN29*Population!$B$11*Population!$M$42</f>
        <v>86.168044258148981</v>
      </c>
      <c r="AO30" s="5">
        <f>AN29*Population!M$42*Population!$B$12+AO29*Population!$B$11*Population!M$43</f>
        <v>81.935040896011031</v>
      </c>
      <c r="AP30" s="5">
        <f>AO29*Population!M$43*Population!$B$12+AP29*Population!$B$11*Population!M$44</f>
        <v>59.79581825366553</v>
      </c>
      <c r="AQ30" s="5">
        <f>(AP29*Population!$B$12+AQ29)*Population!M$45</f>
        <v>95.904983358323818</v>
      </c>
    </row>
    <row r="31" spans="1:43">
      <c r="A31">
        <f>A30+Population!$B$2</f>
        <v>28</v>
      </c>
      <c r="B31" s="4">
        <f t="shared" si="5"/>
        <v>976</v>
      </c>
      <c r="C31" s="59">
        <f t="shared" si="2"/>
        <v>392</v>
      </c>
      <c r="D31" s="12">
        <f>AC30*Population!$P$31*Population!$C$2+AE30*Population!$P$33*Population!$C$2+AG30*Population!$P$35*Population!$C$2+AI30*Population!$P$37*Population!$C$2+AK30*Population!$P$39*Population!$C$2+AM29*Population!$P$41*Population!$C$2</f>
        <v>13.333599018508416</v>
      </c>
      <c r="E31" s="12">
        <f>IF(B30&gt;Population!$B$6*Population!$B$15,Population!$B$8,IF(Population!$J$6=1,D31,Population!$B$8*Population!$B$6*0.9/B30))</f>
        <v>11.880918319076509</v>
      </c>
      <c r="F31" s="12">
        <f>IF(B30&gt;Population!$B$6*0.75,Population!$B$8,E31)</f>
        <v>11.880918319076509</v>
      </c>
      <c r="G31" s="15">
        <f>IF(Population!$J$6=1,IF(E31&gt;H30,H30,E31),IF(E31&gt;W30,W30,E31))</f>
        <v>11.880918319076509</v>
      </c>
      <c r="H31" s="15">
        <f t="shared" si="6"/>
        <v>201</v>
      </c>
      <c r="I31" s="15">
        <f t="shared" si="7"/>
        <v>245</v>
      </c>
      <c r="J31" s="12">
        <f t="shared" si="3"/>
        <v>1.2189054726368158</v>
      </c>
      <c r="K31" s="12">
        <f>Z31*Population!$O$28+AA31*Population!$O$29+AB31*Population!$O$30+AC31*Population!$O$31+AD31*Population!$O$32+AE31*Population!$O$33+AF31*Population!$O$34+AG31*Population!$O$35+AH31*Population!$O$36+AI31*Population!$O$37+AJ31*Population!$O$38+AK31*Population!$O$39+AL31*Population!$O$40+AM31*Population!$O$41+AN31*Population!$O$42+AO31*Population!$O$43+AP31*Population!$O$44+AQ31*Population!$O$45</f>
        <v>10.09823820074924</v>
      </c>
      <c r="L31" s="12">
        <f t="shared" si="8"/>
        <v>5.9109046363564718E-2</v>
      </c>
      <c r="M31" s="12">
        <f t="shared" si="9"/>
        <v>5.6176090431365324</v>
      </c>
      <c r="N31" s="12">
        <f t="shared" si="0"/>
        <v>0.25102459016393441</v>
      </c>
      <c r="O31" s="12">
        <f t="shared" si="4"/>
        <v>373.57105414373916</v>
      </c>
      <c r="P31" s="12">
        <f t="shared" si="10"/>
        <v>178.71447292813042</v>
      </c>
      <c r="Q31" s="12">
        <f t="shared" si="11"/>
        <v>95.904983358323818</v>
      </c>
      <c r="R31" s="12">
        <f t="shared" si="12"/>
        <v>0.10160918892109475</v>
      </c>
      <c r="S31" s="12">
        <f t="shared" si="1"/>
        <v>0.88912673098572348</v>
      </c>
      <c r="T31" s="12">
        <f>Population!$B$13*MIN(X30:Y30)</f>
        <v>5.7580771701958042</v>
      </c>
      <c r="U31" s="12">
        <f>W30*Population!$B$14</f>
        <v>1.0771259242082123</v>
      </c>
      <c r="V31" s="12">
        <f>AM30*S30*Population!$B$12</f>
        <v>5.4874656858925475</v>
      </c>
      <c r="W31" s="12">
        <f t="shared" si="16"/>
        <v>178.71447292813042</v>
      </c>
      <c r="X31" s="14">
        <f t="shared" si="14"/>
        <v>23.07904888912816</v>
      </c>
      <c r="Y31" s="13">
        <f t="shared" si="15"/>
        <v>23.07904888912816</v>
      </c>
      <c r="Z31" s="18">
        <f>(G31+Population!$B$11*Z30)*Population!M$28</f>
        <v>82.841018711974115</v>
      </c>
      <c r="AA31" s="18">
        <f>Z30*Population!$B$12*Population!$M$28+AA30*Population!$B$11*Population!$M$29</f>
        <v>82.262408708383049</v>
      </c>
      <c r="AB31" s="14">
        <f>(AA30*Population!$B$12*0.5*Population!$M$29)+(AB30*Population!$B$11*Population!M$30)</f>
        <v>40.391834375054785</v>
      </c>
      <c r="AC31" s="13">
        <f>(AA30*Population!$B$12*0.5*Population!$M$29)+(AC30*Population!$B$11*Population!M$30)</f>
        <v>40.391834375054785</v>
      </c>
      <c r="AD31" s="14">
        <f>(AB30*Population!$B$12*Population!M$30)+(AD30*Population!$B$11*Population!M$32)</f>
        <v>39.53822591870901</v>
      </c>
      <c r="AE31" s="13">
        <f>(AC30*Population!$B$12*Population!M$30)+(AE30*Population!$B$11*Population!M$32)</f>
        <v>39.53822591870901</v>
      </c>
      <c r="AF31" s="14">
        <f>(AD30*Population!$B$12*Population!M$32)+(AF30*Population!$B$11*Population!M$34)</f>
        <v>38.976883957833302</v>
      </c>
      <c r="AG31" s="13">
        <f>(AE30*Population!$B$12*Population!M$32)+(AG30*Population!$B$11*Population!M$34)</f>
        <v>38.976883957833302</v>
      </c>
      <c r="AH31" s="14">
        <f>(AF30*Population!$B$12*Population!M$34)+(AH30*Population!$B$11*Population!M$36)</f>
        <v>39.454680029324869</v>
      </c>
      <c r="AI31" s="13">
        <f>(AG30*Population!$B$12*Population!M$34)+(AI30*Population!$B$11*Population!M$36)</f>
        <v>39.454680029324869</v>
      </c>
      <c r="AJ31" s="14">
        <f>(AH30*Population!$B$12*Population!M$36)+(AJ30*Population!$B$11*Population!M$38)</f>
        <v>40.961931820343807</v>
      </c>
      <c r="AK31" s="13">
        <f>(AI30*Population!$B$12*Population!M$36)+(AK30*Population!$B$11*Population!M$38)</f>
        <v>40.961931820343807</v>
      </c>
      <c r="AL31" s="14">
        <f>(AJ30*Population!$B$12*Population!M$38)+(AL30*Population!$B$11*Population!M$40)</f>
        <v>42.861800091047584</v>
      </c>
      <c r="AM31" s="13">
        <f>(AK30*Population!$B$12*Population!M$38)+(AM30*Population!$B$11*Population!M$40)</f>
        <v>42.861800091047584</v>
      </c>
      <c r="AN31" s="15">
        <f>(AL30+AM30)*Population!$B$12*Population!$M$40+AN30*Population!$B$11*Population!$M$42</f>
        <v>85.648315653800324</v>
      </c>
      <c r="AO31" s="5">
        <f>AN30*Population!M$42*Population!$B$12+AO30*Population!$B$11*Population!M$43</f>
        <v>81.941342433481026</v>
      </c>
      <c r="AP31" s="5">
        <f>AO30*Population!M$43*Population!$B$12+AP30*Population!$B$11*Population!M$44</f>
        <v>60.28437327749387</v>
      </c>
      <c r="AQ31" s="5">
        <f>(AP30*Population!$B$12+AQ30)*Population!M$45</f>
        <v>99.170568386988478</v>
      </c>
    </row>
    <row r="32" spans="1:43">
      <c r="A32">
        <f>A31+Population!$B$2</f>
        <v>29</v>
      </c>
      <c r="B32" s="4">
        <f t="shared" si="5"/>
        <v>978</v>
      </c>
      <c r="C32" s="59">
        <f t="shared" si="2"/>
        <v>390</v>
      </c>
      <c r="D32" s="12">
        <f>AC31*Population!$P$31*Population!$C$2+AE31*Population!$P$33*Population!$C$2+AG31*Population!$P$35*Population!$C$2+AI31*Population!$P$37*Population!$C$2+AK31*Population!$P$39*Population!$C$2+AM30*Population!$P$41*Population!$C$2</f>
        <v>13.307380836600558</v>
      </c>
      <c r="E32" s="12">
        <f>IF(B31&gt;Population!$B$6*Population!$B$15,Population!$B$8,IF(Population!$J$6=1,D32,Population!$B$8*Population!$B$6*0.9/B31))</f>
        <v>11.880918319076509</v>
      </c>
      <c r="F32" s="12">
        <f>IF(B31&gt;Population!$B$6*0.75,Population!$B$8,E32)</f>
        <v>11.880918319076509</v>
      </c>
      <c r="G32" s="15">
        <f>IF(Population!$J$6=1,IF(E32&gt;H31,H31,E32),IF(E32&gt;W31,W31,E32))</f>
        <v>11.880918319076509</v>
      </c>
      <c r="H32" s="15">
        <f t="shared" si="6"/>
        <v>201</v>
      </c>
      <c r="I32" s="15">
        <f t="shared" si="7"/>
        <v>246</v>
      </c>
      <c r="J32" s="12">
        <f t="shared" si="3"/>
        <v>1.2238805970149254</v>
      </c>
      <c r="K32" s="12">
        <f>Z32*Population!$O$28+AA32*Population!$O$29+AB32*Population!$O$30+AC32*Population!$O$31+AD32*Population!$O$32+AE32*Population!$O$33+AF32*Population!$O$34+AG32*Population!$O$35+AH32*Population!$O$36+AI32*Population!$O$37+AJ32*Population!$O$38+AK32*Population!$O$39+AL32*Population!$O$40+AM32*Population!$O$41+AN32*Population!$O$42+AO32*Population!$O$43+AP32*Population!$O$44+AQ32*Population!$O$45</f>
        <v>10.271234594005492</v>
      </c>
      <c r="L32" s="12">
        <f t="shared" si="8"/>
        <v>5.9109046363564718E-2</v>
      </c>
      <c r="M32" s="12">
        <f t="shared" si="9"/>
        <v>5.6152725410150071</v>
      </c>
      <c r="N32" s="12">
        <f t="shared" si="0"/>
        <v>0.25153374233128833</v>
      </c>
      <c r="O32" s="12">
        <f t="shared" si="4"/>
        <v>376.06455257406026</v>
      </c>
      <c r="P32" s="12">
        <f t="shared" si="10"/>
        <v>177.96772371296987</v>
      </c>
      <c r="Q32" s="12">
        <f t="shared" si="11"/>
        <v>99.170568386988478</v>
      </c>
      <c r="R32" s="12">
        <f t="shared" si="12"/>
        <v>0.10463951294829968</v>
      </c>
      <c r="S32" s="12">
        <f t="shared" si="1"/>
        <v>0.8854115607610441</v>
      </c>
      <c r="T32" s="12">
        <f>Population!$B$13*MIN(X31:Y31)</f>
        <v>5.7697622222820399</v>
      </c>
      <c r="U32" s="12">
        <f>W31*Population!$B$14</f>
        <v>1.0722868375687826</v>
      </c>
      <c r="V32" s="12">
        <f>AM31*S31*Population!$B$12</f>
        <v>5.4442245998738175</v>
      </c>
      <c r="W32" s="12">
        <f t="shared" si="16"/>
        <v>177.96772371296987</v>
      </c>
      <c r="X32" s="14">
        <f t="shared" si="14"/>
        <v>23.129993081437618</v>
      </c>
      <c r="Y32" s="13">
        <f t="shared" si="15"/>
        <v>23.129993081437618</v>
      </c>
      <c r="Z32" s="18">
        <f>(G32+Population!$B$11*Z31)*Population!M$28</f>
        <v>82.853853459133589</v>
      </c>
      <c r="AA32" s="18">
        <f>Z31*Population!$B$12*Population!$M$28+AA31*Population!$B$11*Population!$M$29</f>
        <v>82.324397608131292</v>
      </c>
      <c r="AB32" s="14">
        <f>(AA31*Population!$B$12*0.5*Population!$M$29)+(AB31*Population!$B$11*Population!M$30)</f>
        <v>40.463142224940569</v>
      </c>
      <c r="AC32" s="13">
        <f>(AA31*Population!$B$12*0.5*Population!$M$29)+(AC31*Population!$B$11*Population!M$30)</f>
        <v>40.463142224940569</v>
      </c>
      <c r="AD32" s="14">
        <f>(AB31*Population!$B$12*Population!M$30)+(AD31*Population!$B$11*Population!M$32)</f>
        <v>39.622373841906608</v>
      </c>
      <c r="AE32" s="13">
        <f>(AC31*Population!$B$12*Population!M$30)+(AE31*Population!$B$11*Population!M$32)</f>
        <v>39.622373841906608</v>
      </c>
      <c r="AF32" s="14">
        <f>(AD31*Population!$B$12*Population!M$32)+(AF31*Population!$B$11*Population!M$34)</f>
        <v>38.987548004744866</v>
      </c>
      <c r="AG32" s="13">
        <f>(AE31*Population!$B$12*Population!M$32)+(AG31*Population!$B$11*Population!M$34)</f>
        <v>38.987548004744866</v>
      </c>
      <c r="AH32" s="14">
        <f>(AF31*Population!$B$12*Population!M$34)+(AH31*Population!$B$11*Population!M$36)</f>
        <v>39.310801514663666</v>
      </c>
      <c r="AI32" s="13">
        <f>(AG31*Population!$B$12*Population!M$34)+(AI31*Population!$B$11*Population!M$36)</f>
        <v>39.310801514663666</v>
      </c>
      <c r="AJ32" s="14">
        <f>(AH31*Population!$B$12*Population!M$36)+(AJ31*Population!$B$11*Population!M$38)</f>
        <v>40.668376644451577</v>
      </c>
      <c r="AK32" s="13">
        <f>(AI31*Population!$B$12*Population!M$36)+(AK31*Population!$B$11*Population!M$38)</f>
        <v>40.668376644451577</v>
      </c>
      <c r="AL32" s="14">
        <f>(AJ31*Population!$B$12*Population!M$38)+(AL31*Population!$B$11*Population!M$40)</f>
        <v>42.508616788640779</v>
      </c>
      <c r="AM32" s="13">
        <f>(AK31*Population!$B$12*Population!M$38)+(AM31*Population!$B$11*Population!M$40)</f>
        <v>42.508616788640779</v>
      </c>
      <c r="AN32" s="15">
        <f>(AL31+AM31)*Population!$B$12*Population!$M$40+AN31*Population!$B$11*Population!$M$42</f>
        <v>85.10331472308674</v>
      </c>
      <c r="AO32" s="5">
        <f>AN31*Population!M$42*Population!$B$12+AO31*Population!$B$11*Population!M$43</f>
        <v>81.872995938620008</v>
      </c>
      <c r="AP32" s="5">
        <f>AO31*Population!M$43*Population!$B$12+AP31*Population!$B$11*Population!M$44</f>
        <v>60.682872591132508</v>
      </c>
      <c r="AQ32" s="5">
        <f>(AP31*Population!$B$12+AQ31)*Population!M$45</f>
        <v>102.33744366343709</v>
      </c>
    </row>
    <row r="33" spans="1:43">
      <c r="A33">
        <f>A32+Population!$B$2</f>
        <v>30</v>
      </c>
      <c r="B33" s="4">
        <f t="shared" si="5"/>
        <v>979</v>
      </c>
      <c r="C33" s="59">
        <f t="shared" si="2"/>
        <v>388</v>
      </c>
      <c r="D33" s="12">
        <f>AC32*Population!$P$31*Population!$C$2+AE32*Population!$P$33*Population!$C$2+AG32*Population!$P$35*Population!$C$2+AI32*Population!$P$37*Population!$C$2+AK32*Population!$P$39*Population!$C$2+AM31*Population!$P$41*Population!$C$2</f>
        <v>13.284956487824495</v>
      </c>
      <c r="E33" s="12">
        <f>IF(B32&gt;Population!$B$6*Population!$B$15,Population!$B$8,IF(Population!$J$6=1,D33,Population!$B$8*Population!$B$6*0.9/B32))</f>
        <v>11.880918319076509</v>
      </c>
      <c r="F33" s="12">
        <f>IF(B32&gt;Population!$B$6*0.75,Population!$B$8,E33)</f>
        <v>11.880918319076509</v>
      </c>
      <c r="G33" s="15">
        <f>IF(Population!$J$6=1,IF(E33&gt;H32,H32,E33),IF(E33&gt;W32,W32,E33))</f>
        <v>11.880918319076509</v>
      </c>
      <c r="H33" s="15">
        <f t="shared" si="6"/>
        <v>200</v>
      </c>
      <c r="I33" s="15">
        <f t="shared" si="7"/>
        <v>246</v>
      </c>
      <c r="J33" s="12">
        <f t="shared" si="3"/>
        <v>1.23</v>
      </c>
      <c r="K33" s="12">
        <f>Z33*Population!$O$28+AA33*Population!$O$29+AB33*Population!$O$30+AC33*Population!$O$31+AD33*Population!$O$32+AE33*Population!$O$33+AF33*Population!$O$34+AG33*Population!$O$35+AH33*Population!$O$36+AI33*Population!$O$37+AJ33*Population!$O$38+AK33*Population!$O$39+AL33*Population!$O$40+AM33*Population!$O$41+AN33*Population!$O$42+AO33*Population!$O$43+AP33*Population!$O$44+AQ33*Population!$O$45</f>
        <v>10.434241998437274</v>
      </c>
      <c r="L33" s="12">
        <f t="shared" si="8"/>
        <v>5.9404591595382542E-2</v>
      </c>
      <c r="M33" s="12">
        <f t="shared" si="9"/>
        <v>5.6144059110912279</v>
      </c>
      <c r="N33" s="12">
        <f t="shared" si="0"/>
        <v>0.2512768130745659</v>
      </c>
      <c r="O33" s="12">
        <f t="shared" si="4"/>
        <v>378.38877464264664</v>
      </c>
      <c r="P33" s="12">
        <f t="shared" si="10"/>
        <v>177.30561267867668</v>
      </c>
      <c r="Q33" s="12">
        <f t="shared" si="11"/>
        <v>102.33744366343709</v>
      </c>
      <c r="R33" s="12">
        <f t="shared" si="12"/>
        <v>0.10765922456365828</v>
      </c>
      <c r="S33" s="12">
        <f t="shared" si="1"/>
        <v>0.88652806339338341</v>
      </c>
      <c r="T33" s="12">
        <f>Population!$B$13*MIN(X32:Y32)</f>
        <v>5.7824982703594046</v>
      </c>
      <c r="U33" s="12">
        <f>W32*Population!$B$14</f>
        <v>1.0678063422778192</v>
      </c>
      <c r="V33" s="12">
        <f>AM32*S32*Population!$B$12</f>
        <v>5.3768029623747928</v>
      </c>
      <c r="W33" s="12">
        <f t="shared" si="16"/>
        <v>177.30561267867668</v>
      </c>
      <c r="X33" s="14">
        <f t="shared" si="14"/>
        <v>23.158251421561175</v>
      </c>
      <c r="Y33" s="13">
        <f t="shared" si="15"/>
        <v>23.158251421561175</v>
      </c>
      <c r="Z33" s="18">
        <f>(G33+Population!$B$11*Z32)*Population!M$28</f>
        <v>82.864850204492555</v>
      </c>
      <c r="AA33" s="18">
        <f>Z32*Population!$B$12*Population!$M$28+AA32*Population!$B$11*Population!$M$29</f>
        <v>82.379351786663719</v>
      </c>
      <c r="AB33" s="14">
        <f>(AA32*Population!$B$12*0.5*Population!$M$29)+(AB32*Population!$B$11*Population!M$30)</f>
        <v>40.528631773105133</v>
      </c>
      <c r="AC33" s="13">
        <f>(AA32*Population!$B$12*0.5*Population!$M$29)+(AC32*Population!$B$11*Population!M$30)</f>
        <v>40.528631773105133</v>
      </c>
      <c r="AD33" s="14">
        <f>(AB32*Population!$B$12*Population!M$30)+(AD32*Population!$B$11*Population!M$32)</f>
        <v>39.704609024030262</v>
      </c>
      <c r="AE33" s="13">
        <f>(AC32*Population!$B$12*Population!M$30)+(AE32*Population!$B$11*Population!M$32)</f>
        <v>39.704609024030262</v>
      </c>
      <c r="AF33" s="14">
        <f>(AD32*Population!$B$12*Population!M$32)+(AF32*Population!$B$11*Population!M$34)</f>
        <v>39.008680742155683</v>
      </c>
      <c r="AG33" s="13">
        <f>(AE32*Population!$B$12*Population!M$32)+(AG32*Population!$B$11*Population!M$34)</f>
        <v>39.008680742155683</v>
      </c>
      <c r="AH33" s="14">
        <f>(AF32*Population!$B$12*Population!M$34)+(AH32*Population!$B$11*Population!M$36)</f>
        <v>39.189234366729835</v>
      </c>
      <c r="AI33" s="13">
        <f>(AG32*Population!$B$12*Population!M$34)+(AI32*Population!$B$11*Population!M$36)</f>
        <v>39.189234366729835</v>
      </c>
      <c r="AJ33" s="14">
        <f>(AH32*Population!$B$12*Population!M$36)+(AJ32*Population!$B$11*Population!M$38)</f>
        <v>40.396726420502986</v>
      </c>
      <c r="AK33" s="13">
        <f>(AI32*Population!$B$12*Population!M$36)+(AK32*Population!$B$11*Population!M$38)</f>
        <v>40.396726420502986</v>
      </c>
      <c r="AL33" s="14">
        <f>(AJ32*Population!$B$12*Population!M$38)+(AL32*Population!$B$11*Population!M$40)</f>
        <v>42.164613546819105</v>
      </c>
      <c r="AM33" s="13">
        <f>(AK32*Population!$B$12*Population!M$38)+(AM32*Population!$B$11*Population!M$40)</f>
        <v>42.164613546819105</v>
      </c>
      <c r="AN33" s="15">
        <f>(AL32+AM32)*Population!$B$12*Population!$M$40+AN32*Population!$B$11*Population!$M$42</f>
        <v>84.538842090982769</v>
      </c>
      <c r="AO33" s="5">
        <f>AN32*Population!M$42*Population!$B$12+AO32*Population!$B$11*Population!M$43</f>
        <v>81.737545142819215</v>
      </c>
      <c r="AP33" s="5">
        <f>AO32*Population!M$43*Population!$B$12+AP32*Population!$B$11*Population!M$44</f>
        <v>60.997494275005138</v>
      </c>
      <c r="AQ33" s="5">
        <f>(AP32*Population!$B$12+AQ32)*Population!M$45</f>
        <v>105.39838084782146</v>
      </c>
    </row>
    <row r="34" spans="1:43">
      <c r="A34">
        <f>A33+Population!$B$2</f>
        <v>31</v>
      </c>
      <c r="B34" s="4">
        <f t="shared" si="5"/>
        <v>981</v>
      </c>
      <c r="C34" s="59">
        <f t="shared" si="2"/>
        <v>388</v>
      </c>
      <c r="D34" s="12">
        <f>AC33*Population!$P$31*Population!$C$2+AE33*Population!$P$33*Population!$C$2+AG33*Population!$P$35*Population!$C$2+AI33*Population!$P$37*Population!$C$2+AK33*Population!$P$39*Population!$C$2+AM32*Population!$P$41*Population!$C$2</f>
        <v>13.266020658039018</v>
      </c>
      <c r="E34" s="12">
        <f>IF(B33&gt;Population!$B$6*Population!$B$15,Population!$B$8,IF(Population!$J$6=1,D34,Population!$B$8*Population!$B$6*0.9/B33))</f>
        <v>11.880918319076509</v>
      </c>
      <c r="F34" s="12">
        <f>IF(B33&gt;Population!$B$6*0.75,Population!$B$8,E34)</f>
        <v>11.880918319076509</v>
      </c>
      <c r="G34" s="15">
        <f>IF(Population!$J$6=1,IF(E34&gt;H33,H33,E34),IF(E34&gt;W33,W33,E34))</f>
        <v>11.880918319076509</v>
      </c>
      <c r="H34" s="15">
        <f t="shared" si="6"/>
        <v>199</v>
      </c>
      <c r="I34" s="15">
        <f t="shared" si="7"/>
        <v>246</v>
      </c>
      <c r="J34" s="12">
        <f t="shared" ref="J34:J65" si="17">I34/H34</f>
        <v>1.2361809045226131</v>
      </c>
      <c r="K34" s="12">
        <f>Z34*Population!$O$28+AA34*Population!$O$29+AB34*Population!$O$30+AC34*Population!$O$31+AD34*Population!$O$32+AE34*Population!$O$33+AF34*Population!$O$34+AG34*Population!$O$35+AH34*Population!$O$36+AI34*Population!$O$37+AJ34*Population!$O$38+AK34*Population!$O$39+AL34*Population!$O$40+AM34*Population!$O$41+AN34*Population!$O$42+AO34*Population!$O$43+AP34*Population!$O$44+AQ34*Population!$O$45</f>
        <v>10.587349917621395</v>
      </c>
      <c r="L34" s="12">
        <f t="shared" si="8"/>
        <v>5.9703107131037735E-2</v>
      </c>
      <c r="M34" s="12">
        <f t="shared" si="9"/>
        <v>5.6148152139784173</v>
      </c>
      <c r="N34" s="12">
        <f t="shared" ref="N34:N65" si="18">I34/B34</f>
        <v>0.25076452599388377</v>
      </c>
      <c r="O34" s="12">
        <f t="shared" si="4"/>
        <v>381.61734862440784</v>
      </c>
      <c r="P34" s="12">
        <f t="shared" si="10"/>
        <v>176.69132568779608</v>
      </c>
      <c r="Q34" s="12">
        <f t="shared" si="11"/>
        <v>105.39838084782146</v>
      </c>
      <c r="R34" s="12">
        <f t="shared" si="12"/>
        <v>0.11044582545448646</v>
      </c>
      <c r="S34" s="12">
        <f t="shared" ref="S34:S65" si="19">W34/H34</f>
        <v>0.88789610898389992</v>
      </c>
      <c r="T34" s="12">
        <f>Population!$B$13*MIN(X33:Y33)</f>
        <v>5.7895628553902938</v>
      </c>
      <c r="U34" s="12">
        <f>W33*Population!$B$14</f>
        <v>1.0638336760720601</v>
      </c>
      <c r="V34" s="12">
        <f>AM33*S33*Population!$B$12</f>
        <v>5.3400161701988518</v>
      </c>
      <c r="W34" s="12">
        <f t="shared" si="16"/>
        <v>176.69132568779608</v>
      </c>
      <c r="X34" s="14">
        <f t="shared" si="14"/>
        <v>23.198377935755047</v>
      </c>
      <c r="Y34" s="13">
        <f t="shared" si="15"/>
        <v>23.198377935755047</v>
      </c>
      <c r="Z34" s="18">
        <f>(G34+Population!$B$11*Z33)*Population!M$28</f>
        <v>82.874272159361425</v>
      </c>
      <c r="AA34" s="18">
        <f>Z33*Population!$B$12*Population!$M$28+AA33*Population!$B$11*Population!$M$29</f>
        <v>82.428015095768558</v>
      </c>
      <c r="AB34" s="14">
        <f>(AA33*Population!$B$12*0.5*Population!$M$29)+(AB33*Population!$B$11*Population!M$30)</f>
        <v>40.588636591201151</v>
      </c>
      <c r="AC34" s="13">
        <f>(AA33*Population!$B$12*0.5*Population!$M$29)+(AC33*Population!$B$11*Population!M$30)</f>
        <v>40.588636591201151</v>
      </c>
      <c r="AD34" s="14">
        <f>(AB33*Population!$B$12*Population!M$30)+(AD33*Population!$B$11*Population!M$32)</f>
        <v>39.784375882401079</v>
      </c>
      <c r="AE34" s="13">
        <f>(AC33*Population!$B$12*Population!M$30)+(AE33*Population!$B$11*Population!M$32)</f>
        <v>39.784375882401079</v>
      </c>
      <c r="AF34" s="14">
        <f>(AD33*Population!$B$12*Population!M$32)+(AF33*Population!$B$11*Population!M$34)</f>
        <v>39.038496426059261</v>
      </c>
      <c r="AG34" s="13">
        <f>(AE33*Population!$B$12*Population!M$32)+(AG33*Population!$B$11*Population!M$34)</f>
        <v>39.038496426059261</v>
      </c>
      <c r="AH34" s="14">
        <f>(AF33*Population!$B$12*Population!M$34)+(AH33*Population!$B$11*Population!M$36)</f>
        <v>39.088247185086431</v>
      </c>
      <c r="AI34" s="13">
        <f>(AG33*Population!$B$12*Population!M$34)+(AI33*Population!$B$11*Population!M$36)</f>
        <v>39.088247185086431</v>
      </c>
      <c r="AJ34" s="14">
        <f>(AH33*Population!$B$12*Population!M$36)+(AJ33*Population!$B$11*Population!M$38)</f>
        <v>40.146997038771346</v>
      </c>
      <c r="AK34" s="13">
        <f>(AI33*Population!$B$12*Population!M$36)+(AK33*Population!$B$11*Population!M$38)</f>
        <v>40.146997038771346</v>
      </c>
      <c r="AL34" s="14">
        <f>(AJ33*Population!$B$12*Population!M$38)+(AL33*Population!$B$11*Population!M$40)</f>
        <v>41.83158709123299</v>
      </c>
      <c r="AM34" s="13">
        <f>(AK33*Population!$B$12*Population!M$38)+(AM33*Population!$B$11*Population!M$40)</f>
        <v>41.83158709123299</v>
      </c>
      <c r="AN34" s="15">
        <f>(AL33+AM33)*Population!$B$12*Population!$M$40+AN33*Population!$B$11*Population!$M$42</f>
        <v>83.960418270365338</v>
      </c>
      <c r="AO34" s="5">
        <f>AN33*Population!M$42*Population!$B$12+AO33*Population!$B$11*Population!M$43</f>
        <v>81.542231875575126</v>
      </c>
      <c r="AP34" s="5">
        <f>AO33*Population!M$43*Population!$B$12+AP33*Population!$B$11*Population!M$44</f>
        <v>61.234336160846439</v>
      </c>
      <c r="AQ34" s="5">
        <f>(AP33*Population!$B$12+AQ33)*Population!M$45</f>
        <v>108.34735477085121</v>
      </c>
    </row>
    <row r="35" spans="1:43">
      <c r="A35">
        <f>A34+Population!$B$2</f>
        <v>32</v>
      </c>
      <c r="B35" s="4">
        <f t="shared" si="5"/>
        <v>982</v>
      </c>
      <c r="C35" s="59">
        <f t="shared" ref="C35:C66" si="20">FLOOR(B35-I35-G35-SUM(AN35:AQ35),1)</f>
        <v>386</v>
      </c>
      <c r="D35" s="12">
        <f>AC34*Population!$P$31*Population!$C$2+AE34*Population!$P$33*Population!$C$2+AG34*Population!$P$35*Population!$C$2+AI34*Population!$P$37*Population!$C$2+AK34*Population!$P$39*Population!$C$2+AM33*Population!$P$41*Population!$C$2</f>
        <v>13.250278861508654</v>
      </c>
      <c r="E35" s="12">
        <f>IF(B34&gt;Population!$B$6*Population!$B$15,Population!$B$8,IF(Population!$J$6=1,D35,Population!$B$8*Population!$B$6*0.9/B34))</f>
        <v>11.880918319076509</v>
      </c>
      <c r="F35" s="12">
        <f>IF(B34&gt;Population!$B$6*0.75,Population!$B$8,E35)</f>
        <v>11.880918319076509</v>
      </c>
      <c r="G35" s="15">
        <f>IF(Population!$J$6=1,IF(E35&gt;H34,H34,E35),IF(E35&gt;W34,W34,E35))</f>
        <v>11.880918319076509</v>
      </c>
      <c r="H35" s="15">
        <f t="shared" si="6"/>
        <v>199</v>
      </c>
      <c r="I35" s="15">
        <f t="shared" si="7"/>
        <v>246</v>
      </c>
      <c r="J35" s="12">
        <f t="shared" si="17"/>
        <v>1.2361809045226131</v>
      </c>
      <c r="K35" s="12">
        <f>Z35*Population!$O$28+AA35*Population!$O$29+AB35*Population!$O$30+AC35*Population!$O$31+AD35*Population!$O$32+AE35*Population!$O$33+AF35*Population!$O$34+AG35*Population!$O$35+AH35*Population!$O$36+AI35*Population!$O$37+AJ35*Population!$O$38+AK35*Population!$O$39+AL35*Population!$O$40+AM35*Population!$O$41+AN35*Population!$O$42+AO35*Population!$O$43+AP35*Population!$O$44+AQ35*Population!$O$45</f>
        <v>10.73069410014563</v>
      </c>
      <c r="L35" s="12">
        <f t="shared" si="8"/>
        <v>5.9703107131037735E-2</v>
      </c>
      <c r="M35" s="12">
        <f t="shared" si="9"/>
        <v>5.6163208797225908</v>
      </c>
      <c r="N35" s="12">
        <f t="shared" si="18"/>
        <v>0.25050916496945008</v>
      </c>
      <c r="O35" s="12">
        <f t="shared" ref="O35:O66" si="21">B35-I35-P35*2</f>
        <v>383.75048511076295</v>
      </c>
      <c r="P35" s="12">
        <f t="shared" si="10"/>
        <v>176.12475744461852</v>
      </c>
      <c r="Q35" s="12">
        <f t="shared" si="11"/>
        <v>108.34735477085121</v>
      </c>
      <c r="R35" s="12">
        <f t="shared" si="12"/>
        <v>0.11321738468908861</v>
      </c>
      <c r="S35" s="12">
        <f t="shared" si="19"/>
        <v>0.88504903238501775</v>
      </c>
      <c r="T35" s="12">
        <f>Population!$B$13*MIN(X34:Y34)</f>
        <v>5.7995944839387619</v>
      </c>
      <c r="U35" s="12">
        <f>W34*Population!$B$14</f>
        <v>1.0601479541267764</v>
      </c>
      <c r="V35" s="12">
        <f>AM34*S34*Population!$B$12</f>
        <v>5.3060147729895579</v>
      </c>
      <c r="W35" s="12">
        <f t="shared" si="16"/>
        <v>176.12475744461852</v>
      </c>
      <c r="X35" s="14">
        <f t="shared" si="14"/>
        <v>23.248013036098229</v>
      </c>
      <c r="Y35" s="13">
        <f t="shared" si="15"/>
        <v>23.248013036098229</v>
      </c>
      <c r="Z35" s="18">
        <f>(G35+Population!$B$11*Z34)*Population!M$28</f>
        <v>82.882344841837309</v>
      </c>
      <c r="AA35" s="18">
        <f>Z34*Population!$B$12*Population!$M$28+AA34*Population!$B$11*Population!$M$29</f>
        <v>82.471062565585243</v>
      </c>
      <c r="AB35" s="14">
        <f>(AA34*Population!$B$12*0.5*Population!$M$29)+(AB34*Population!$B$11*Population!M$30)</f>
        <v>40.6434954456235</v>
      </c>
      <c r="AC35" s="13">
        <f>(AA34*Population!$B$12*0.5*Population!$M$29)+(AC34*Population!$B$11*Population!M$30)</f>
        <v>40.6434954456235</v>
      </c>
      <c r="AD35" s="14">
        <f>(AB34*Population!$B$12*Population!M$30)+(AD34*Population!$B$11*Population!M$32)</f>
        <v>39.861246264805807</v>
      </c>
      <c r="AE35" s="13">
        <f>(AC34*Population!$B$12*Population!M$30)+(AE34*Population!$B$11*Population!M$32)</f>
        <v>39.861246264805807</v>
      </c>
      <c r="AF35" s="14">
        <f>(AD34*Population!$B$12*Population!M$32)+(AF34*Population!$B$11*Population!M$34)</f>
        <v>39.075388064244649</v>
      </c>
      <c r="AG35" s="13">
        <f>(AE34*Population!$B$12*Population!M$32)+(AG34*Population!$B$11*Population!M$34)</f>
        <v>39.075388064244649</v>
      </c>
      <c r="AH35" s="14">
        <f>(AF34*Population!$B$12*Population!M$34)+(AH34*Population!$B$11*Population!M$36)</f>
        <v>39.006104145123942</v>
      </c>
      <c r="AI35" s="13">
        <f>(AG34*Population!$B$12*Population!M$34)+(AI34*Population!$B$11*Population!M$36)</f>
        <v>39.006104145123942</v>
      </c>
      <c r="AJ35" s="14">
        <f>(AH34*Population!$B$12*Population!M$36)+(AJ34*Population!$B$11*Population!M$38)</f>
        <v>39.918955225318932</v>
      </c>
      <c r="AK35" s="13">
        <f>(AI34*Population!$B$12*Population!M$36)+(AK34*Population!$B$11*Population!M$38)</f>
        <v>39.918955225318932</v>
      </c>
      <c r="AL35" s="14">
        <f>(AJ34*Population!$B$12*Population!M$38)+(AL34*Population!$B$11*Population!M$40)</f>
        <v>41.511076781223409</v>
      </c>
      <c r="AM35" s="13">
        <f>(AK34*Population!$B$12*Population!M$38)+(AM34*Population!$B$11*Population!M$40)</f>
        <v>41.511076781223409</v>
      </c>
      <c r="AN35" s="15">
        <f>(AL34+AM34)*Population!$B$12*Population!$M$40+AN34*Population!$B$11*Population!$M$42</f>
        <v>83.373253187923837</v>
      </c>
      <c r="AO35" s="5">
        <f>AN34*Population!M$42*Population!$B$12+AO34*Population!$B$11*Population!M$43</f>
        <v>81.294001343538355</v>
      </c>
      <c r="AP35" s="5">
        <f>AO34*Population!M$43*Population!$B$12+AP34*Population!$B$11*Population!M$44</f>
        <v>61.399387954640012</v>
      </c>
      <c r="AQ35" s="5">
        <f>(AP34*Population!$B$12+AQ34)*Population!M$45</f>
        <v>111.17947176468502</v>
      </c>
    </row>
    <row r="36" spans="1:43">
      <c r="A36">
        <f>A35+Population!$B$2</f>
        <v>33</v>
      </c>
      <c r="B36" s="4">
        <f t="shared" si="5"/>
        <v>983</v>
      </c>
      <c r="C36" s="59">
        <f t="shared" si="20"/>
        <v>385</v>
      </c>
      <c r="D36" s="12">
        <f>AC35*Population!$P$31*Population!$C$2+AE35*Population!$P$33*Population!$C$2+AG35*Population!$P$35*Population!$C$2+AI35*Population!$P$37*Population!$C$2+AK35*Population!$P$39*Population!$C$2+AM34*Population!$P$41*Population!$C$2</f>
        <v>13.237448658254836</v>
      </c>
      <c r="E36" s="12">
        <f>IF(B35&gt;Population!$B$6*Population!$B$15,Population!$B$8,IF(Population!$J$6=1,D36,Population!$B$8*Population!$B$6*0.9/B35))</f>
        <v>11.880918319076509</v>
      </c>
      <c r="F36" s="12">
        <f>IF(B35&gt;Population!$B$6*0.75,Population!$B$8,E36)</f>
        <v>11.880918319076509</v>
      </c>
      <c r="G36" s="15">
        <f>IF(Population!$J$6=1,IF(E36&gt;H35,H35,E36),IF(E36&gt;W35,W35,E36))</f>
        <v>11.880918319076509</v>
      </c>
      <c r="H36" s="15">
        <f t="shared" ref="H36:H67" si="22">FLOOR(AE36+AG36+AI36+AK36+AM36,1)</f>
        <v>198</v>
      </c>
      <c r="I36" s="15">
        <f t="shared" ref="I36:I67" si="23">FLOOR(SUM(Z36:AC36),1)</f>
        <v>246</v>
      </c>
      <c r="J36" s="12">
        <f t="shared" si="17"/>
        <v>1.2424242424242424</v>
      </c>
      <c r="K36" s="12">
        <f>Z36*Population!$O$28+AA36*Population!$O$29+AB36*Population!$O$30+AC36*Population!$O$31+AD36*Population!$O$32+AE36*Population!$O$33+AF36*Population!$O$34+AG36*Population!$O$35+AH36*Population!$O$36+AI36*Population!$O$37+AJ36*Population!$O$38+AK36*Population!$O$39+AL36*Population!$O$40+AM36*Population!$O$41+AN36*Population!$O$42+AO36*Population!$O$43+AP36*Population!$O$44+AQ36*Population!$O$45</f>
        <v>10.864451779364497</v>
      </c>
      <c r="L36" s="12">
        <f t="shared" si="8"/>
        <v>6.0004637975133883E-2</v>
      </c>
      <c r="M36" s="12">
        <f t="shared" ref="M36:M67" si="24">(AD36+AE36+AF36+AG36+AH36+AI36)/21*0.5</f>
        <v>5.6187577514244413</v>
      </c>
      <c r="N36" s="12">
        <f t="shared" si="18"/>
        <v>0.25025432349949134</v>
      </c>
      <c r="O36" s="12">
        <f t="shared" si="21"/>
        <v>385.7369294930441</v>
      </c>
      <c r="P36" s="12">
        <f t="shared" si="10"/>
        <v>175.63153525347795</v>
      </c>
      <c r="Q36" s="12">
        <f t="shared" si="11"/>
        <v>111.17947176468502</v>
      </c>
      <c r="R36" s="12">
        <f t="shared" ref="R36:R67" si="25">SUM(AQ36:AQ36)/B36</f>
        <v>0.11586052678870855</v>
      </c>
      <c r="S36" s="12">
        <f t="shared" si="19"/>
        <v>0.8870279558256462</v>
      </c>
      <c r="T36" s="12">
        <f>Population!$B$13*MIN(X35:Y35)</f>
        <v>5.8120032590245572</v>
      </c>
      <c r="U36" s="12">
        <f>W35*Population!$B$14</f>
        <v>1.0567485446677112</v>
      </c>
      <c r="V36" s="12">
        <f>AM35*S35*Population!$B$12</f>
        <v>5.2484769054974221</v>
      </c>
      <c r="W36" s="12">
        <f t="shared" si="16"/>
        <v>175.63153525347795</v>
      </c>
      <c r="X36" s="14">
        <f t="shared" ref="X36:X67" si="26">(AD36+AF36+AH36+AJ36+AL36)-W36</f>
        <v>23.278897716005361</v>
      </c>
      <c r="Y36" s="13">
        <f t="shared" ref="Y36:Y67" si="27">(AE36+AG36+AI36+AK36+AM36)-W36</f>
        <v>23.278897716005361</v>
      </c>
      <c r="Z36" s="18">
        <f>(G36+Population!$B$11*Z35)*Population!M$28</f>
        <v>82.889261474666</v>
      </c>
      <c r="AA36" s="18">
        <f>Z35*Population!$B$12*Population!$M$28+AA35*Population!$B$11*Population!$M$29</f>
        <v>82.509104866982767</v>
      </c>
      <c r="AB36" s="14">
        <f>(AA35*Population!$B$12*0.5*Population!$M$29)+(AB35*Population!$B$11*Population!M$30)</f>
        <v>40.693546636433851</v>
      </c>
      <c r="AC36" s="13">
        <f>(AA35*Population!$B$12*0.5*Population!$M$29)+(AC35*Population!$B$11*Population!M$30)</f>
        <v>40.693546636433851</v>
      </c>
      <c r="AD36" s="14">
        <f>(AB35*Population!$B$12*Population!M$30)+(AD35*Population!$B$11*Population!M$32)</f>
        <v>39.93490188245093</v>
      </c>
      <c r="AE36" s="13">
        <f>(AC35*Population!$B$12*Population!M$30)+(AE35*Population!$B$11*Population!M$32)</f>
        <v>39.93490188245093</v>
      </c>
      <c r="AF36" s="14">
        <f>(AD35*Population!$B$12*Population!M$32)+(AF35*Population!$B$11*Population!M$34)</f>
        <v>39.117919773154753</v>
      </c>
      <c r="AG36" s="13">
        <f>(AE35*Population!$B$12*Population!M$32)+(AG35*Population!$B$11*Population!M$34)</f>
        <v>39.117919773154753</v>
      </c>
      <c r="AH36" s="14">
        <f>(AF35*Population!$B$12*Population!M$34)+(AH35*Population!$B$11*Population!M$36)</f>
        <v>38.94109112430759</v>
      </c>
      <c r="AI36" s="13">
        <f>(AG35*Population!$B$12*Population!M$34)+(AI35*Population!$B$11*Population!M$36)</f>
        <v>38.94109112430759</v>
      </c>
      <c r="AJ36" s="14">
        <f>(AH35*Population!$B$12*Population!M$36)+(AJ35*Population!$B$11*Population!M$38)</f>
        <v>39.712153916126177</v>
      </c>
      <c r="AK36" s="13">
        <f>(AI35*Population!$B$12*Population!M$36)+(AK35*Population!$B$11*Population!M$38)</f>
        <v>39.712153916126177</v>
      </c>
      <c r="AL36" s="14">
        <f>(AJ35*Population!$B$12*Population!M$38)+(AL35*Population!$B$11*Population!M$40)</f>
        <v>41.204366273443867</v>
      </c>
      <c r="AM36" s="13">
        <f>(AK35*Population!$B$12*Population!M$38)+(AM35*Population!$B$11*Population!M$40)</f>
        <v>41.204366273443867</v>
      </c>
      <c r="AN36" s="15">
        <f>(AL35+AM35)*Population!$B$12*Population!$M$40+AN35*Population!$B$11*Population!$M$42</f>
        <v>82.782219091639334</v>
      </c>
      <c r="AO36" s="5">
        <f>AN35*Population!M$42*Population!$B$12+AO35*Population!$B$11*Population!M$43</f>
        <v>80.999502300728224</v>
      </c>
      <c r="AP36" s="5">
        <f>AO35*Population!M$43*Population!$B$12+AP35*Population!$B$11*Population!M$44</f>
        <v>61.498509297832477</v>
      </c>
      <c r="AQ36" s="5">
        <f>(AP35*Population!$B$12+AQ35)*Population!M$45</f>
        <v>113.8908978333005</v>
      </c>
    </row>
    <row r="37" spans="1:43">
      <c r="A37">
        <f>A36+Population!$B$2</f>
        <v>34</v>
      </c>
      <c r="B37" s="4">
        <f t="shared" si="5"/>
        <v>984</v>
      </c>
      <c r="C37" s="59">
        <f t="shared" si="20"/>
        <v>385</v>
      </c>
      <c r="D37" s="12">
        <f>AC36*Population!$P$31*Population!$C$2+AE36*Population!$P$33*Population!$C$2+AG36*Population!$P$35*Population!$C$2+AI36*Population!$P$37*Population!$C$2+AK36*Population!$P$39*Population!$C$2+AM35*Population!$P$41*Population!$C$2</f>
        <v>13.227260574492711</v>
      </c>
      <c r="E37" s="12">
        <f>IF(B36&gt;Population!$B$6*Population!$B$15,Population!$B$8,IF(Population!$J$6=1,D37,Population!$B$8*Population!$B$6*0.9/B36))</f>
        <v>11.880918319076509</v>
      </c>
      <c r="F37" s="12">
        <f>IF(B36&gt;Population!$B$6*0.75,Population!$B$8,E37)</f>
        <v>11.880918319076509</v>
      </c>
      <c r="G37" s="15">
        <f>IF(Population!$J$6=1,IF(E37&gt;H36,H36,E37),IF(E37&gt;W36,W36,E37))</f>
        <v>11.880918319076509</v>
      </c>
      <c r="H37" s="15">
        <f t="shared" si="22"/>
        <v>198</v>
      </c>
      <c r="I37" s="15">
        <f t="shared" si="23"/>
        <v>246</v>
      </c>
      <c r="J37" s="12">
        <f t="shared" si="17"/>
        <v>1.2424242424242424</v>
      </c>
      <c r="K37" s="12">
        <f>Z37*Population!$O$28+AA37*Population!$O$29+AB37*Population!$O$30+AC37*Population!$O$31+AD37*Population!$O$32+AE37*Population!$O$33+AF37*Population!$O$34+AG37*Population!$O$35+AH37*Population!$O$36+AI37*Population!$O$37+AJ37*Population!$O$38+AK37*Population!$O$39+AL37*Population!$O$40+AM37*Population!$O$41+AN37*Population!$O$42+AO37*Population!$O$43+AP37*Population!$O$44+AQ37*Population!$O$45</f>
        <v>10.988837152572895</v>
      </c>
      <c r="L37" s="12">
        <f t="shared" si="8"/>
        <v>6.0004637975133883E-2</v>
      </c>
      <c r="M37" s="12">
        <f t="shared" si="24"/>
        <v>5.6219749121062144</v>
      </c>
      <c r="N37" s="12">
        <f t="shared" si="18"/>
        <v>0.25</v>
      </c>
      <c r="O37" s="12">
        <f t="shared" si="21"/>
        <v>387.64775185426146</v>
      </c>
      <c r="P37" s="12">
        <f t="shared" si="10"/>
        <v>175.17612407286927</v>
      </c>
      <c r="Q37" s="12">
        <f t="shared" si="11"/>
        <v>113.8908978333005</v>
      </c>
      <c r="R37" s="12">
        <f t="shared" si="25"/>
        <v>0.11837275149991885</v>
      </c>
      <c r="S37" s="12">
        <f t="shared" si="19"/>
        <v>0.88472789935792562</v>
      </c>
      <c r="T37" s="12">
        <f>Population!$B$13*MIN(X36:Y36)</f>
        <v>5.8197244290013401</v>
      </c>
      <c r="U37" s="12">
        <f>W36*Population!$B$14</f>
        <v>1.0537892115208678</v>
      </c>
      <c r="V37" s="12">
        <f>AM36*S36*Population!$B$12</f>
        <v>5.2213463980891595</v>
      </c>
      <c r="W37" s="12">
        <f t="shared" si="16"/>
        <v>175.17612407286927</v>
      </c>
      <c r="X37" s="14">
        <f t="shared" si="26"/>
        <v>23.323805314903012</v>
      </c>
      <c r="Y37" s="13">
        <f t="shared" si="27"/>
        <v>23.323805314903012</v>
      </c>
      <c r="Z37" s="18">
        <f>(G37+Population!$B$11*Z36)*Population!M$28</f>
        <v>82.895187610102354</v>
      </c>
      <c r="AA37" s="18">
        <f>Z36*Population!$B$12*Population!$M$28+AA36*Population!$B$11*Population!$M$29</f>
        <v>82.542692906404795</v>
      </c>
      <c r="AB37" s="14">
        <f>(AA36*Population!$B$12*0.5*Population!$M$29)+(AB36*Population!$B$11*Population!M$30)</f>
        <v>40.739123468304264</v>
      </c>
      <c r="AC37" s="13">
        <f>(AA36*Population!$B$12*0.5*Population!$M$29)+(AC36*Population!$B$11*Population!M$30)</f>
        <v>40.739123468304264</v>
      </c>
      <c r="AD37" s="14">
        <f>(AB36*Population!$B$12*Population!M$30)+(AD36*Population!$B$11*Population!M$32)</f>
        <v>40.005118458890152</v>
      </c>
      <c r="AE37" s="13">
        <f>(AC36*Population!$B$12*Population!M$30)+(AE36*Population!$B$11*Population!M$32)</f>
        <v>40.005118458890152</v>
      </c>
      <c r="AF37" s="14">
        <f>(AD36*Population!$B$12*Population!M$32)+(AF36*Population!$B$11*Population!M$34)</f>
        <v>39.1648177320141</v>
      </c>
      <c r="AG37" s="13">
        <f>(AE36*Population!$B$12*Population!M$32)+(AG36*Population!$B$11*Population!M$34)</f>
        <v>39.1648177320141</v>
      </c>
      <c r="AH37" s="14">
        <f>(AF36*Population!$B$12*Population!M$34)+(AH36*Population!$B$11*Population!M$36)</f>
        <v>38.89153696332626</v>
      </c>
      <c r="AI37" s="13">
        <f>(AG36*Population!$B$12*Population!M$34)+(AI36*Population!$B$11*Population!M$36)</f>
        <v>38.89153696332626</v>
      </c>
      <c r="AJ37" s="14">
        <f>(AH36*Population!$B$12*Population!M$36)+(AJ36*Population!$B$11*Population!M$38)</f>
        <v>39.525966244713175</v>
      </c>
      <c r="AK37" s="13">
        <f>(AI36*Population!$B$12*Population!M$36)+(AK36*Population!$B$11*Population!M$38)</f>
        <v>39.525966244713175</v>
      </c>
      <c r="AL37" s="14">
        <f>(AJ36*Population!$B$12*Population!M$38)+(AL36*Population!$B$11*Population!M$40)</f>
        <v>40.912489988828625</v>
      </c>
      <c r="AM37" s="13">
        <f>(AK36*Population!$B$12*Population!M$38)+(AM36*Population!$B$11*Population!M$40)</f>
        <v>40.912489988828625</v>
      </c>
      <c r="AN37" s="15">
        <f>(AL36+AM36)*Population!$B$12*Population!$M$40+AN36*Population!$B$11*Population!$M$42</f>
        <v>82.191827971392485</v>
      </c>
      <c r="AO37" s="5">
        <f>AN36*Population!M$42*Population!$B$12+AO36*Population!$B$11*Population!M$43</f>
        <v>80.665083351073235</v>
      </c>
      <c r="AP37" s="5">
        <f>AO36*Population!M$43*Population!$B$12+AP36*Population!$B$11*Population!M$44</f>
        <v>61.537411936811978</v>
      </c>
      <c r="AQ37" s="5">
        <f>(AP36*Population!$B$12+AQ36)*Population!M$45</f>
        <v>116.47878747592016</v>
      </c>
    </row>
    <row r="38" spans="1:43">
      <c r="A38">
        <f>A37+Population!$B$2</f>
        <v>35</v>
      </c>
      <c r="B38" s="4">
        <f t="shared" si="5"/>
        <v>985</v>
      </c>
      <c r="C38" s="59">
        <f t="shared" si="20"/>
        <v>383</v>
      </c>
      <c r="D38" s="12">
        <f>AC37*Population!$P$31*Population!$C$2+AE37*Population!$P$33*Population!$C$2+AG37*Population!$P$35*Population!$C$2+AI37*Population!$P$37*Population!$C$2+AK37*Population!$P$39*Population!$C$2+AM36*Population!$P$41*Population!$C$2</f>
        <v>13.21945876221849</v>
      </c>
      <c r="E38" s="12">
        <f>IF(B37&gt;Population!$B$6*Population!$B$15,Population!$B$8,IF(Population!$J$6=1,D38,Population!$B$8*Population!$B$6*0.9/B37))</f>
        <v>11.880918319076509</v>
      </c>
      <c r="F38" s="12">
        <f>IF(B37&gt;Population!$B$6*0.75,Population!$B$8,E38)</f>
        <v>11.880918319076509</v>
      </c>
      <c r="G38" s="15">
        <f>IF(Population!$J$6=1,IF(E38&gt;H37,H37,E38),IF(E38&gt;W37,W37,E38))</f>
        <v>11.880918319076509</v>
      </c>
      <c r="H38" s="15">
        <f t="shared" si="22"/>
        <v>198</v>
      </c>
      <c r="I38" s="15">
        <f t="shared" si="23"/>
        <v>247</v>
      </c>
      <c r="J38" s="12">
        <f t="shared" si="17"/>
        <v>1.2474747474747474</v>
      </c>
      <c r="K38" s="12">
        <f>Z38*Population!$O$28+AA38*Population!$O$29+AB38*Population!$O$30+AC38*Population!$O$31+AD38*Population!$O$32+AE38*Population!$O$33+AF38*Population!$O$34+AG38*Population!$O$35+AH38*Population!$O$36+AI38*Population!$O$37+AJ38*Population!$O$38+AK38*Population!$O$39+AL38*Population!$O$40+AM38*Population!$O$41+AN38*Population!$O$42+AO38*Population!$O$43+AP38*Population!$O$44+AQ38*Population!$O$45</f>
        <v>11.104097071501272</v>
      </c>
      <c r="L38" s="12">
        <f t="shared" si="8"/>
        <v>6.0004637975133883E-2</v>
      </c>
      <c r="M38" s="12">
        <f t="shared" si="24"/>
        <v>5.6258353360445668</v>
      </c>
      <c r="N38" s="12">
        <f t="shared" si="18"/>
        <v>0.25076142131979695</v>
      </c>
      <c r="O38" s="12">
        <f t="shared" si="21"/>
        <v>388.42979735006111</v>
      </c>
      <c r="P38" s="12">
        <f t="shared" si="10"/>
        <v>174.78510132496945</v>
      </c>
      <c r="Q38" s="12">
        <f t="shared" si="11"/>
        <v>116.47878747592016</v>
      </c>
      <c r="R38" s="12">
        <f t="shared" si="25"/>
        <v>0.12075250120583335</v>
      </c>
      <c r="S38" s="12">
        <f t="shared" si="19"/>
        <v>0.88275303699479524</v>
      </c>
      <c r="T38" s="12">
        <f>Population!$B$13*MIN(X37:Y37)</f>
        <v>5.8309513287257531</v>
      </c>
      <c r="U38" s="12">
        <f>W37*Population!$B$14</f>
        <v>1.0510567444372156</v>
      </c>
      <c r="V38" s="12">
        <f>AM37*S37*Population!$B$12</f>
        <v>5.1709173321883588</v>
      </c>
      <c r="W38" s="12">
        <f t="shared" si="16"/>
        <v>174.78510132496945</v>
      </c>
      <c r="X38" s="14">
        <f t="shared" si="26"/>
        <v>23.353301873012214</v>
      </c>
      <c r="Y38" s="13">
        <f t="shared" si="27"/>
        <v>23.353301873012214</v>
      </c>
      <c r="Z38" s="18">
        <f>(G38+Population!$B$11*Z37)*Population!M$28</f>
        <v>82.900265092466967</v>
      </c>
      <c r="AA38" s="18">
        <f>Z37*Population!$B$12*Population!$M$28+AA37*Population!$B$11*Population!$M$29</f>
        <v>82.572322423848263</v>
      </c>
      <c r="AB38" s="14">
        <f>(AA37*Population!$B$12*0.5*Population!$M$29)+(AB37*Population!$B$11*Population!M$30)</f>
        <v>40.780550700297752</v>
      </c>
      <c r="AC38" s="13">
        <f>(AA37*Population!$B$12*0.5*Population!$M$29)+(AC37*Population!$B$11*Population!M$30)</f>
        <v>40.780550700297752</v>
      </c>
      <c r="AD38" s="14">
        <f>(AB37*Population!$B$12*Population!M$30)+(AD37*Population!$B$11*Population!M$32)</f>
        <v>40.071751509947426</v>
      </c>
      <c r="AE38" s="13">
        <f>(AC37*Population!$B$12*Population!M$30)+(AE37*Population!$B$11*Population!M$32)</f>
        <v>40.071751509947426</v>
      </c>
      <c r="AF38" s="14">
        <f>(AD37*Population!$B$12*Population!M$32)+(AF37*Population!$B$11*Population!M$34)</f>
        <v>39.214960181830094</v>
      </c>
      <c r="AG38" s="13">
        <f>(AE37*Population!$B$12*Population!M$32)+(AG37*Population!$B$11*Population!M$34)</f>
        <v>39.214960181830094</v>
      </c>
      <c r="AH38" s="14">
        <f>(AF37*Population!$B$12*Population!M$34)+(AH37*Population!$B$11*Population!M$36)</f>
        <v>38.855830365158376</v>
      </c>
      <c r="AI38" s="13">
        <f>(AG37*Population!$B$12*Population!M$34)+(AI37*Population!$B$11*Population!M$36)</f>
        <v>38.855830365158376</v>
      </c>
      <c r="AJ38" s="14">
        <f>(AH37*Population!$B$12*Population!M$36)+(AJ37*Population!$B$11*Population!M$38)</f>
        <v>39.35961764992809</v>
      </c>
      <c r="AK38" s="13">
        <f>(AI37*Population!$B$12*Population!M$36)+(AK37*Population!$B$11*Population!M$38)</f>
        <v>39.35961764992809</v>
      </c>
      <c r="AL38" s="14">
        <f>(AJ37*Population!$B$12*Population!M$38)+(AL37*Population!$B$11*Population!M$40)</f>
        <v>40.636243491117682</v>
      </c>
      <c r="AM38" s="13">
        <f>(AK37*Population!$B$12*Population!M$38)+(AM37*Population!$B$11*Population!M$40)</f>
        <v>40.636243491117682</v>
      </c>
      <c r="AN38" s="15">
        <f>(AL37+AM37)*Population!$B$12*Population!$M$40+AN37*Population!$B$11*Population!$M$42</f>
        <v>81.606214189671348</v>
      </c>
      <c r="AO38" s="5">
        <f>AN37*Population!M$42*Population!$B$12+AO37*Population!$B$11*Population!M$43</f>
        <v>80.296786599895384</v>
      </c>
      <c r="AP38" s="5">
        <f>AO37*Population!M$43*Population!$B$12+AP37*Population!$B$11*Population!M$44</f>
        <v>61.521644687337627</v>
      </c>
      <c r="AQ38" s="5">
        <f>(AP37*Population!$B$12+AQ37)*Population!M$45</f>
        <v>118.94121368774584</v>
      </c>
    </row>
    <row r="39" spans="1:43">
      <c r="A39">
        <f>A38+Population!$B$2</f>
        <v>36</v>
      </c>
      <c r="B39" s="4">
        <f t="shared" si="5"/>
        <v>986</v>
      </c>
      <c r="C39" s="59">
        <f t="shared" si="20"/>
        <v>383</v>
      </c>
      <c r="D39" s="12">
        <f>AC38*Population!$P$31*Population!$C$2+AE38*Population!$P$33*Population!$C$2+AG38*Population!$P$35*Population!$C$2+AI38*Population!$P$37*Population!$C$2+AK38*Population!$P$39*Population!$C$2+AM37*Population!$P$41*Population!$C$2</f>
        <v>13.213801430937876</v>
      </c>
      <c r="E39" s="12">
        <f>IF(B38&gt;Population!$B$6*Population!$B$15,Population!$B$8,IF(Population!$J$6=1,D39,Population!$B$8*Population!$B$6*0.9/B38))</f>
        <v>11.880918319076509</v>
      </c>
      <c r="F39" s="12">
        <f>IF(B38&gt;Population!$B$6*0.75,Population!$B$8,E39)</f>
        <v>11.880918319076509</v>
      </c>
      <c r="G39" s="15">
        <f>IF(Population!$J$6=1,IF(E39&gt;H38,H38,E39),IF(E39&gt;W38,W38,E39))</f>
        <v>11.880918319076509</v>
      </c>
      <c r="H39" s="15">
        <f t="shared" si="22"/>
        <v>197</v>
      </c>
      <c r="I39" s="15">
        <f t="shared" si="23"/>
        <v>247</v>
      </c>
      <c r="J39" s="12">
        <f t="shared" si="17"/>
        <v>1.2538071065989849</v>
      </c>
      <c r="K39" s="12">
        <f>Z39*Population!$O$28+AA39*Population!$O$29+AB39*Population!$O$30+AC39*Population!$O$31+AD39*Population!$O$32+AE39*Population!$O$33+AF39*Population!$O$34+AG39*Population!$O$35+AH39*Population!$O$36+AI39*Population!$O$37+AJ39*Population!$O$38+AK39*Population!$O$39+AL39*Population!$O$40+AM39*Population!$O$41+AN39*Population!$O$42+AO39*Population!$O$43+AP39*Population!$O$44+AQ39*Population!$O$45</f>
        <v>11.210506924023498</v>
      </c>
      <c r="L39" s="12">
        <f t="shared" si="8"/>
        <v>6.030923004607365E-2</v>
      </c>
      <c r="M39" s="12">
        <f t="shared" si="24"/>
        <v>5.6302154012510206</v>
      </c>
      <c r="N39" s="12">
        <f t="shared" si="18"/>
        <v>0.25050709939148075</v>
      </c>
      <c r="O39" s="12">
        <f t="shared" si="21"/>
        <v>390.09964401626723</v>
      </c>
      <c r="P39" s="12">
        <f t="shared" si="10"/>
        <v>174.45017799186638</v>
      </c>
      <c r="Q39" s="12">
        <f t="shared" si="11"/>
        <v>118.94121368774584</v>
      </c>
      <c r="R39" s="12">
        <f t="shared" si="25"/>
        <v>0.12299908667102576</v>
      </c>
      <c r="S39" s="12">
        <f t="shared" si="19"/>
        <v>0.88553389843586994</v>
      </c>
      <c r="T39" s="12">
        <f>Population!$B$13*MIN(X38:Y38)</f>
        <v>5.8383254682530534</v>
      </c>
      <c r="U39" s="12">
        <f>W38*Population!$B$14</f>
        <v>1.0487106079498167</v>
      </c>
      <c r="V39" s="12">
        <f>AM38*S38*Population!$B$12</f>
        <v>5.1245381934063019</v>
      </c>
      <c r="W39" s="12">
        <f t="shared" si="16"/>
        <v>174.45017799186638</v>
      </c>
      <c r="X39" s="14">
        <f t="shared" si="26"/>
        <v>23.372758131666075</v>
      </c>
      <c r="Y39" s="13">
        <f t="shared" si="27"/>
        <v>23.372758131666075</v>
      </c>
      <c r="Z39" s="18">
        <f>(G39+Population!$B$11*Z38)*Population!M$28</f>
        <v>82.904615453244205</v>
      </c>
      <c r="AA39" s="18">
        <f>Z38*Population!$B$12*Population!$M$28+AA38*Population!$B$11*Population!$M$29</f>
        <v>82.598438498950983</v>
      </c>
      <c r="AB39" s="14">
        <f>(AA38*Population!$B$12*0.5*Population!$M$29)+(AB38*Population!$B$11*Population!M$30)</f>
        <v>40.818141834076243</v>
      </c>
      <c r="AC39" s="13">
        <f>(AA38*Population!$B$12*0.5*Population!$M$29)+(AC38*Population!$B$11*Population!M$30)</f>
        <v>40.818141834076243</v>
      </c>
      <c r="AD39" s="14">
        <f>(AB38*Population!$B$12*Population!M$30)+(AD38*Population!$B$11*Population!M$32)</f>
        <v>40.13472366000444</v>
      </c>
      <c r="AE39" s="13">
        <f>(AC38*Population!$B$12*Population!M$30)+(AE38*Population!$B$11*Population!M$32)</f>
        <v>40.13472366000444</v>
      </c>
      <c r="AF39" s="14">
        <f>(AD38*Population!$B$12*Population!M$32)+(AF38*Population!$B$11*Population!M$34)</f>
        <v>39.267366840063481</v>
      </c>
      <c r="AG39" s="13">
        <f>(AE38*Population!$B$12*Population!M$32)+(AG38*Population!$B$11*Population!M$34)</f>
        <v>39.267366840063481</v>
      </c>
      <c r="AH39" s="14">
        <f>(AF38*Population!$B$12*Population!M$34)+(AH38*Population!$B$11*Population!M$36)</f>
        <v>38.832432926203509</v>
      </c>
      <c r="AI39" s="13">
        <f>(AG38*Population!$B$12*Population!M$34)+(AI38*Population!$B$11*Population!M$36)</f>
        <v>38.832432926203509</v>
      </c>
      <c r="AJ39" s="14">
        <f>(AH38*Population!$B$12*Population!M$36)+(AJ38*Population!$B$11*Population!M$38)</f>
        <v>39.212215753585518</v>
      </c>
      <c r="AK39" s="13">
        <f>(AI38*Population!$B$12*Population!M$36)+(AK38*Population!$B$11*Population!M$38)</f>
        <v>39.212215753585518</v>
      </c>
      <c r="AL39" s="14">
        <f>(AJ38*Population!$B$12*Population!M$38)+(AL38*Population!$B$11*Population!M$40)</f>
        <v>40.376196943675517</v>
      </c>
      <c r="AM39" s="13">
        <f>(AK38*Population!$B$12*Population!M$38)+(AM38*Population!$B$11*Population!M$40)</f>
        <v>40.376196943675517</v>
      </c>
      <c r="AN39" s="15">
        <f>(AL38+AM38)*Population!$B$12*Population!$M$40+AN38*Population!$B$11*Population!$M$42</f>
        <v>81.029122661143845</v>
      </c>
      <c r="AO39" s="5">
        <f>AN38*Population!M$42*Population!$B$12+AO38*Population!$B$11*Population!M$43</f>
        <v>79.900339788439027</v>
      </c>
      <c r="AP39" s="5">
        <f>AO38*Population!M$43*Population!$B$12+AP38*Population!$B$11*Population!M$44</f>
        <v>61.456580297635163</v>
      </c>
      <c r="AQ39" s="5">
        <f>(AP38*Population!$B$12+AQ38)*Population!M$45</f>
        <v>121.27709945763139</v>
      </c>
    </row>
    <row r="40" spans="1:43">
      <c r="A40">
        <f>A39+Population!$B$2</f>
        <v>37</v>
      </c>
      <c r="B40" s="4">
        <f t="shared" si="5"/>
        <v>987</v>
      </c>
      <c r="C40" s="59">
        <f t="shared" si="20"/>
        <v>383</v>
      </c>
      <c r="D40" s="12">
        <f>AC39*Population!$P$31*Population!$C$2+AE39*Population!$P$33*Population!$C$2+AG39*Population!$P$35*Population!$C$2+AI39*Population!$P$37*Population!$C$2+AK39*Population!$P$39*Population!$C$2+AM38*Population!$P$41*Population!$C$2</f>
        <v>13.210061081617194</v>
      </c>
      <c r="E40" s="12">
        <f>IF(B39&gt;Population!$B$6*Population!$B$15,Population!$B$8,IF(Population!$J$6=1,D40,Population!$B$8*Population!$B$6*0.9/B39))</f>
        <v>11.880918319076509</v>
      </c>
      <c r="F40" s="12">
        <f>IF(B39&gt;Population!$B$6*0.75,Population!$B$8,E40)</f>
        <v>11.880918319076509</v>
      </c>
      <c r="G40" s="15">
        <f>IF(Population!$J$6=1,IF(E40&gt;H39,H39,E40),IF(E40&gt;W39,W39,E40))</f>
        <v>11.880918319076509</v>
      </c>
      <c r="H40" s="15">
        <f t="shared" si="22"/>
        <v>197</v>
      </c>
      <c r="I40" s="15">
        <f t="shared" si="23"/>
        <v>247</v>
      </c>
      <c r="J40" s="12">
        <f t="shared" si="17"/>
        <v>1.2538071065989849</v>
      </c>
      <c r="K40" s="12">
        <f>Z40*Population!$O$28+AA40*Population!$O$29+AB40*Population!$O$30+AC40*Population!$O$31+AD40*Population!$O$32+AE40*Population!$O$33+AF40*Population!$O$34+AG40*Population!$O$35+AH40*Population!$O$36+AI40*Population!$O$37+AJ40*Population!$O$38+AK40*Population!$O$39+AL40*Population!$O$40+AM40*Population!$O$41+AN40*Population!$O$42+AO40*Population!$O$43+AP40*Population!$O$44+AQ40*Population!$O$45</f>
        <v>11.308366694020457</v>
      </c>
      <c r="L40" s="12">
        <f t="shared" si="8"/>
        <v>6.030923004607365E-2</v>
      </c>
      <c r="M40" s="12">
        <f t="shared" si="24"/>
        <v>5.6350042953974731</v>
      </c>
      <c r="N40" s="12">
        <f t="shared" si="18"/>
        <v>0.25025329280648428</v>
      </c>
      <c r="O40" s="12">
        <f t="shared" si="21"/>
        <v>391.72223596735017</v>
      </c>
      <c r="P40" s="12">
        <f t="shared" si="10"/>
        <v>174.13888201632491</v>
      </c>
      <c r="Q40" s="12">
        <f t="shared" si="11"/>
        <v>121.27709945763139</v>
      </c>
      <c r="R40" s="12">
        <f t="shared" si="25"/>
        <v>0.1251126149388076</v>
      </c>
      <c r="S40" s="12">
        <f t="shared" si="19"/>
        <v>0.88395371581890814</v>
      </c>
      <c r="T40" s="12">
        <f>Population!$B$13*MIN(X39:Y39)</f>
        <v>5.8431895329165187</v>
      </c>
      <c r="U40" s="12">
        <f>W39*Population!$B$14</f>
        <v>1.0467010679511983</v>
      </c>
      <c r="V40" s="12">
        <f>AM39*S39*Population!$B$12</f>
        <v>5.1077844405067765</v>
      </c>
      <c r="W40" s="12">
        <f t="shared" si="16"/>
        <v>174.13888201632491</v>
      </c>
      <c r="X40" s="14">
        <f t="shared" si="26"/>
        <v>23.411696847538821</v>
      </c>
      <c r="Y40" s="13">
        <f t="shared" si="27"/>
        <v>23.411696847538821</v>
      </c>
      <c r="Z40" s="18">
        <f>(G40+Population!$B$11*Z39)*Population!M$28</f>
        <v>82.908342819984853</v>
      </c>
      <c r="AA40" s="18">
        <f>Z39*Population!$B$12*Population!$M$28+AA39*Population!$B$11*Population!$M$29</f>
        <v>82.621439897300363</v>
      </c>
      <c r="AB40" s="14">
        <f>(AA39*Population!$B$12*0.5*Population!$M$29)+(AB39*Population!$B$11*Population!M$30)</f>
        <v>40.852197113513519</v>
      </c>
      <c r="AC40" s="13">
        <f>(AA39*Population!$B$12*0.5*Population!$M$29)+(AC39*Population!$B$11*Population!M$30)</f>
        <v>40.852197113513519</v>
      </c>
      <c r="AD40" s="14">
        <f>(AB39*Population!$B$12*Population!M$30)+(AD39*Population!$B$11*Population!M$32)</f>
        <v>40.19401339357816</v>
      </c>
      <c r="AE40" s="13">
        <f>(AC39*Population!$B$12*Population!M$30)+(AE39*Population!$B$11*Population!M$32)</f>
        <v>40.19401339357816</v>
      </c>
      <c r="AF40" s="14">
        <f>(AD39*Population!$B$12*Population!M$32)+(AF39*Population!$B$11*Population!M$34)</f>
        <v>39.321188034677114</v>
      </c>
      <c r="AG40" s="13">
        <f>(AE39*Population!$B$12*Population!M$32)+(AG39*Population!$B$11*Population!M$34)</f>
        <v>39.321188034677114</v>
      </c>
      <c r="AH40" s="14">
        <f>(AF39*Population!$B$12*Population!M$34)+(AH39*Population!$B$11*Population!M$36)</f>
        <v>38.819888775091677</v>
      </c>
      <c r="AI40" s="13">
        <f>(AG39*Population!$B$12*Population!M$34)+(AI39*Population!$B$11*Population!M$36)</f>
        <v>38.819888775091677</v>
      </c>
      <c r="AJ40" s="14">
        <f>(AH39*Population!$B$12*Population!M$36)+(AJ39*Population!$B$11*Population!M$38)</f>
        <v>39.082777778716718</v>
      </c>
      <c r="AK40" s="13">
        <f>(AI39*Population!$B$12*Population!M$36)+(AK39*Population!$B$11*Population!M$38)</f>
        <v>39.082777778716718</v>
      </c>
      <c r="AL40" s="14">
        <f>(AJ39*Population!$B$12*Population!M$38)+(AL39*Population!$B$11*Population!M$40)</f>
        <v>40.132710881800087</v>
      </c>
      <c r="AM40" s="13">
        <f>(AK39*Population!$B$12*Population!M$38)+(AM39*Population!$B$11*Population!M$40)</f>
        <v>40.132710881800087</v>
      </c>
      <c r="AN40" s="15">
        <f>(AL39+AM39)*Population!$B$12*Population!$M$40+AN39*Population!$B$11*Population!$M$42</f>
        <v>80.463902631741533</v>
      </c>
      <c r="AO40" s="5">
        <f>AN39*Population!M$42*Population!$B$12+AO39*Population!$B$11*Population!M$43</f>
        <v>79.481147924526809</v>
      </c>
      <c r="AP40" s="5">
        <f>AO39*Population!M$43*Population!$B$12+AP39*Population!$B$11*Population!M$44</f>
        <v>61.34740364156638</v>
      </c>
      <c r="AQ40" s="5">
        <f>(AP39*Population!$B$12+AQ39)*Population!M$45</f>
        <v>123.4861509446031</v>
      </c>
    </row>
    <row r="41" spans="1:43">
      <c r="A41">
        <f>A40+Population!$B$2</f>
        <v>38</v>
      </c>
      <c r="B41" s="4">
        <f t="shared" si="5"/>
        <v>987</v>
      </c>
      <c r="C41" s="59">
        <f t="shared" si="20"/>
        <v>382</v>
      </c>
      <c r="D41" s="12">
        <f>AC40*Population!$P$31*Population!$C$2+AE40*Population!$P$33*Population!$C$2+AG40*Population!$P$35*Population!$C$2+AI40*Population!$P$37*Population!$C$2+AK40*Population!$P$39*Population!$C$2+AM39*Population!$P$41*Population!$C$2</f>
        <v>13.208024570206069</v>
      </c>
      <c r="E41" s="12">
        <f>IF(B40&gt;Population!$B$6*Population!$B$15,Population!$B$8,IF(Population!$J$6=1,D41,Population!$B$8*Population!$B$6*0.9/B40))</f>
        <v>11.880918319076509</v>
      </c>
      <c r="F41" s="12">
        <f>IF(B40&gt;Population!$B$6*0.75,Population!$B$8,E41)</f>
        <v>11.880918319076509</v>
      </c>
      <c r="G41" s="15">
        <f>IF(Population!$J$6=1,IF(E41&gt;H40,H40,E41),IF(E41&gt;W40,W40,E41))</f>
        <v>11.880918319076509</v>
      </c>
      <c r="H41" s="15">
        <f t="shared" si="22"/>
        <v>197</v>
      </c>
      <c r="I41" s="15">
        <f t="shared" si="23"/>
        <v>247</v>
      </c>
      <c r="J41" s="12">
        <f t="shared" si="17"/>
        <v>1.2538071065989849</v>
      </c>
      <c r="K41" s="12">
        <f>Z41*Population!$O$28+AA41*Population!$O$29+AB41*Population!$O$30+AC41*Population!$O$31+AD41*Population!$O$32+AE41*Population!$O$33+AF41*Population!$O$34+AG41*Population!$O$35+AH41*Population!$O$36+AI41*Population!$O$37+AJ41*Population!$O$38+AK41*Population!$O$39+AL41*Population!$O$40+AM41*Population!$O$41+AN41*Population!$O$42+AO41*Population!$O$43+AP41*Population!$O$44+AQ41*Population!$O$45</f>
        <v>11.397997192295637</v>
      </c>
      <c r="L41" s="12">
        <f t="shared" si="8"/>
        <v>6.030923004607365E-2</v>
      </c>
      <c r="M41" s="12">
        <f t="shared" si="24"/>
        <v>5.6401033433250189</v>
      </c>
      <c r="N41" s="12">
        <f t="shared" si="18"/>
        <v>0.25025329280648428</v>
      </c>
      <c r="O41" s="12">
        <f t="shared" si="21"/>
        <v>392.24189953059187</v>
      </c>
      <c r="P41" s="12">
        <f t="shared" si="10"/>
        <v>173.87905023470407</v>
      </c>
      <c r="Q41" s="12">
        <f t="shared" si="11"/>
        <v>123.4861509446031</v>
      </c>
      <c r="R41" s="12">
        <f t="shared" si="25"/>
        <v>0.12722268736456313</v>
      </c>
      <c r="S41" s="12">
        <f t="shared" si="19"/>
        <v>0.88263477276499525</v>
      </c>
      <c r="T41" s="12">
        <f>Population!$B$13*MIN(X40:Y40)</f>
        <v>5.8529242118847051</v>
      </c>
      <c r="U41" s="12">
        <f>W40*Population!$B$14</f>
        <v>1.0448332920979495</v>
      </c>
      <c r="V41" s="12">
        <f>AM40*S40*Population!$B$12</f>
        <v>5.0679227014075883</v>
      </c>
      <c r="W41" s="12">
        <f t="shared" si="16"/>
        <v>173.87905023470407</v>
      </c>
      <c r="X41" s="14">
        <f t="shared" si="26"/>
        <v>23.439328970515163</v>
      </c>
      <c r="Y41" s="13">
        <f t="shared" si="27"/>
        <v>23.439328970515163</v>
      </c>
      <c r="Z41" s="18">
        <f>(G41+Population!$B$11*Z40)*Population!M$28</f>
        <v>82.911536408638923</v>
      </c>
      <c r="AA41" s="18">
        <f>Z40*Population!$B$12*Population!$M$28+AA40*Population!$B$11*Population!$M$29</f>
        <v>82.641683210391534</v>
      </c>
      <c r="AB41" s="14">
        <f>(AA40*Population!$B$12*0.5*Population!$M$29)+(AB40*Population!$B$11*Population!M$30)</f>
        <v>40.883002122092542</v>
      </c>
      <c r="AC41" s="13">
        <f>(AA40*Population!$B$12*0.5*Population!$M$29)+(AC40*Population!$B$11*Population!M$30)</f>
        <v>40.883002122092542</v>
      </c>
      <c r="AD41" s="14">
        <f>(AB40*Population!$B$12*Population!M$30)+(AD40*Population!$B$11*Population!M$32)</f>
        <v>40.249645137506981</v>
      </c>
      <c r="AE41" s="13">
        <f>(AC40*Population!$B$12*Population!M$30)+(AE40*Population!$B$11*Population!M$32)</f>
        <v>40.249645137506981</v>
      </c>
      <c r="AF41" s="14">
        <f>(AD40*Population!$B$12*Population!M$32)+(AF40*Population!$B$11*Population!M$34)</f>
        <v>39.37569380295961</v>
      </c>
      <c r="AG41" s="13">
        <f>(AE40*Population!$B$12*Population!M$32)+(AG40*Population!$B$11*Population!M$34)</f>
        <v>39.37569380295961</v>
      </c>
      <c r="AH41" s="14">
        <f>(AF40*Population!$B$12*Population!M$34)+(AH40*Population!$B$11*Population!M$36)</f>
        <v>38.816831269358794</v>
      </c>
      <c r="AI41" s="13">
        <f>(AG40*Population!$B$12*Population!M$34)+(AI40*Population!$B$11*Population!M$36)</f>
        <v>38.816831269358794</v>
      </c>
      <c r="AJ41" s="14">
        <f>(AH40*Population!$B$12*Population!M$36)+(AJ40*Population!$B$11*Population!M$38)</f>
        <v>38.970255380133288</v>
      </c>
      <c r="AK41" s="13">
        <f>(AI40*Population!$B$12*Population!M$36)+(AK40*Population!$B$11*Population!M$38)</f>
        <v>38.970255380133288</v>
      </c>
      <c r="AL41" s="14">
        <f>(AJ40*Population!$B$12*Population!M$38)+(AL40*Population!$B$11*Population!M$40)</f>
        <v>39.905953615260543</v>
      </c>
      <c r="AM41" s="13">
        <f>(AK40*Population!$B$12*Population!M$38)+(AM40*Population!$B$11*Population!M$40)</f>
        <v>39.905953615260543</v>
      </c>
      <c r="AN41" s="15">
        <f>(AL40+AM40)*Population!$B$12*Population!$M$40+AN40*Population!$B$11*Population!$M$42</f>
        <v>79.913506882826084</v>
      </c>
      <c r="AO41" s="5">
        <f>AN40*Population!M$42*Population!$B$12+AO40*Population!$B$11*Population!M$43</f>
        <v>79.044285278586486</v>
      </c>
      <c r="AP41" s="5">
        <f>AO40*Population!M$43*Population!$B$12+AP40*Population!$B$11*Population!M$44</f>
        <v>61.199100922805812</v>
      </c>
      <c r="AQ41" s="5">
        <f>(AP40*Population!$B$12+AQ40)*Population!M$45</f>
        <v>125.56879242882381</v>
      </c>
    </row>
    <row r="42" spans="1:43">
      <c r="A42">
        <f>A41+Population!$B$2</f>
        <v>39</v>
      </c>
      <c r="B42" s="4">
        <f t="shared" si="5"/>
        <v>988</v>
      </c>
      <c r="C42" s="59">
        <f t="shared" si="20"/>
        <v>382</v>
      </c>
      <c r="D42" s="12">
        <f>AC41*Population!$P$31*Population!$C$2+AE41*Population!$P$33*Population!$C$2+AG41*Population!$P$35*Population!$C$2+AI41*Population!$P$37*Population!$C$2+AK41*Population!$P$39*Population!$C$2+AM40*Population!$P$41*Population!$C$2</f>
        <v>13.207493025525812</v>
      </c>
      <c r="E42" s="12">
        <f>IF(B41&gt;Population!$B$6*Population!$B$15,Population!$B$8,IF(Population!$J$6=1,D42,Population!$B$8*Population!$B$6*0.9/B41))</f>
        <v>11.880918319076509</v>
      </c>
      <c r="F42" s="12">
        <f>IF(B41&gt;Population!$B$6*0.75,Population!$B$8,E42)</f>
        <v>11.880918319076509</v>
      </c>
      <c r="G42" s="15">
        <f>IF(Population!$J$6=1,IF(E42&gt;H41,H41,E42),IF(E42&gt;W41,W41,E42))</f>
        <v>11.880918319076509</v>
      </c>
      <c r="H42" s="15">
        <f t="shared" si="22"/>
        <v>197</v>
      </c>
      <c r="I42" s="15">
        <f t="shared" si="23"/>
        <v>247</v>
      </c>
      <c r="J42" s="12">
        <f t="shared" si="17"/>
        <v>1.2538071065989849</v>
      </c>
      <c r="K42" s="12">
        <f>Z42*Population!$O$28+AA42*Population!$O$29+AB42*Population!$O$30+AC42*Population!$O$31+AD42*Population!$O$32+AE42*Population!$O$33+AF42*Population!$O$34+AG42*Population!$O$35+AH42*Population!$O$36+AI42*Population!$O$37+AJ42*Population!$O$38+AK42*Population!$O$39+AL42*Population!$O$40+AM42*Population!$O$41+AN42*Population!$O$42+AO42*Population!$O$43+AP42*Population!$O$44+AQ42*Population!$O$45</f>
        <v>11.479736456231347</v>
      </c>
      <c r="L42" s="12">
        <f t="shared" si="8"/>
        <v>6.030923004607365E-2</v>
      </c>
      <c r="M42" s="12">
        <f t="shared" si="24"/>
        <v>5.6454252803866796</v>
      </c>
      <c r="N42" s="12">
        <f t="shared" si="18"/>
        <v>0.25</v>
      </c>
      <c r="O42" s="12">
        <f t="shared" si="21"/>
        <v>393.67232144848668</v>
      </c>
      <c r="P42" s="12">
        <f t="shared" si="10"/>
        <v>173.66383927575666</v>
      </c>
      <c r="Q42" s="12">
        <f t="shared" si="11"/>
        <v>125.56879242882381</v>
      </c>
      <c r="R42" s="12">
        <f t="shared" si="25"/>
        <v>0.12907500312195244</v>
      </c>
      <c r="S42" s="12">
        <f t="shared" si="19"/>
        <v>0.8815423313490186</v>
      </c>
      <c r="T42" s="12">
        <f>Population!$B$13*MIN(X41:Y41)</f>
        <v>5.8598322426287908</v>
      </c>
      <c r="U42" s="12">
        <f>W41*Population!$B$14</f>
        <v>1.0432743014082244</v>
      </c>
      <c r="V42" s="12">
        <f>AM41*S41*Population!$B$12</f>
        <v>5.0317689001679895</v>
      </c>
      <c r="W42" s="12">
        <f t="shared" si="16"/>
        <v>173.66383927575666</v>
      </c>
      <c r="X42" s="14">
        <f t="shared" si="26"/>
        <v>23.459568110629476</v>
      </c>
      <c r="Y42" s="13">
        <f t="shared" si="27"/>
        <v>23.459568110629476</v>
      </c>
      <c r="Z42" s="18">
        <f>(G42+Population!$B$11*Z41)*Population!M$28</f>
        <v>82.914272658973559</v>
      </c>
      <c r="AA42" s="18">
        <f>Z41*Population!$B$12*Population!$M$28+AA41*Population!$B$11*Population!$M$29</f>
        <v>82.659486759267452</v>
      </c>
      <c r="AB42" s="14">
        <f>(AA41*Population!$B$12*0.5*Population!$M$29)+(AB41*Population!$B$11*Population!M$30)</f>
        <v>40.910826877465105</v>
      </c>
      <c r="AC42" s="13">
        <f>(AA41*Population!$B$12*0.5*Population!$M$29)+(AC41*Population!$B$11*Population!M$30)</f>
        <v>40.910826877465105</v>
      </c>
      <c r="AD42" s="14">
        <f>(AB41*Population!$B$12*Population!M$30)+(AD41*Population!$B$11*Population!M$32)</f>
        <v>40.301680567887978</v>
      </c>
      <c r="AE42" s="13">
        <f>(AC41*Population!$B$12*Population!M$30)+(AE41*Population!$B$11*Population!M$32)</f>
        <v>40.301680567887978</v>
      </c>
      <c r="AF42" s="14">
        <f>(AD41*Population!$B$12*Population!M$32)+(AF41*Population!$B$11*Population!M$34)</f>
        <v>39.430263150119785</v>
      </c>
      <c r="AG42" s="13">
        <f>(AE41*Population!$B$12*Population!M$32)+(AG41*Population!$B$11*Population!M$34)</f>
        <v>39.430263150119785</v>
      </c>
      <c r="AH42" s="14">
        <f>(AF41*Population!$B$12*Population!M$34)+(AH41*Population!$B$11*Population!M$36)</f>
        <v>38.821987170112529</v>
      </c>
      <c r="AI42" s="13">
        <f>(AG41*Population!$B$12*Population!M$34)+(AI41*Population!$B$11*Population!M$36)</f>
        <v>38.821987170112529</v>
      </c>
      <c r="AJ42" s="14">
        <f>(AH41*Population!$B$12*Population!M$36)+(AJ41*Population!$B$11*Population!M$38)</f>
        <v>38.873556841734604</v>
      </c>
      <c r="AK42" s="13">
        <f>(AI41*Population!$B$12*Population!M$36)+(AK41*Population!$B$11*Population!M$38)</f>
        <v>38.873556841734604</v>
      </c>
      <c r="AL42" s="14">
        <f>(AJ41*Population!$B$12*Population!M$38)+(AL41*Population!$B$11*Population!M$40)</f>
        <v>39.695919656531274</v>
      </c>
      <c r="AM42" s="13">
        <f>(AK41*Population!$B$12*Population!M$38)+(AM41*Population!$B$11*Population!M$40)</f>
        <v>39.695919656531274</v>
      </c>
      <c r="AN42" s="15">
        <f>(AL41+AM41)*Population!$B$12*Population!$M$40+AN41*Population!$B$11*Population!$M$42</f>
        <v>79.380496016598869</v>
      </c>
      <c r="AO42" s="5">
        <f>AN41*Population!M$42*Population!$B$12+AO41*Population!$B$11*Population!M$43</f>
        <v>78.594488459975139</v>
      </c>
      <c r="AP42" s="5">
        <f>AO41*Population!M$43*Population!$B$12+AP41*Population!$B$11*Population!M$44</f>
        <v>61.016449753632962</v>
      </c>
      <c r="AQ42" s="5">
        <f>(AP41*Population!$B$12+AQ41)*Population!M$45</f>
        <v>127.52610308448902</v>
      </c>
    </row>
    <row r="43" spans="1:43">
      <c r="A43">
        <f>A42+Population!$B$2</f>
        <v>40</v>
      </c>
      <c r="B43" s="4">
        <f t="shared" si="5"/>
        <v>988</v>
      </c>
      <c r="C43" s="59">
        <f t="shared" si="20"/>
        <v>381</v>
      </c>
      <c r="D43" s="12">
        <f>AC42*Population!$P$31*Population!$C$2+AE42*Population!$P$33*Population!$C$2+AG42*Population!$P$35*Population!$C$2+AI42*Population!$P$37*Population!$C$2+AK42*Population!$P$39*Population!$C$2+AM41*Population!$P$41*Population!$C$2</f>
        <v>13.208281643937028</v>
      </c>
      <c r="E43" s="12">
        <f>IF(B42&gt;Population!$B$6*Population!$B$15,Population!$B$8,IF(Population!$J$6=1,D43,Population!$B$8*Population!$B$6*0.9/B42))</f>
        <v>11.880918319076509</v>
      </c>
      <c r="F43" s="12">
        <f>IF(B42&gt;Population!$B$6*0.75,Population!$B$8,E43)</f>
        <v>11.880918319076509</v>
      </c>
      <c r="G43" s="15">
        <f>IF(Population!$J$6=1,IF(E43&gt;H42,H42,E43),IF(E43&gt;W42,W42,E43))</f>
        <v>11.880918319076509</v>
      </c>
      <c r="H43" s="15">
        <f t="shared" si="22"/>
        <v>196</v>
      </c>
      <c r="I43" s="15">
        <f t="shared" si="23"/>
        <v>247</v>
      </c>
      <c r="J43" s="12">
        <f t="shared" si="17"/>
        <v>1.260204081632653</v>
      </c>
      <c r="K43" s="12">
        <f>Z43*Population!$O$28+AA43*Population!$O$29+AB43*Population!$O$30+AC43*Population!$O$31+AD43*Population!$O$32+AE43*Population!$O$33+AF43*Population!$O$34+AG43*Population!$O$35+AH43*Population!$O$36+AI43*Population!$O$37+AJ43*Population!$O$38+AK43*Population!$O$39+AL43*Population!$O$40+AM43*Population!$O$41+AN43*Population!$O$42+AO43*Population!$O$43+AP43*Population!$O$44+AQ43*Population!$O$45</f>
        <v>11.55393631951663</v>
      </c>
      <c r="L43" s="12">
        <f t="shared" si="8"/>
        <v>6.0616930199369944E-2</v>
      </c>
      <c r="M43" s="12">
        <f t="shared" si="24"/>
        <v>5.6508934922869036</v>
      </c>
      <c r="N43" s="12">
        <f t="shared" si="18"/>
        <v>0.25</v>
      </c>
      <c r="O43" s="12">
        <f t="shared" si="21"/>
        <v>394.02468448135585</v>
      </c>
      <c r="P43" s="12">
        <f t="shared" si="10"/>
        <v>173.48765775932208</v>
      </c>
      <c r="Q43" s="12">
        <f t="shared" si="11"/>
        <v>127.52610308448902</v>
      </c>
      <c r="R43" s="12">
        <f t="shared" si="25"/>
        <v>0.13093092672190626</v>
      </c>
      <c r="S43" s="12">
        <f t="shared" si="19"/>
        <v>0.88514111101694937</v>
      </c>
      <c r="T43" s="12">
        <f>Population!$B$13*MIN(X42:Y42)</f>
        <v>5.8648920276573691</v>
      </c>
      <c r="U43" s="12">
        <f>W42*Population!$B$14</f>
        <v>1.0419830356545399</v>
      </c>
      <c r="V43" s="12">
        <f>AM42*S42*Population!$B$12</f>
        <v>4.9990905084374155</v>
      </c>
      <c r="W43" s="12">
        <f t="shared" si="16"/>
        <v>173.48765775932208</v>
      </c>
      <c r="X43" s="14">
        <f t="shared" si="26"/>
        <v>23.475120891228556</v>
      </c>
      <c r="Y43" s="13">
        <f t="shared" si="27"/>
        <v>23.475120891228556</v>
      </c>
      <c r="Z43" s="18">
        <f>(G43+Population!$B$11*Z42)*Population!M$28</f>
        <v>82.916617064188131</v>
      </c>
      <c r="AA43" s="18">
        <f>Z42*Population!$B$12*Population!$M$28+AA42*Population!$B$11*Population!$M$29</f>
        <v>82.6751342446791</v>
      </c>
      <c r="AB43" s="14">
        <f>(AA42*Population!$B$12*0.5*Population!$M$29)+(AB42*Population!$B$11*Population!M$30)</f>
        <v>40.935925334868372</v>
      </c>
      <c r="AC43" s="13">
        <f>(AA42*Population!$B$12*0.5*Population!$M$29)+(AC42*Population!$B$11*Population!M$30)</f>
        <v>40.935925334868372</v>
      </c>
      <c r="AD43" s="14">
        <f>(AB42*Population!$B$12*Population!M$30)+(AD42*Population!$B$11*Population!M$32)</f>
        <v>40.350211036755944</v>
      </c>
      <c r="AE43" s="13">
        <f>(AC42*Population!$B$12*Population!M$30)+(AE42*Population!$B$11*Population!M$32)</f>
        <v>40.350211036755944</v>
      </c>
      <c r="AF43" s="14">
        <f>(AD42*Population!$B$12*Population!M$32)+(AF42*Population!$B$11*Population!M$34)</f>
        <v>39.484373619362302</v>
      </c>
      <c r="AG43" s="13">
        <f>(AE42*Population!$B$12*Population!M$32)+(AG42*Population!$B$11*Population!M$34)</f>
        <v>39.484373619362302</v>
      </c>
      <c r="AH43" s="14">
        <f>(AF42*Population!$B$12*Population!M$34)+(AH42*Population!$B$11*Population!M$36)</f>
        <v>38.834178681906721</v>
      </c>
      <c r="AI43" s="13">
        <f>(AG42*Population!$B$12*Population!M$34)+(AI42*Population!$B$11*Population!M$36)</f>
        <v>38.834178681906721</v>
      </c>
      <c r="AJ43" s="14">
        <f>(AH42*Population!$B$12*Population!M$36)+(AJ42*Population!$B$11*Population!M$38)</f>
        <v>38.791566661476679</v>
      </c>
      <c r="AK43" s="13">
        <f>(AI42*Population!$B$12*Population!M$36)+(AK42*Population!$B$11*Population!M$38)</f>
        <v>38.791566661476679</v>
      </c>
      <c r="AL43" s="14">
        <f>(AJ42*Population!$B$12*Population!M$38)+(AL42*Population!$B$11*Population!M$40)</f>
        <v>39.502448651048987</v>
      </c>
      <c r="AM43" s="13">
        <f>(AK42*Population!$B$12*Population!M$38)+(AM42*Population!$B$11*Population!M$40)</f>
        <v>39.502448651048987</v>
      </c>
      <c r="AN43" s="15">
        <f>(AL42+AM42)*Population!$B$12*Population!$M$40+AN42*Population!$B$11*Population!$M$42</f>
        <v>78.867047357778958</v>
      </c>
      <c r="AO43" s="5">
        <f>AN42*Population!M$42*Population!$B$12+AO42*Population!$B$11*Population!M$43</f>
        <v>78.136151133188633</v>
      </c>
      <c r="AP43" s="5">
        <f>AO42*Population!M$43*Population!$B$12+AP42*Population!$B$11*Population!M$44</f>
        <v>60.804010098730984</v>
      </c>
      <c r="AQ43" s="5">
        <f>(AP42*Population!$B$12+AQ42)*Population!M$45</f>
        <v>129.35975560124339</v>
      </c>
    </row>
    <row r="44" spans="1:43">
      <c r="A44">
        <f>A43+Population!$B$2</f>
        <v>41</v>
      </c>
      <c r="B44" s="4">
        <f t="shared" si="5"/>
        <v>988</v>
      </c>
      <c r="C44" s="59">
        <f t="shared" si="20"/>
        <v>381</v>
      </c>
      <c r="D44" s="12">
        <f>AC43*Population!$P$31*Population!$C$2+AE43*Population!$P$33*Population!$C$2+AG43*Population!$P$35*Population!$C$2+AI43*Population!$P$37*Population!$C$2+AK43*Population!$P$39*Population!$C$2+AM42*Population!$P$41*Population!$C$2</f>
        <v>13.210219380986846</v>
      </c>
      <c r="E44" s="12">
        <f>IF(B43&gt;Population!$B$6*Population!$B$15,Population!$B$8,IF(Population!$J$6=1,D44,Population!$B$8*Population!$B$6*0.9/B43))</f>
        <v>11.880918319076509</v>
      </c>
      <c r="F44" s="12">
        <f>IF(B43&gt;Population!$B$6*0.75,Population!$B$8,E44)</f>
        <v>11.880918319076509</v>
      </c>
      <c r="G44" s="15">
        <f>IF(Population!$J$6=1,IF(E44&gt;H43,H43,E44),IF(E44&gt;W43,W43,E44))</f>
        <v>11.880918319076509</v>
      </c>
      <c r="H44" s="15">
        <f t="shared" si="22"/>
        <v>196</v>
      </c>
      <c r="I44" s="15">
        <f t="shared" si="23"/>
        <v>247</v>
      </c>
      <c r="J44" s="12">
        <f t="shared" si="17"/>
        <v>1.260204081632653</v>
      </c>
      <c r="K44" s="12">
        <f>Z44*Population!$O$28+AA44*Population!$O$29+AB44*Population!$O$30+AC44*Population!$O$31+AD44*Population!$O$32+AE44*Population!$O$33+AF44*Population!$O$34+AG44*Population!$O$35+AH44*Population!$O$36+AI44*Population!$O$37+AJ44*Population!$O$38+AK44*Population!$O$39+AL44*Population!$O$40+AM44*Population!$O$41+AN44*Population!$O$42+AO44*Population!$O$43+AP44*Population!$O$44+AQ44*Population!$O$45</f>
        <v>11.620959155835667</v>
      </c>
      <c r="L44" s="12">
        <f t="shared" si="8"/>
        <v>6.0616930199369944E-2</v>
      </c>
      <c r="M44" s="12">
        <f t="shared" si="24"/>
        <v>5.6564412388068463</v>
      </c>
      <c r="N44" s="12">
        <f t="shared" si="18"/>
        <v>0.25</v>
      </c>
      <c r="O44" s="12">
        <f t="shared" si="21"/>
        <v>394.35904486796187</v>
      </c>
      <c r="P44" s="12">
        <f t="shared" si="10"/>
        <v>173.32047756601906</v>
      </c>
      <c r="Q44" s="12">
        <f t="shared" si="11"/>
        <v>129.35975560124339</v>
      </c>
      <c r="R44" s="12">
        <f t="shared" si="25"/>
        <v>0.13266392376321906</v>
      </c>
      <c r="S44" s="12">
        <f t="shared" si="19"/>
        <v>0.88428815084703605</v>
      </c>
      <c r="T44" s="12">
        <f>Population!$B$13*MIN(X43:Y43)</f>
        <v>5.8687802228071391</v>
      </c>
      <c r="U44" s="12">
        <f>W43*Population!$B$14</f>
        <v>1.0409259465559324</v>
      </c>
      <c r="V44" s="12">
        <f>AM43*S43*Population!$B$12</f>
        <v>4.9950344695542128</v>
      </c>
      <c r="W44" s="12">
        <f t="shared" si="16"/>
        <v>173.32047756601906</v>
      </c>
      <c r="X44" s="14">
        <f t="shared" si="26"/>
        <v>23.513195410507251</v>
      </c>
      <c r="Y44" s="13">
        <f t="shared" si="27"/>
        <v>23.513195410507251</v>
      </c>
      <c r="Z44" s="18">
        <f>(G44+Population!$B$11*Z43)*Population!M$28</f>
        <v>82.91862573851904</v>
      </c>
      <c r="AA44" s="18">
        <f>Z43*Population!$B$12*Population!$M$28+AA43*Population!$B$11*Population!$M$29</f>
        <v>82.688878136357772</v>
      </c>
      <c r="AB44" s="14">
        <f>(AA43*Population!$B$12*0.5*Population!$M$29)+(AB43*Population!$B$11*Population!M$30)</f>
        <v>40.958535222554644</v>
      </c>
      <c r="AC44" s="13">
        <f>(AA43*Population!$B$12*0.5*Population!$M$29)+(AC43*Population!$B$11*Population!M$30)</f>
        <v>40.958535222554644</v>
      </c>
      <c r="AD44" s="14">
        <f>(AB43*Population!$B$12*Population!M$30)+(AD43*Population!$B$11*Population!M$32)</f>
        <v>40.395351015978825</v>
      </c>
      <c r="AE44" s="13">
        <f>(AC43*Population!$B$12*Population!M$30)+(AE43*Population!$B$11*Population!M$32)</f>
        <v>40.395351015978825</v>
      </c>
      <c r="AF44" s="14">
        <f>(AD43*Population!$B$12*Population!M$32)+(AF43*Population!$B$11*Population!M$34)</f>
        <v>39.537591288245238</v>
      </c>
      <c r="AG44" s="13">
        <f>(AE43*Population!$B$12*Population!M$32)+(AG43*Population!$B$11*Population!M$34)</f>
        <v>39.537591288245238</v>
      </c>
      <c r="AH44" s="14">
        <f>(AF43*Population!$B$12*Population!M$34)+(AH43*Population!$B$11*Population!M$36)</f>
        <v>38.852323710719702</v>
      </c>
      <c r="AI44" s="13">
        <f>(AG43*Population!$B$12*Population!M$34)+(AI43*Population!$B$11*Population!M$36)</f>
        <v>38.852323710719702</v>
      </c>
      <c r="AJ44" s="14">
        <f>(AH43*Population!$B$12*Population!M$36)+(AJ43*Population!$B$11*Population!M$38)</f>
        <v>38.723162597108185</v>
      </c>
      <c r="AK44" s="13">
        <f>(AI43*Population!$B$12*Population!M$36)+(AK43*Population!$B$11*Population!M$38)</f>
        <v>38.723162597108185</v>
      </c>
      <c r="AL44" s="14">
        <f>(AJ43*Population!$B$12*Population!M$38)+(AL43*Population!$B$11*Population!M$40)</f>
        <v>39.325244364474358</v>
      </c>
      <c r="AM44" s="13">
        <f>(AK43*Population!$B$12*Population!M$38)+(AM43*Population!$B$11*Population!M$40)</f>
        <v>39.325244364474358</v>
      </c>
      <c r="AN44" s="15">
        <f>(AL43+AM43)*Population!$B$12*Population!$M$40+AN43*Population!$B$11*Population!$M$42</f>
        <v>78.37496792655547</v>
      </c>
      <c r="AO44" s="5">
        <f>AN43*Population!M$42*Population!$B$12+AO43*Population!$B$11*Population!M$43</f>
        <v>77.673320784181882</v>
      </c>
      <c r="AP44" s="5">
        <f>AO43*Population!M$43*Population!$B$12+AP43*Population!$B$11*Population!M$44</f>
        <v>60.566116155533088</v>
      </c>
      <c r="AQ44" s="5">
        <f>(AP43*Population!$B$12+AQ43)*Population!M$45</f>
        <v>131.07195667806045</v>
      </c>
    </row>
    <row r="45" spans="1:43">
      <c r="A45">
        <f>A44+Population!$B$2</f>
        <v>42</v>
      </c>
      <c r="B45" s="4">
        <f t="shared" si="5"/>
        <v>989</v>
      </c>
      <c r="C45" s="59">
        <f t="shared" si="20"/>
        <v>382</v>
      </c>
      <c r="D45" s="12">
        <f>AC44*Population!$P$31*Population!$C$2+AE44*Population!$P$33*Population!$C$2+AG44*Population!$P$35*Population!$C$2+AI44*Population!$P$37*Population!$C$2+AK44*Population!$P$39*Population!$C$2+AM43*Population!$P$41*Population!$C$2</f>
        <v>13.213148558182265</v>
      </c>
      <c r="E45" s="12">
        <f>IF(B44&gt;Population!$B$6*Population!$B$15,Population!$B$8,IF(Population!$J$6=1,D45,Population!$B$8*Population!$B$6*0.9/B44))</f>
        <v>11.880918319076509</v>
      </c>
      <c r="F45" s="12">
        <f>IF(B44&gt;Population!$B$6*0.75,Population!$B$8,E45)</f>
        <v>11.880918319076509</v>
      </c>
      <c r="G45" s="15">
        <f>IF(Population!$J$6=1,IF(E45&gt;H44,H44,E45),IF(E45&gt;W44,W44,E45))</f>
        <v>11.880918319076509</v>
      </c>
      <c r="H45" s="15">
        <f t="shared" si="22"/>
        <v>196</v>
      </c>
      <c r="I45" s="15">
        <f t="shared" si="23"/>
        <v>247</v>
      </c>
      <c r="J45" s="12">
        <f t="shared" si="17"/>
        <v>1.260204081632653</v>
      </c>
      <c r="K45" s="12">
        <f>Z45*Population!$O$28+AA45*Population!$O$29+AB45*Population!$O$30+AC45*Population!$O$31+AD45*Population!$O$32+AE45*Population!$O$33+AF45*Population!$O$34+AG45*Population!$O$35+AH45*Population!$O$36+AI45*Population!$O$37+AJ45*Population!$O$38+AK45*Population!$O$39+AL45*Population!$O$40+AM45*Population!$O$41+AN45*Population!$O$42+AO45*Population!$O$43+AP45*Population!$O$44+AQ45*Population!$O$45</f>
        <v>11.681174801979278</v>
      </c>
      <c r="L45" s="12">
        <f t="shared" si="8"/>
        <v>6.0616930199369944E-2</v>
      </c>
      <c r="M45" s="12">
        <f t="shared" si="24"/>
        <v>5.6620108758481971</v>
      </c>
      <c r="N45" s="12">
        <f t="shared" si="18"/>
        <v>0.24974721941354905</v>
      </c>
      <c r="O45" s="12">
        <f t="shared" si="21"/>
        <v>395.61796364226296</v>
      </c>
      <c r="P45" s="12">
        <f t="shared" si="10"/>
        <v>173.19101817886852</v>
      </c>
      <c r="Q45" s="12">
        <f t="shared" si="11"/>
        <v>131.07195667806045</v>
      </c>
      <c r="R45" s="12">
        <f t="shared" si="25"/>
        <v>0.13414093975937447</v>
      </c>
      <c r="S45" s="12">
        <f t="shared" si="19"/>
        <v>0.88362764376973735</v>
      </c>
      <c r="T45" s="12">
        <f>Population!$B$13*MIN(X44:Y44)</f>
        <v>5.8782988526268127</v>
      </c>
      <c r="U45" s="12">
        <f>W44*Population!$B$14</f>
        <v>1.0399228653961143</v>
      </c>
      <c r="V45" s="12">
        <f>AM44*S44*Population!$B$12</f>
        <v>4.9678353743812655</v>
      </c>
      <c r="W45" s="12">
        <f t="shared" si="16"/>
        <v>173.19101817886852</v>
      </c>
      <c r="X45" s="14">
        <f t="shared" si="26"/>
        <v>23.542333856145689</v>
      </c>
      <c r="Y45" s="13">
        <f t="shared" si="27"/>
        <v>23.542333856145689</v>
      </c>
      <c r="Z45" s="18">
        <f>(G45+Population!$B$11*Z44)*Population!M$28</f>
        <v>82.920346760355429</v>
      </c>
      <c r="AA45" s="18">
        <f>Z44*Population!$B$12*Population!$M$28+AA44*Population!$B$11*Population!$M$29</f>
        <v>82.700942801304535</v>
      </c>
      <c r="AB45" s="14">
        <f>(AA44*Population!$B$12*0.5*Population!$M$29)+(AB44*Population!$B$11*Population!M$30)</f>
        <v>40.978878142901976</v>
      </c>
      <c r="AC45" s="13">
        <f>(AA44*Population!$B$12*0.5*Population!$M$29)+(AC44*Population!$B$11*Population!M$30)</f>
        <v>40.978878142901976</v>
      </c>
      <c r="AD45" s="14">
        <f>(AB44*Population!$B$12*Population!M$30)+(AD44*Population!$B$11*Population!M$32)</f>
        <v>40.437232459607308</v>
      </c>
      <c r="AE45" s="13">
        <f>(AC44*Population!$B$12*Population!M$30)+(AE44*Population!$B$11*Population!M$32)</f>
        <v>40.437232459607308</v>
      </c>
      <c r="AF45" s="14">
        <f>(AD44*Population!$B$12*Population!M$32)+(AF44*Population!$B$11*Population!M$34)</f>
        <v>39.58956127489877</v>
      </c>
      <c r="AG45" s="13">
        <f>(AE44*Population!$B$12*Population!M$32)+(AG44*Population!$B$11*Population!M$34)</f>
        <v>39.58956127489877</v>
      </c>
      <c r="AH45" s="14">
        <f>(AF44*Population!$B$12*Population!M$34)+(AH44*Population!$B$11*Population!M$36)</f>
        <v>38.875434658306069</v>
      </c>
      <c r="AI45" s="13">
        <f>(AG44*Population!$B$12*Population!M$34)+(AI44*Population!$B$11*Population!M$36)</f>
        <v>38.875434658306069</v>
      </c>
      <c r="AJ45" s="14">
        <f>(AH44*Population!$B$12*Population!M$36)+(AJ44*Population!$B$11*Population!M$38)</f>
        <v>38.66723028553222</v>
      </c>
      <c r="AK45" s="13">
        <f>(AI44*Population!$B$12*Population!M$36)+(AK44*Population!$B$11*Population!M$38)</f>
        <v>38.66723028553222</v>
      </c>
      <c r="AL45" s="14">
        <f>(AJ44*Population!$B$12*Population!M$38)+(AL44*Population!$B$11*Population!M$40)</f>
        <v>39.163893356669874</v>
      </c>
      <c r="AM45" s="13">
        <f>(AK44*Population!$B$12*Population!M$38)+(AM44*Population!$B$11*Population!M$40)</f>
        <v>39.163893356669874</v>
      </c>
      <c r="AN45" s="15">
        <f>(AL44+AM44)*Population!$B$12*Population!$M$40+AN44*Population!$B$11*Population!$M$42</f>
        <v>77.905710892159547</v>
      </c>
      <c r="AO45" s="5">
        <f>AN44*Population!M$42*Population!$B$12+AO44*Population!$B$11*Population!M$43</f>
        <v>77.209697808581041</v>
      </c>
      <c r="AP45" s="5">
        <f>AO44*Population!M$43*Population!$B$12+AP44*Population!$B$11*Population!M$44</f>
        <v>60.306869287518559</v>
      </c>
      <c r="AQ45" s="5">
        <f>(AP44*Population!$B$12+AQ44)*Population!M$45</f>
        <v>132.66538942202135</v>
      </c>
    </row>
    <row r="46" spans="1:43">
      <c r="A46">
        <f>A45+Population!$B$2</f>
        <v>43</v>
      </c>
      <c r="B46" s="4">
        <f t="shared" si="5"/>
        <v>989</v>
      </c>
      <c r="C46" s="59">
        <f t="shared" si="20"/>
        <v>381</v>
      </c>
      <c r="D46" s="12">
        <f>AC45*Population!$P$31*Population!$C$2+AE45*Population!$P$33*Population!$C$2+AG45*Population!$P$35*Population!$C$2+AI45*Population!$P$37*Population!$C$2+AK45*Population!$P$39*Population!$C$2+AM44*Population!$P$41*Population!$C$2</f>
        <v>13.216924401132484</v>
      </c>
      <c r="E46" s="12">
        <f>IF(B45&gt;Population!$B$6*Population!$B$15,Population!$B$8,IF(Population!$J$6=1,D46,Population!$B$8*Population!$B$6*0.9/B45))</f>
        <v>11.880918319076509</v>
      </c>
      <c r="F46" s="12">
        <f>IF(B45&gt;Population!$B$6*0.75,Population!$B$8,E46)</f>
        <v>11.880918319076509</v>
      </c>
      <c r="G46" s="15">
        <f>IF(Population!$J$6=1,IF(E46&gt;H45,H45,E46),IF(E46&gt;W45,W45,E46))</f>
        <v>11.880918319076509</v>
      </c>
      <c r="H46" s="15">
        <f t="shared" si="22"/>
        <v>196</v>
      </c>
      <c r="I46" s="15">
        <f t="shared" si="23"/>
        <v>247</v>
      </c>
      <c r="J46" s="12">
        <f t="shared" si="17"/>
        <v>1.260204081632653</v>
      </c>
      <c r="K46" s="12">
        <f>Z46*Population!$O$28+AA46*Population!$O$29+AB46*Population!$O$30+AC46*Population!$O$31+AD46*Population!$O$32+AE46*Population!$O$33+AF46*Population!$O$34+AG46*Population!$O$35+AH46*Population!$O$36+AI46*Population!$O$37+AJ46*Population!$O$38+AK46*Population!$O$39+AL46*Population!$O$40+AM46*Population!$O$41+AN46*Population!$O$42+AO46*Population!$O$43+AP46*Population!$O$44+AQ46*Population!$O$45</f>
        <v>11.734957666554987</v>
      </c>
      <c r="L46" s="12">
        <f t="shared" si="8"/>
        <v>6.0616930199369944E-2</v>
      </c>
      <c r="M46" s="12">
        <f t="shared" si="24"/>
        <v>5.6675530875841797</v>
      </c>
      <c r="N46" s="12">
        <f t="shared" si="18"/>
        <v>0.24974721941354905</v>
      </c>
      <c r="O46" s="12">
        <f t="shared" si="21"/>
        <v>395.81260287736615</v>
      </c>
      <c r="P46" s="12">
        <f t="shared" si="10"/>
        <v>173.09369856131693</v>
      </c>
      <c r="Q46" s="12">
        <f t="shared" si="11"/>
        <v>132.66538942202135</v>
      </c>
      <c r="R46" s="12">
        <f t="shared" si="25"/>
        <v>0.13563514428572279</v>
      </c>
      <c r="S46" s="12">
        <f t="shared" si="19"/>
        <v>0.88313111510875986</v>
      </c>
      <c r="T46" s="12">
        <f>Population!$B$13*MIN(X45:Y45)</f>
        <v>5.8855834640364222</v>
      </c>
      <c r="U46" s="12">
        <f>W45*Population!$B$14</f>
        <v>1.039146109073211</v>
      </c>
      <c r="V46" s="12">
        <f>AM45*S45*Population!$B$12</f>
        <v>4.9437569725147812</v>
      </c>
      <c r="W46" s="12">
        <f t="shared" si="16"/>
        <v>173.09369856131693</v>
      </c>
      <c r="X46" s="14">
        <f t="shared" si="26"/>
        <v>23.565474897379488</v>
      </c>
      <c r="Y46" s="13">
        <f t="shared" si="27"/>
        <v>23.565474897379488</v>
      </c>
      <c r="Z46" s="18">
        <f>(G46+Population!$B$11*Z45)*Population!M$28</f>
        <v>82.921821323013887</v>
      </c>
      <c r="AA46" s="18">
        <f>Z45*Population!$B$12*Population!$M$28+AA45*Population!$B$11*Population!$M$29</f>
        <v>82.711527376373752</v>
      </c>
      <c r="AB46" s="14">
        <f>(AA45*Population!$B$12*0.5*Population!$M$29)+(AB45*Population!$B$11*Population!M$30)</f>
        <v>40.997159882396836</v>
      </c>
      <c r="AC46" s="13">
        <f>(AA45*Population!$B$12*0.5*Population!$M$29)+(AC45*Population!$B$11*Population!M$30)</f>
        <v>40.997159882396836</v>
      </c>
      <c r="AD46" s="14">
        <f>(AB45*Population!$B$12*Population!M$30)+(AD45*Population!$B$11*Population!M$32)</f>
        <v>40.475999990638812</v>
      </c>
      <c r="AE46" s="13">
        <f>(AC45*Population!$B$12*Population!M$30)+(AE45*Population!$B$11*Population!M$32)</f>
        <v>40.475999990638812</v>
      </c>
      <c r="AF46" s="14">
        <f>(AD45*Population!$B$12*Population!M$32)+(AF45*Population!$B$11*Population!M$34)</f>
        <v>39.639998811511298</v>
      </c>
      <c r="AG46" s="13">
        <f>(AE45*Population!$B$12*Population!M$32)+(AG45*Population!$B$11*Population!M$34)</f>
        <v>39.639998811511298</v>
      </c>
      <c r="AH46" s="14">
        <f>(AF45*Population!$B$12*Population!M$34)+(AH45*Population!$B$11*Population!M$36)</f>
        <v>38.902616037117667</v>
      </c>
      <c r="AI46" s="13">
        <f>(AG45*Population!$B$12*Population!M$34)+(AI45*Population!$B$11*Population!M$36)</f>
        <v>38.902616037117667</v>
      </c>
      <c r="AJ46" s="14">
        <f>(AH45*Population!$B$12*Population!M$36)+(AJ45*Population!$B$11*Population!M$38)</f>
        <v>38.622675577723733</v>
      </c>
      <c r="AK46" s="13">
        <f>(AI45*Population!$B$12*Population!M$36)+(AK45*Population!$B$11*Population!M$38)</f>
        <v>38.622675577723733</v>
      </c>
      <c r="AL46" s="14">
        <f>(AJ45*Population!$B$12*Population!M$38)+(AL45*Population!$B$11*Population!M$40)</f>
        <v>39.017883041704913</v>
      </c>
      <c r="AM46" s="13">
        <f>(AK45*Population!$B$12*Population!M$38)+(AM45*Population!$B$11*Population!M$40)</f>
        <v>39.017883041704913</v>
      </c>
      <c r="AN46" s="15">
        <f>(AL45+AM45)*Population!$B$12*Population!$M$40+AN45*Population!$B$11*Population!$M$42</f>
        <v>77.460394898856933</v>
      </c>
      <c r="AO46" s="5">
        <f>AN45*Population!M$42*Population!$B$12+AO45*Population!$B$11*Population!M$43</f>
        <v>76.748637069286332</v>
      </c>
      <c r="AP46" s="5">
        <f>AO45*Population!M$43*Population!$B$12+AP45*Population!$B$11*Population!M$44</f>
        <v>60.030132143735365</v>
      </c>
      <c r="AQ46" s="5">
        <f>(AP45*Population!$B$12+AQ45)*Population!M$45</f>
        <v>134.14315769857984</v>
      </c>
    </row>
    <row r="47" spans="1:43">
      <c r="A47">
        <f>A46+Population!$B$2</f>
        <v>44</v>
      </c>
      <c r="B47" s="4">
        <f t="shared" si="5"/>
        <v>989</v>
      </c>
      <c r="C47" s="59">
        <f t="shared" si="20"/>
        <v>381</v>
      </c>
      <c r="D47" s="12">
        <f>AC46*Population!$P$31*Population!$C$2+AE46*Population!$P$33*Population!$C$2+AG46*Population!$P$35*Population!$C$2+AI46*Population!$P$37*Population!$C$2+AK46*Population!$P$39*Population!$C$2+AM45*Population!$P$41*Population!$C$2</f>
        <v>13.221414523541743</v>
      </c>
      <c r="E47" s="12">
        <f>IF(B46&gt;Population!$B$6*Population!$B$15,Population!$B$8,IF(Population!$J$6=1,D47,Population!$B$8*Population!$B$6*0.9/B46))</f>
        <v>11.880918319076509</v>
      </c>
      <c r="F47" s="12">
        <f>IF(B46&gt;Population!$B$6*0.75,Population!$B$8,E47)</f>
        <v>11.880918319076509</v>
      </c>
      <c r="G47" s="15">
        <f>IF(Population!$J$6=1,IF(E47&gt;H46,H46,E47),IF(E47&gt;W46,W46,E47))</f>
        <v>11.880918319076509</v>
      </c>
      <c r="H47" s="15">
        <f t="shared" si="22"/>
        <v>196</v>
      </c>
      <c r="I47" s="15">
        <f t="shared" si="23"/>
        <v>247</v>
      </c>
      <c r="J47" s="12">
        <f t="shared" si="17"/>
        <v>1.260204081632653</v>
      </c>
      <c r="K47" s="12">
        <f>Z47*Population!$O$28+AA47*Population!$O$29+AB47*Population!$O$30+AC47*Population!$O$31+AD47*Population!$O$32+AE47*Population!$O$33+AF47*Population!$O$34+AG47*Population!$O$35+AH47*Population!$O$36+AI47*Population!$O$37+AJ47*Population!$O$38+AK47*Population!$O$39+AL47*Population!$O$40+AM47*Population!$O$41+AN47*Population!$O$42+AO47*Population!$O$43+AP47*Population!$O$44+AQ47*Population!$O$45</f>
        <v>11.782684030457062</v>
      </c>
      <c r="L47" s="12">
        <f t="shared" si="8"/>
        <v>6.0616930199369944E-2</v>
      </c>
      <c r="M47" s="12">
        <f t="shared" si="24"/>
        <v>5.6730261381637677</v>
      </c>
      <c r="N47" s="12">
        <f t="shared" si="18"/>
        <v>0.24974721941354905</v>
      </c>
      <c r="O47" s="12">
        <f t="shared" si="21"/>
        <v>395.95210597135622</v>
      </c>
      <c r="P47" s="12">
        <f t="shared" si="10"/>
        <v>173.02394701432189</v>
      </c>
      <c r="Q47" s="12">
        <f t="shared" si="11"/>
        <v>134.14315769857984</v>
      </c>
      <c r="R47" s="12">
        <f t="shared" si="25"/>
        <v>0.13701590747788053</v>
      </c>
      <c r="S47" s="12">
        <f t="shared" si="19"/>
        <v>0.8827752398689892</v>
      </c>
      <c r="T47" s="12">
        <f>Population!$B$13*MIN(X46:Y46)</f>
        <v>5.891368724344872</v>
      </c>
      <c r="U47" s="12">
        <f>W46*Population!$B$14</f>
        <v>1.0385621913679015</v>
      </c>
      <c r="V47" s="12">
        <f>AM46*S46*Population!$B$12</f>
        <v>4.9225580799720037</v>
      </c>
      <c r="W47" s="12">
        <f t="shared" si="16"/>
        <v>173.02394701432189</v>
      </c>
      <c r="X47" s="14">
        <f t="shared" si="26"/>
        <v>23.584655535148215</v>
      </c>
      <c r="Y47" s="13">
        <f t="shared" si="27"/>
        <v>23.584655535148215</v>
      </c>
      <c r="Z47" s="18">
        <f>(G47+Population!$B$11*Z46)*Population!M$28</f>
        <v>82.92308472071619</v>
      </c>
      <c r="AA47" s="18">
        <f>Z46*Population!$B$12*Population!$M$28+AA46*Population!$B$11*Population!$M$29</f>
        <v>82.720808394263017</v>
      </c>
      <c r="AB47" s="14">
        <f>(AA46*Population!$B$12*0.5*Population!$M$29)+(AB46*Population!$B$11*Population!M$30)</f>
        <v>41.013570882218652</v>
      </c>
      <c r="AC47" s="13">
        <f>(AA46*Population!$B$12*0.5*Population!$M$29)+(AC46*Population!$B$11*Population!M$30)</f>
        <v>41.013570882218652</v>
      </c>
      <c r="AD47" s="14">
        <f>(AB46*Population!$B$12*Population!M$30)+(AD46*Population!$B$11*Population!M$32)</f>
        <v>40.511806823559333</v>
      </c>
      <c r="AE47" s="13">
        <f>(AC46*Population!$B$12*Population!M$30)+(AE46*Population!$B$11*Population!M$32)</f>
        <v>40.511806823559333</v>
      </c>
      <c r="AF47" s="14">
        <f>(AD46*Population!$B$12*Population!M$32)+(AF46*Population!$B$11*Population!M$34)</f>
        <v>39.68868092077242</v>
      </c>
      <c r="AG47" s="13">
        <f>(AE46*Population!$B$12*Population!M$32)+(AG46*Population!$B$11*Population!M$34)</f>
        <v>39.68868092077242</v>
      </c>
      <c r="AH47" s="14">
        <f>(AF46*Population!$B$12*Population!M$34)+(AH46*Population!$B$11*Population!M$36)</f>
        <v>38.933061157107367</v>
      </c>
      <c r="AI47" s="13">
        <f>(AG46*Population!$B$12*Population!M$34)+(AI46*Population!$B$11*Population!M$36)</f>
        <v>38.933061157107367</v>
      </c>
      <c r="AJ47" s="14">
        <f>(AH46*Population!$B$12*Population!M$36)+(AJ46*Population!$B$11*Population!M$38)</f>
        <v>38.588434751144774</v>
      </c>
      <c r="AK47" s="13">
        <f>(AI46*Population!$B$12*Population!M$36)+(AK46*Population!$B$11*Population!M$38)</f>
        <v>38.588434751144774</v>
      </c>
      <c r="AL47" s="14">
        <f>(AJ46*Population!$B$12*Population!M$38)+(AL46*Population!$B$11*Population!M$40)</f>
        <v>38.886618896886219</v>
      </c>
      <c r="AM47" s="13">
        <f>(AK46*Population!$B$12*Population!M$38)+(AM46*Population!$B$11*Population!M$40)</f>
        <v>38.886618896886219</v>
      </c>
      <c r="AN47" s="15">
        <f>(AL46+AM46)*Population!$B$12*Population!$M$40+AN46*Population!$B$11*Population!$M$42</f>
        <v>77.039825661081579</v>
      </c>
      <c r="AO47" s="5">
        <f>AN46*Population!M$42*Population!$B$12+AO46*Population!$B$11*Population!M$43</f>
        <v>76.293151962720614</v>
      </c>
      <c r="AP47" s="5">
        <f>AO46*Population!M$43*Population!$B$12+AP46*Population!$B$11*Population!M$44</f>
        <v>59.739524093933881</v>
      </c>
      <c r="AQ47" s="5">
        <f>(AP46*Population!$B$12+AQ46)*Population!M$45</f>
        <v>135.50873249562386</v>
      </c>
    </row>
    <row r="48" spans="1:43">
      <c r="A48">
        <f>A47+Population!$B$2</f>
        <v>45</v>
      </c>
      <c r="B48" s="4">
        <f t="shared" si="5"/>
        <v>989</v>
      </c>
      <c r="C48" s="59">
        <f t="shared" si="20"/>
        <v>381</v>
      </c>
      <c r="D48" s="12">
        <f>AC47*Population!$P$31*Population!$C$2+AE47*Population!$P$33*Population!$C$2+AG47*Population!$P$35*Population!$C$2+AI47*Population!$P$37*Population!$C$2+AK47*Population!$P$39*Population!$C$2+AM46*Population!$P$41*Population!$C$2</f>
        <v>13.226498369905906</v>
      </c>
      <c r="E48" s="12">
        <f>IF(B47&gt;Population!$B$6*Population!$B$15,Population!$B$8,IF(Population!$J$6=1,D48,Population!$B$8*Population!$B$6*0.9/B47))</f>
        <v>11.880918319076509</v>
      </c>
      <c r="F48" s="12">
        <f>IF(B47&gt;Population!$B$6*0.75,Population!$B$8,E48)</f>
        <v>11.880918319076509</v>
      </c>
      <c r="G48" s="15">
        <f>IF(Population!$J$6=1,IF(E48&gt;H47,H47,E48),IF(E48&gt;W47,W47,E48))</f>
        <v>11.880918319076509</v>
      </c>
      <c r="H48" s="15">
        <f t="shared" si="22"/>
        <v>196</v>
      </c>
      <c r="I48" s="15">
        <f t="shared" si="23"/>
        <v>247</v>
      </c>
      <c r="J48" s="12">
        <f t="shared" si="17"/>
        <v>1.260204081632653</v>
      </c>
      <c r="K48" s="12">
        <f>Z48*Population!$O$28+AA48*Population!$O$29+AB48*Population!$O$30+AC48*Population!$O$31+AD48*Population!$O$32+AE48*Population!$O$33+AF48*Population!$O$34+AG48*Population!$O$35+AH48*Population!$O$36+AI48*Population!$O$37+AJ48*Population!$O$36+AK48*Population!$O$37+AL48*Population!$O$38+AM48*Population!$O$39+AN48*Population!$O$40+AO48*Population!$O$41+AP48*Population!$O$42+AQ48*Population!$O$43</f>
        <v>2.5221946383295419</v>
      </c>
      <c r="L48" s="12">
        <f t="shared" si="8"/>
        <v>6.0616930199369944E-2</v>
      </c>
      <c r="M48" s="12">
        <f t="shared" si="24"/>
        <v>5.6783951503585666</v>
      </c>
      <c r="N48" s="12">
        <f t="shared" si="18"/>
        <v>0.24974721941354905</v>
      </c>
      <c r="O48" s="12">
        <f t="shared" si="21"/>
        <v>396.0441068034948</v>
      </c>
      <c r="P48" s="12">
        <f t="shared" si="10"/>
        <v>172.9779465982526</v>
      </c>
      <c r="Q48" s="12">
        <f t="shared" si="11"/>
        <v>135.50873249562386</v>
      </c>
      <c r="R48" s="12">
        <f t="shared" si="25"/>
        <v>0.1382870580162246</v>
      </c>
      <c r="S48" s="12">
        <f t="shared" si="19"/>
        <v>0.88254054386863567</v>
      </c>
      <c r="T48" s="12">
        <f>Population!$B$13*MIN(X47:Y47)</f>
        <v>5.8961638837870538</v>
      </c>
      <c r="U48" s="12">
        <f>W47*Population!$B$14</f>
        <v>1.0381436820859313</v>
      </c>
      <c r="V48" s="12">
        <f>AM47*S47*Population!$B$12</f>
        <v>4.904020617770386</v>
      </c>
      <c r="W48" s="12">
        <f t="shared" si="16"/>
        <v>172.9779465982526</v>
      </c>
      <c r="X48" s="14">
        <f t="shared" si="26"/>
        <v>23.601274974458562</v>
      </c>
      <c r="Y48" s="13">
        <f t="shared" si="27"/>
        <v>23.601274974458562</v>
      </c>
      <c r="Z48" s="18">
        <f>(G48+Population!$B$11*Z47)*Population!M$28</f>
        <v>82.924167193370039</v>
      </c>
      <c r="AA48" s="18">
        <f>Z47*Population!$B$12*Population!$M$28+AA47*Population!$B$11*Population!$M$29</f>
        <v>82.728942174652204</v>
      </c>
      <c r="AB48" s="14">
        <f>(AA47*Population!$B$12*0.5*Population!$M$29)+(AB47*Population!$B$11*Population!M$30)</f>
        <v>41.028286828742083</v>
      </c>
      <c r="AC48" s="13">
        <f>(AA47*Population!$B$12*0.5*Population!$M$29)+(AC47*Population!$B$11*Population!M$30)</f>
        <v>41.028286828742083</v>
      </c>
      <c r="AD48" s="14">
        <f>(AB47*Population!$B$12*Population!M$30)+(AD47*Population!$B$11*Population!M$32)</f>
        <v>40.544811339872403</v>
      </c>
      <c r="AE48" s="13">
        <f>(AC47*Population!$B$12*Population!M$30)+(AE47*Population!$B$11*Population!M$32)</f>
        <v>40.544811339872403</v>
      </c>
      <c r="AF48" s="14">
        <f>(AD47*Population!$B$12*Population!M$32)+(AF47*Population!$B$11*Population!M$34)</f>
        <v>39.735438713154807</v>
      </c>
      <c r="AG48" s="13">
        <f>(AE47*Population!$B$12*Population!M$32)+(AG47*Population!$B$11*Population!M$34)</f>
        <v>39.735438713154807</v>
      </c>
      <c r="AH48" s="14">
        <f>(AF47*Population!$B$12*Population!M$34)+(AH47*Population!$B$11*Population!M$36)</f>
        <v>38.966048104502697</v>
      </c>
      <c r="AI48" s="13">
        <f>(AG47*Population!$B$12*Population!M$34)+(AI47*Population!$B$11*Population!M$36)</f>
        <v>38.966048104502697</v>
      </c>
      <c r="AJ48" s="14">
        <f>(AH47*Population!$B$12*Population!M$36)+(AJ47*Population!$B$11*Population!M$38)</f>
        <v>38.563482774031591</v>
      </c>
      <c r="AK48" s="13">
        <f>(AI47*Population!$B$12*Population!M$36)+(AK47*Population!$B$11*Population!M$38)</f>
        <v>38.563482774031591</v>
      </c>
      <c r="AL48" s="14">
        <f>(AJ47*Population!$B$12*Population!M$38)+(AL47*Population!$B$11*Population!M$40)</f>
        <v>38.769440641149671</v>
      </c>
      <c r="AM48" s="13">
        <f>(AK47*Population!$B$12*Population!M$38)+(AM47*Population!$B$11*Population!M$40)</f>
        <v>38.769440641149671</v>
      </c>
      <c r="AN48" s="15">
        <f>(AL47+AM47)*Population!$B$12*Population!$M$40+AN47*Population!$B$11*Population!$M$42</f>
        <v>76.644519246777264</v>
      </c>
      <c r="AO48" s="5">
        <f>AN47*Population!M$42*Population!$B$12+AO47*Population!$B$11*Population!M$43</f>
        <v>75.845920941569162</v>
      </c>
      <c r="AP48" s="5">
        <f>AO47*Population!M$43*Population!$B$12+AP47*Population!$B$11*Population!M$44</f>
        <v>59.438418090177279</v>
      </c>
      <c r="AQ48" s="5">
        <f>(AP47*Population!$B$12+AQ47)*Population!M$45</f>
        <v>136.76590037804613</v>
      </c>
    </row>
    <row r="49" spans="1:43">
      <c r="A49">
        <f>A48+Population!$B$2</f>
        <v>46</v>
      </c>
      <c r="B49" s="4">
        <f t="shared" si="5"/>
        <v>989</v>
      </c>
      <c r="C49" s="59">
        <f t="shared" si="20"/>
        <v>381</v>
      </c>
      <c r="D49" s="12">
        <f>AC48*Population!$P$31*Population!$C$2+AE48*Population!$P$33*Population!$C$2+AG48*Population!$P$35*Population!$C$2+AI48*Population!$P$37*Population!$C$2+AK48*Population!$P$39*Population!$C$2+AM47*Population!$P$41*Population!$C$2</f>
        <v>13.232066628264155</v>
      </c>
      <c r="E49" s="12">
        <f>IF(B48&gt;Population!$B$6*Population!$B$15,Population!$B$8,IF(Population!$J$6=1,D49,Population!$B$8*Population!$B$6*0.9/B48))</f>
        <v>11.880918319076509</v>
      </c>
      <c r="F49" s="12">
        <f>IF(B48&gt;Population!$B$6*0.75,Population!$B$8,E49)</f>
        <v>11.880918319076509</v>
      </c>
      <c r="G49" s="15">
        <f>IF(Population!$J$6=1,IF(E49&gt;H48,H48,E49),IF(E49&gt;W48,W48,E49))</f>
        <v>11.880918319076509</v>
      </c>
      <c r="H49" s="15">
        <f t="shared" si="22"/>
        <v>196</v>
      </c>
      <c r="I49" s="15">
        <f t="shared" si="23"/>
        <v>247</v>
      </c>
      <c r="J49" s="12">
        <f t="shared" si="17"/>
        <v>1.260204081632653</v>
      </c>
      <c r="K49" s="12">
        <f>Z49*Population!$O$28+AA49*Population!$O$29+AB49*Population!$O$30+AC49*Population!$O$31+AD49*Population!$O$32+AE49*Population!$O$33+AF49*Population!$O$34+AG49*Population!$O$35+AH49*Population!$O$36+AI49*Population!$O$37+AJ49*Population!$O$36+AK49*Population!$O$37+AL49*Population!$O$38+AM49*Population!$O$39+AN49*Population!$O$40+AO49*Population!$O$41+AP49*Population!$O$42+AQ49*Population!$O$43</f>
        <v>2.5266958657173411</v>
      </c>
      <c r="L49" s="12">
        <f t="shared" si="8"/>
        <v>6.0616930199369944E-2</v>
      </c>
      <c r="M49" s="12">
        <f t="shared" si="24"/>
        <v>5.6836314167529522</v>
      </c>
      <c r="N49" s="12">
        <f t="shared" si="18"/>
        <v>0.24974721941354905</v>
      </c>
      <c r="O49" s="12">
        <f t="shared" si="21"/>
        <v>396.09509131227969</v>
      </c>
      <c r="P49" s="12">
        <f t="shared" si="10"/>
        <v>172.95245434386015</v>
      </c>
      <c r="Q49" s="12">
        <f t="shared" si="11"/>
        <v>136.76590037804613</v>
      </c>
      <c r="R49" s="12">
        <f t="shared" si="25"/>
        <v>0.13945269375197056</v>
      </c>
      <c r="S49" s="12">
        <f t="shared" si="19"/>
        <v>0.88241048134622524</v>
      </c>
      <c r="T49" s="12">
        <f>Population!$B$13*MIN(X48:Y48)</f>
        <v>5.9003187436146405</v>
      </c>
      <c r="U49" s="12">
        <f>W48*Population!$B$14</f>
        <v>1.0378676795895156</v>
      </c>
      <c r="V49" s="12">
        <f>AM48*S48*Population!$B$12</f>
        <v>4.8879433184175731</v>
      </c>
      <c r="W49" s="12">
        <f t="shared" si="16"/>
        <v>172.95245434386015</v>
      </c>
      <c r="X49" s="14">
        <f t="shared" si="26"/>
        <v>23.616282464036459</v>
      </c>
      <c r="Y49" s="13">
        <f t="shared" si="27"/>
        <v>23.616282464036459</v>
      </c>
      <c r="Z49" s="18">
        <f>(G49+Population!$B$11*Z48)*Population!M$28</f>
        <v>82.925094650372856</v>
      </c>
      <c r="AA49" s="18">
        <f>Z48*Population!$B$12*Population!$M$28+AA48*Population!$B$11*Population!$M$29</f>
        <v>82.736066993923856</v>
      </c>
      <c r="AB49" s="14">
        <f>(AA48*Population!$B$12*0.5*Population!$M$29)+(AB48*Population!$B$11*Population!M$30)</f>
        <v>41.041469329956747</v>
      </c>
      <c r="AC49" s="13">
        <f>(AA48*Population!$B$12*0.5*Population!$M$29)+(AC48*Population!$B$11*Population!M$30)</f>
        <v>41.041469329956747</v>
      </c>
      <c r="AD49" s="14">
        <f>(AB48*Population!$B$12*Population!M$30)+(AD48*Population!$B$11*Population!M$32)</f>
        <v>40.575174239912478</v>
      </c>
      <c r="AE49" s="13">
        <f>(AC48*Population!$B$12*Population!M$30)+(AE48*Population!$B$11*Population!M$32)</f>
        <v>40.575174239912478</v>
      </c>
      <c r="AF49" s="14">
        <f>(AD48*Population!$B$12*Population!M$32)+(AF48*Population!$B$11*Population!M$34)</f>
        <v>39.78015030851698</v>
      </c>
      <c r="AG49" s="13">
        <f>(AE48*Population!$B$12*Population!M$32)+(AG48*Population!$B$11*Population!M$34)</f>
        <v>39.78015030851698</v>
      </c>
      <c r="AH49" s="14">
        <f>(AF48*Population!$B$12*Population!M$34)+(AH48*Population!$B$11*Population!M$36)</f>
        <v>39.000935203382554</v>
      </c>
      <c r="AI49" s="13">
        <f>(AG48*Population!$B$12*Population!M$34)+(AI48*Population!$B$11*Population!M$36)</f>
        <v>39.000935203382554</v>
      </c>
      <c r="AJ49" s="14">
        <f>(AH48*Population!$B$12*Population!M$36)+(AJ48*Population!$B$11*Population!M$38)</f>
        <v>38.546839802110682</v>
      </c>
      <c r="AK49" s="13">
        <f>(AI48*Population!$B$12*Population!M$36)+(AK48*Population!$B$11*Population!M$38)</f>
        <v>38.546839802110682</v>
      </c>
      <c r="AL49" s="14">
        <f>(AJ48*Population!$B$12*Population!M$38)+(AL48*Population!$B$11*Population!M$40)</f>
        <v>38.665637253973927</v>
      </c>
      <c r="AM49" s="13">
        <f>(AK48*Population!$B$12*Population!M$38)+(AM48*Population!$B$11*Population!M$40)</f>
        <v>38.665637253973927</v>
      </c>
      <c r="AN49" s="15">
        <f>(AL48+AM48)*Population!$B$12*Population!$M$40+AN48*Population!$B$11*Population!$M$42</f>
        <v>76.274726503380876</v>
      </c>
      <c r="AO49" s="5">
        <f>AN48*Population!M$42*Population!$B$12+AO48*Population!$B$11*Population!M$43</f>
        <v>75.409296367242121</v>
      </c>
      <c r="AP49" s="5">
        <f>AO48*Population!M$43*Population!$B$12+AP48*Population!$B$11*Population!M$44</f>
        <v>59.129939037758859</v>
      </c>
      <c r="AQ49" s="5">
        <f>(AP48*Population!$B$12+AQ48)*Population!M$45</f>
        <v>137.91871412069889</v>
      </c>
    </row>
    <row r="50" spans="1:43">
      <c r="A50">
        <f>A49+Population!$B$2</f>
        <v>47</v>
      </c>
      <c r="B50" s="4">
        <f t="shared" si="5"/>
        <v>989</v>
      </c>
      <c r="C50" s="59">
        <f t="shared" si="20"/>
        <v>381</v>
      </c>
      <c r="D50" s="12">
        <f>AC49*Population!$P$31*Population!$C$2+AE49*Population!$P$33*Population!$C$2+AG49*Population!$P$35*Population!$C$2+AI49*Population!$P$37*Population!$C$2+AK49*Population!$P$39*Population!$C$2+AM48*Population!$P$41*Population!$C$2</f>
        <v>13.238020622973487</v>
      </c>
      <c r="E50" s="12">
        <f>IF(B49&gt;Population!$B$6*Population!$B$15,Population!$B$8,IF(Population!$J$6=1,D50,Population!$B$8*Population!$B$6*0.9/B49))</f>
        <v>11.880918319076509</v>
      </c>
      <c r="F50" s="12">
        <f>IF(B49&gt;Population!$B$6*0.75,Population!$B$8,E50)</f>
        <v>11.880918319076509</v>
      </c>
      <c r="G50" s="15">
        <f>IF(Population!$J$6=1,IF(E50&gt;H49,H49,E50),IF(E50&gt;W49,W49,E50))</f>
        <v>11.880918319076509</v>
      </c>
      <c r="H50" s="15">
        <f t="shared" si="22"/>
        <v>196</v>
      </c>
      <c r="I50" s="15">
        <f t="shared" si="23"/>
        <v>247</v>
      </c>
      <c r="J50" s="12">
        <f t="shared" si="17"/>
        <v>1.260204081632653</v>
      </c>
      <c r="K50" s="12">
        <f>Z50*Population!$O$28+AA50*Population!$O$29+AB50*Population!$O$30+AC50*Population!$O$31+AD50*Population!$O$32+AE50*Population!$O$33+AF50*Population!$O$34+AG50*Population!$O$35+AH50*Population!$O$36+AI50*Population!$O$37+AJ50*Population!$O$36+AK50*Population!$O$37+AL50*Population!$O$38+AM50*Population!$O$39+AN50*Population!$O$40+AO50*Population!$O$41+AP50*Population!$O$42+AQ50*Population!$O$43</f>
        <v>2.530578335100155</v>
      </c>
      <c r="L50" s="12">
        <f t="shared" si="8"/>
        <v>6.0616930199369944E-2</v>
      </c>
      <c r="M50" s="12">
        <f t="shared" si="24"/>
        <v>5.6887117475370266</v>
      </c>
      <c r="N50" s="12">
        <f t="shared" si="18"/>
        <v>0.24974721941354905</v>
      </c>
      <c r="O50" s="12">
        <f t="shared" si="21"/>
        <v>396.1106548411986</v>
      </c>
      <c r="P50" s="12">
        <f t="shared" si="10"/>
        <v>172.9446725794007</v>
      </c>
      <c r="Q50" s="12">
        <f t="shared" si="11"/>
        <v>137.91871412069889</v>
      </c>
      <c r="R50" s="12">
        <f t="shared" si="25"/>
        <v>0.14051713408938604</v>
      </c>
      <c r="S50" s="12">
        <f t="shared" si="19"/>
        <v>0.88237077846633016</v>
      </c>
      <c r="T50" s="12">
        <f>Population!$B$13*MIN(X49:Y49)</f>
        <v>5.9040706160091148</v>
      </c>
      <c r="U50" s="12">
        <f>W49*Population!$B$14</f>
        <v>1.037714726063161</v>
      </c>
      <c r="V50" s="12">
        <f>AM49*S49*Population!$B$12</f>
        <v>4.8741376544053816</v>
      </c>
      <c r="W50" s="12">
        <f t="shared" si="16"/>
        <v>172.9446725794007</v>
      </c>
      <c r="X50" s="14">
        <f t="shared" si="26"/>
        <v>23.630310958634624</v>
      </c>
      <c r="Y50" s="13">
        <f t="shared" si="27"/>
        <v>23.630310958634624</v>
      </c>
      <c r="Z50" s="18">
        <f>(G50+Population!$B$11*Z49)*Population!M$28</f>
        <v>82.925889290763081</v>
      </c>
      <c r="AA50" s="18">
        <f>Z49*Population!$B$12*Population!$M$28+AA49*Population!$B$11*Population!$M$29</f>
        <v>82.742305047863738</v>
      </c>
      <c r="AB50" s="14">
        <f>(AA49*Population!$B$12*0.5*Population!$M$29)+(AB49*Population!$B$11*Population!M$30)</f>
        <v>41.053266649648137</v>
      </c>
      <c r="AC50" s="13">
        <f>(AA49*Population!$B$12*0.5*Population!$M$29)+(AC49*Population!$B$11*Population!M$30)</f>
        <v>41.053266649648137</v>
      </c>
      <c r="AD50" s="14">
        <f>(AB49*Population!$B$12*Population!M$30)+(AD49*Population!$B$11*Population!M$32)</f>
        <v>40.603056200408048</v>
      </c>
      <c r="AE50" s="13">
        <f>(AC49*Population!$B$12*Population!M$30)+(AE49*Population!$B$11*Population!M$32)</f>
        <v>40.603056200408048</v>
      </c>
      <c r="AF50" s="14">
        <f>(AD49*Population!$B$12*Population!M$32)+(AF49*Population!$B$11*Population!M$34)</f>
        <v>39.822734374058513</v>
      </c>
      <c r="AG50" s="13">
        <f>(AE49*Population!$B$12*Population!M$32)+(AG49*Population!$B$11*Population!M$34)</f>
        <v>39.822734374058513</v>
      </c>
      <c r="AH50" s="14">
        <f>(AF49*Population!$B$12*Population!M$34)+(AH49*Population!$B$11*Population!M$36)</f>
        <v>39.037156123810995</v>
      </c>
      <c r="AI50" s="13">
        <f>(AG49*Population!$B$12*Population!M$34)+(AI49*Population!$B$11*Population!M$36)</f>
        <v>39.037156123810995</v>
      </c>
      <c r="AJ50" s="14">
        <f>(AH49*Population!$B$12*Population!M$36)+(AJ49*Population!$B$11*Population!M$38)</f>
        <v>38.537576089419403</v>
      </c>
      <c r="AK50" s="13">
        <f>(AI49*Population!$B$12*Population!M$36)+(AK49*Population!$B$11*Population!M$38)</f>
        <v>38.537576089419403</v>
      </c>
      <c r="AL50" s="14">
        <f>(AJ49*Population!$B$12*Population!M$38)+(AL49*Population!$B$11*Population!M$40)</f>
        <v>38.574460750338346</v>
      </c>
      <c r="AM50" s="13">
        <f>(AK49*Population!$B$12*Population!M$38)+(AM49*Population!$B$11*Population!M$40)</f>
        <v>38.574460750338346</v>
      </c>
      <c r="AN50" s="15">
        <f>(AL49+AM49)*Population!$B$12*Population!$M$40+AN49*Population!$B$11*Population!$M$42</f>
        <v>75.930458125468675</v>
      </c>
      <c r="AO50" s="5">
        <f>AN49*Population!M$42*Population!$B$12+AO49*Population!$B$11*Population!M$43</f>
        <v>74.985315506815581</v>
      </c>
      <c r="AP50" s="5">
        <f>AO49*Population!M$43*Population!$B$12+AP49*Population!$B$11*Population!M$44</f>
        <v>58.816963724858191</v>
      </c>
      <c r="AQ50" s="5">
        <f>(AP49*Population!$B$12+AQ49)*Population!M$45</f>
        <v>138.9714456144028</v>
      </c>
    </row>
    <row r="51" spans="1:43">
      <c r="A51">
        <f>A50+Population!$B$2</f>
        <v>48</v>
      </c>
      <c r="B51" s="4">
        <f t="shared" si="5"/>
        <v>989</v>
      </c>
      <c r="C51" s="59">
        <f t="shared" si="20"/>
        <v>381</v>
      </c>
      <c r="D51" s="12">
        <f>AC50*Population!$P$31*Population!$C$2+AE50*Population!$P$33*Population!$C$2+AG50*Population!$P$35*Population!$C$2+AI50*Population!$P$37*Population!$C$2+AK50*Population!$P$39*Population!$C$2+AM49*Population!$P$41*Population!$C$2</f>
        <v>13.24427169620261</v>
      </c>
      <c r="E51" s="12">
        <f>IF(B50&gt;Population!$B$6*Population!$B$15,Population!$B$8,IF(Population!$J$6=1,D51,Population!$B$8*Population!$B$6*0.9/B50))</f>
        <v>11.880918319076509</v>
      </c>
      <c r="F51" s="12">
        <f>IF(B50&gt;Population!$B$6*0.75,Population!$B$8,E51)</f>
        <v>11.880918319076509</v>
      </c>
      <c r="G51" s="15">
        <f>IF(Population!$J$6=1,IF(E51&gt;H50,H50,E51),IF(E51&gt;W50,W50,E51))</f>
        <v>11.880918319076509</v>
      </c>
      <c r="H51" s="15">
        <f t="shared" si="22"/>
        <v>196</v>
      </c>
      <c r="I51" s="15">
        <f t="shared" si="23"/>
        <v>247</v>
      </c>
      <c r="J51" s="12">
        <f t="shared" si="17"/>
        <v>1.260204081632653</v>
      </c>
      <c r="K51" s="12">
        <f>Z51*Population!$O$28+AA51*Population!$O$29+AB51*Population!$O$30+AC51*Population!$O$31+AD51*Population!$O$32+AE51*Population!$O$33+AF51*Population!$O$34+AG51*Population!$O$35+AH51*Population!$O$36+AI51*Population!$O$37+AJ51*Population!$O$36+AK51*Population!$O$37+AL51*Population!$O$38+AM51*Population!$O$39+AN51*Population!$O$40+AO51*Population!$O$41+AP51*Population!$O$42+AQ51*Population!$O$43</f>
        <v>2.5338884685111025</v>
      </c>
      <c r="L51" s="12">
        <f t="shared" si="8"/>
        <v>6.0616930199369944E-2</v>
      </c>
      <c r="M51" s="12">
        <f t="shared" si="24"/>
        <v>5.6936178576477303</v>
      </c>
      <c r="N51" s="12">
        <f t="shared" si="18"/>
        <v>0.24974721941354905</v>
      </c>
      <c r="O51" s="12">
        <f t="shared" si="21"/>
        <v>396.09568599317549</v>
      </c>
      <c r="P51" s="12">
        <f t="shared" si="10"/>
        <v>172.95215700341225</v>
      </c>
      <c r="Q51" s="12">
        <f t="shared" si="11"/>
        <v>138.9714456144028</v>
      </c>
      <c r="R51" s="12">
        <f t="shared" si="25"/>
        <v>0.14148487476400703</v>
      </c>
      <c r="S51" s="12">
        <f t="shared" si="19"/>
        <v>0.88240896430312377</v>
      </c>
      <c r="T51" s="12">
        <f>Population!$B$13*MIN(X50:Y50)</f>
        <v>5.907577739658656</v>
      </c>
      <c r="U51" s="12">
        <f>W50*Population!$B$14</f>
        <v>1.0376680354764043</v>
      </c>
      <c r="V51" s="12">
        <f>AM50*S50*Population!$B$12</f>
        <v>4.8624252801707062</v>
      </c>
      <c r="W51" s="12">
        <f t="shared" si="16"/>
        <v>172.95215700341225</v>
      </c>
      <c r="X51" s="14">
        <f t="shared" si="26"/>
        <v>23.643772164552018</v>
      </c>
      <c r="Y51" s="13">
        <f t="shared" si="27"/>
        <v>23.643772164552018</v>
      </c>
      <c r="Z51" s="18">
        <f>(G51+Population!$B$11*Z50)*Population!M$28</f>
        <v>82.926570134562724</v>
      </c>
      <c r="AA51" s="18">
        <f>Z50*Population!$B$12*Population!$M$28+AA50*Population!$B$11*Population!$M$29</f>
        <v>82.747764222154117</v>
      </c>
      <c r="AB51" s="14">
        <f>(AA50*Population!$B$12*0.5*Population!$M$29)+(AB50*Population!$B$11*Population!M$30)</f>
        <v>41.063814476257157</v>
      </c>
      <c r="AC51" s="13">
        <f>(AA50*Population!$B$12*0.5*Population!$M$29)+(AC50*Population!$B$11*Population!M$30)</f>
        <v>41.063814476257157</v>
      </c>
      <c r="AD51" s="14">
        <f>(AB50*Population!$B$12*Population!M$30)+(AD50*Population!$B$11*Population!M$32)</f>
        <v>40.628615973375062</v>
      </c>
      <c r="AE51" s="13">
        <f>(AC50*Population!$B$12*Population!M$30)+(AE50*Population!$B$11*Population!M$32)</f>
        <v>40.628615973375062</v>
      </c>
      <c r="AF51" s="14">
        <f>(AD50*Population!$B$12*Population!M$32)+(AF50*Population!$B$11*Population!M$34)</f>
        <v>39.863144261744424</v>
      </c>
      <c r="AG51" s="13">
        <f>(AE50*Population!$B$12*Population!M$32)+(AG50*Population!$B$11*Population!M$34)</f>
        <v>39.863144261744424</v>
      </c>
      <c r="AH51" s="14">
        <f>(AF50*Population!$B$12*Population!M$34)+(AH50*Population!$B$11*Population!M$36)</f>
        <v>39.074214775482858</v>
      </c>
      <c r="AI51" s="13">
        <f>(AG50*Population!$B$12*Population!M$34)+(AI50*Population!$B$11*Population!M$36)</f>
        <v>39.074214775482858</v>
      </c>
      <c r="AJ51" s="14">
        <f>(AH50*Population!$B$12*Population!M$36)+(AJ50*Population!$B$11*Population!M$38)</f>
        <v>38.534815492002799</v>
      </c>
      <c r="AK51" s="13">
        <f>(AI50*Population!$B$12*Population!M$36)+(AK50*Population!$B$11*Population!M$38)</f>
        <v>38.534815492002799</v>
      </c>
      <c r="AL51" s="14">
        <f>(AJ50*Population!$B$12*Population!M$38)+(AL50*Population!$B$11*Population!M$40)</f>
        <v>38.495138665359129</v>
      </c>
      <c r="AM51" s="13">
        <f>(AK50*Population!$B$12*Population!M$38)+(AM50*Population!$B$11*Population!M$40)</f>
        <v>38.495138665359129</v>
      </c>
      <c r="AN51" s="15">
        <f>(AL50+AM50)*Population!$B$12*Population!$M$40+AN50*Population!$B$11*Population!$M$42</f>
        <v>75.611509913678518</v>
      </c>
      <c r="AO51" s="5">
        <f>AN50*Population!M$42*Population!$B$12+AO50*Population!$B$11*Population!M$43</f>
        <v>74.575713445772294</v>
      </c>
      <c r="AP51" s="5">
        <f>AO50*Population!M$43*Population!$B$12+AP50*Population!$B$11*Population!M$44</f>
        <v>58.502122324894472</v>
      </c>
      <c r="AQ51" s="5">
        <f>(AP50*Population!$B$12+AQ50)*Population!M$45</f>
        <v>139.92854114160295</v>
      </c>
    </row>
    <row r="52" spans="1:43">
      <c r="A52">
        <f>A51+Population!$B$2</f>
        <v>49</v>
      </c>
      <c r="B52" s="4">
        <f t="shared" si="5"/>
        <v>989</v>
      </c>
      <c r="C52" s="59">
        <f t="shared" si="20"/>
        <v>381</v>
      </c>
      <c r="D52" s="12">
        <f>AC51*Population!$P$31*Population!$C$2+AE51*Population!$P$33*Population!$C$2+AG51*Population!$P$35*Population!$C$2+AI51*Population!$P$37*Population!$C$2+AK51*Population!$P$39*Population!$C$2+AM50*Population!$P$41*Population!$C$2</f>
        <v>13.250740585675986</v>
      </c>
      <c r="E52" s="12">
        <f>IF(B51&gt;Population!$B$6*Population!$B$15,Population!$B$8,IF(Population!$J$6=1,D52,Population!$B$8*Population!$B$6*0.9/B51))</f>
        <v>11.880918319076509</v>
      </c>
      <c r="F52" s="12">
        <f>IF(B51&gt;Population!$B$6*0.75,Population!$B$8,E52)</f>
        <v>11.880918319076509</v>
      </c>
      <c r="G52" s="15">
        <f>IF(Population!$J$6=1,IF(E52&gt;H51,H51,E52),IF(E52&gt;W51,W51,E52))</f>
        <v>11.880918319076509</v>
      </c>
      <c r="H52" s="15">
        <f t="shared" si="22"/>
        <v>196</v>
      </c>
      <c r="I52" s="15">
        <f t="shared" si="23"/>
        <v>247</v>
      </c>
      <c r="J52" s="12">
        <f t="shared" si="17"/>
        <v>1.260204081632653</v>
      </c>
      <c r="K52" s="12">
        <f>Z52*Population!$O$28+AA52*Population!$O$29+AB52*Population!$O$30+AC52*Population!$O$31+AD52*Population!$O$32+AE52*Population!$O$33+AF52*Population!$O$34+AG52*Population!$O$35+AH52*Population!$O$36+AI52*Population!$O$37+AJ52*Population!$O$36+AK52*Population!$O$37+AL52*Population!$O$38+AM52*Population!$O$39+AN52*Population!$O$40+AO52*Population!$O$41+AP52*Population!$O$42+AQ52*Population!$O$43</f>
        <v>2.5366714565032851</v>
      </c>
      <c r="L52" s="12">
        <f t="shared" si="8"/>
        <v>6.0616930199369944E-2</v>
      </c>
      <c r="M52" s="12">
        <f t="shared" si="24"/>
        <v>5.6983357948948647</v>
      </c>
      <c r="N52" s="12">
        <f t="shared" si="18"/>
        <v>0.24974721941354905</v>
      </c>
      <c r="O52" s="12">
        <f t="shared" si="21"/>
        <v>396.05449877791318</v>
      </c>
      <c r="P52" s="12">
        <f t="shared" si="10"/>
        <v>172.97275061104341</v>
      </c>
      <c r="Q52" s="12">
        <f t="shared" si="11"/>
        <v>139.92854114160295</v>
      </c>
      <c r="R52" s="12">
        <f t="shared" si="25"/>
        <v>0.14236054511150439</v>
      </c>
      <c r="S52" s="12">
        <f t="shared" si="19"/>
        <v>0.8825140337298133</v>
      </c>
      <c r="T52" s="12">
        <f>Population!$B$13*MIN(X51:Y51)</f>
        <v>5.9109430411380046</v>
      </c>
      <c r="U52" s="12">
        <f>W51*Population!$B$14</f>
        <v>1.0377129420204736</v>
      </c>
      <c r="V52" s="12">
        <f>AM51*S51*Population!$B$12</f>
        <v>4.8526364914863827</v>
      </c>
      <c r="W52" s="12">
        <f t="shared" si="16"/>
        <v>172.97275061104341</v>
      </c>
      <c r="X52" s="14">
        <f t="shared" si="26"/>
        <v>23.656924053413178</v>
      </c>
      <c r="Y52" s="13">
        <f t="shared" si="27"/>
        <v>23.656924053413178</v>
      </c>
      <c r="Z52" s="18">
        <f>(G52+Population!$B$11*Z51)*Population!M$28</f>
        <v>82.927153478028771</v>
      </c>
      <c r="AA52" s="18">
        <f>Z51*Population!$B$12*Population!$M$28+AA51*Population!$B$11*Population!$M$29</f>
        <v>82.752539685473266</v>
      </c>
      <c r="AB52" s="14">
        <f>(AA51*Population!$B$12*0.5*Population!$M$29)+(AB51*Population!$B$11*Population!M$30)</f>
        <v>41.073236707709967</v>
      </c>
      <c r="AC52" s="13">
        <f>(AA51*Population!$B$12*0.5*Population!$M$29)+(AC51*Population!$B$11*Population!M$30)</f>
        <v>41.073236707709967</v>
      </c>
      <c r="AD52" s="14">
        <f>(AB51*Population!$B$12*Population!M$30)+(AD51*Population!$B$11*Population!M$32)</f>
        <v>40.652008867882273</v>
      </c>
      <c r="AE52" s="13">
        <f>(AC51*Population!$B$12*Population!M$30)+(AE51*Population!$B$11*Population!M$32)</f>
        <v>40.652008867882273</v>
      </c>
      <c r="AF52" s="14">
        <f>(AD51*Population!$B$12*Population!M$32)+(AF51*Population!$B$11*Population!M$34)</f>
        <v>39.901362721560524</v>
      </c>
      <c r="AG52" s="13">
        <f>(AE51*Population!$B$12*Population!M$32)+(AG51*Population!$B$11*Population!M$34)</f>
        <v>39.901362721560524</v>
      </c>
      <c r="AH52" s="14">
        <f>(AF51*Population!$B$12*Population!M$34)+(AH51*Population!$B$11*Population!M$36)</f>
        <v>39.11168010334935</v>
      </c>
      <c r="AI52" s="13">
        <f>(AG51*Population!$B$12*Population!M$34)+(AI51*Population!$B$11*Population!M$36)</f>
        <v>39.11168010334935</v>
      </c>
      <c r="AJ52" s="14">
        <f>(AH51*Population!$B$12*Population!M$36)+(AJ51*Population!$B$11*Population!M$38)</f>
        <v>38.537737737237549</v>
      </c>
      <c r="AK52" s="13">
        <f>(AI51*Population!$B$12*Population!M$36)+(AK51*Population!$B$11*Population!M$38)</f>
        <v>38.537737737237549</v>
      </c>
      <c r="AL52" s="14">
        <f>(AJ51*Population!$B$12*Population!M$38)+(AL51*Population!$B$11*Population!M$40)</f>
        <v>38.426885234426862</v>
      </c>
      <c r="AM52" s="13">
        <f>(AK51*Population!$B$12*Population!M$38)+(AM51*Population!$B$11*Population!M$40)</f>
        <v>38.426885234426862</v>
      </c>
      <c r="AN52" s="15">
        <f>(AL51+AM51)*Population!$B$12*Population!$M$40+AN51*Population!$B$11*Population!$M$42</f>
        <v>75.317487828438487</v>
      </c>
      <c r="AO52" s="5">
        <f>AN51*Population!M$42*Population!$B$12+AO51*Population!$B$11*Population!M$43</f>
        <v>74.181937658078155</v>
      </c>
      <c r="AP52" s="5">
        <f>AO51*Population!M$43*Population!$B$12+AP51*Population!$B$11*Population!M$44</f>
        <v>58.187801450505042</v>
      </c>
      <c r="AQ52" s="5">
        <f>(AP51*Population!$B$12+AQ51)*Population!M$45</f>
        <v>140.79457911527786</v>
      </c>
    </row>
    <row r="53" spans="1:43">
      <c r="A53">
        <f>A52+Population!$B$2</f>
        <v>50</v>
      </c>
      <c r="B53" s="4">
        <f t="shared" si="5"/>
        <v>989</v>
      </c>
      <c r="C53" s="59">
        <f t="shared" si="20"/>
        <v>381</v>
      </c>
      <c r="D53" s="12">
        <f>AC52*Population!$P$31*Population!$C$2+AE52*Population!$P$33*Population!$C$2+AG52*Population!$P$35*Population!$C$2+AI52*Population!$P$37*Population!$C$2+AK52*Population!$P$39*Population!$C$2+AM51*Population!$P$41*Population!$C$2</f>
        <v>13.257356805133533</v>
      </c>
      <c r="E53" s="12">
        <f>IF(B52&gt;Population!$B$6*Population!$B$15,Population!$B$8,IF(Population!$J$6=1,D53,Population!$B$8*Population!$B$6*0.9/B52))</f>
        <v>11.880918319076509</v>
      </c>
      <c r="F53" s="12">
        <f>IF(B52&gt;Population!$B$6*0.75,Population!$B$8,E53)</f>
        <v>11.880918319076509</v>
      </c>
      <c r="G53" s="15">
        <f>IF(Population!$J$6=1,IF(E53&gt;H52,H52,E53),IF(E53&gt;W52,W52,E53))</f>
        <v>11.880918319076509</v>
      </c>
      <c r="H53" s="15">
        <f t="shared" si="22"/>
        <v>196</v>
      </c>
      <c r="I53" s="15">
        <f t="shared" si="23"/>
        <v>247</v>
      </c>
      <c r="J53" s="12">
        <f t="shared" si="17"/>
        <v>1.260204081632653</v>
      </c>
      <c r="K53" s="12">
        <f>Z53*Population!$O$28+AA53*Population!$O$29+AB53*Population!$O$30+AC53*Population!$O$31+AD53*Population!$O$32+AE53*Population!$O$33+AF53*Population!$O$34+AG53*Population!$O$35+AH53*Population!$O$36+AI53*Population!$O$37+AJ53*Population!$O$36+AK53*Population!$O$37+AL53*Population!$O$38+AM53*Population!$O$39+AN53*Population!$O$40+AO53*Population!$O$41+AP53*Population!$O$42+AQ53*Population!$O$43</f>
        <v>2.5389710850180158</v>
      </c>
      <c r="L53" s="12">
        <f t="shared" si="8"/>
        <v>6.0616930199369944E-2</v>
      </c>
      <c r="M53" s="12">
        <f t="shared" si="24"/>
        <v>5.7028554097850161</v>
      </c>
      <c r="N53" s="12">
        <f t="shared" si="18"/>
        <v>0.24974721941354905</v>
      </c>
      <c r="O53" s="12">
        <f t="shared" si="21"/>
        <v>395.99092847051247</v>
      </c>
      <c r="P53" s="12">
        <f t="shared" si="10"/>
        <v>173.00453576474376</v>
      </c>
      <c r="Q53" s="12">
        <f t="shared" si="11"/>
        <v>140.79457911527786</v>
      </c>
      <c r="R53" s="12">
        <f t="shared" si="25"/>
        <v>0.14314886791417647</v>
      </c>
      <c r="S53" s="12">
        <f t="shared" si="19"/>
        <v>0.88267620288134574</v>
      </c>
      <c r="T53" s="12">
        <f>Population!$B$13*MIN(X52:Y52)</f>
        <v>5.9142310133532945</v>
      </c>
      <c r="U53" s="12">
        <f>W52*Population!$B$14</f>
        <v>1.0378365036662605</v>
      </c>
      <c r="V53" s="12">
        <f>AM52*S52*Population!$B$12</f>
        <v>4.8446093559866643</v>
      </c>
      <c r="W53" s="12">
        <f t="shared" si="16"/>
        <v>173.00453576474376</v>
      </c>
      <c r="X53" s="14">
        <f t="shared" si="26"/>
        <v>23.66991874526812</v>
      </c>
      <c r="Y53" s="13">
        <f t="shared" si="27"/>
        <v>23.66991874526812</v>
      </c>
      <c r="Z53" s="18">
        <f>(G53+Population!$B$11*Z52)*Population!M$28</f>
        <v>82.927653283710427</v>
      </c>
      <c r="AA53" s="18">
        <f>Z52*Population!$B$12*Population!$M$28+AA52*Population!$B$11*Population!$M$29</f>
        <v>82.75671531971156</v>
      </c>
      <c r="AB53" s="14">
        <f>(AA52*Population!$B$12*0.5*Population!$M$29)+(AB52*Population!$B$11*Population!M$30)</f>
        <v>41.081646237255306</v>
      </c>
      <c r="AC53" s="13">
        <f>(AA52*Population!$B$12*0.5*Population!$M$29)+(AC52*Population!$B$11*Population!M$30)</f>
        <v>41.081646237255306</v>
      </c>
      <c r="AD53" s="14">
        <f>(AB52*Population!$B$12*Population!M$30)+(AD52*Population!$B$11*Population!M$32)</f>
        <v>40.673385561959236</v>
      </c>
      <c r="AE53" s="13">
        <f>(AC52*Population!$B$12*Population!M$30)+(AE52*Population!$B$11*Population!M$32)</f>
        <v>40.673385561959236</v>
      </c>
      <c r="AF53" s="14">
        <f>(AD52*Population!$B$12*Population!M$32)+(AF52*Population!$B$11*Population!M$34)</f>
        <v>39.937397162034571</v>
      </c>
      <c r="AG53" s="13">
        <f>(AE52*Population!$B$12*Population!M$32)+(AG52*Population!$B$11*Population!M$34)</f>
        <v>39.937397162034571</v>
      </c>
      <c r="AH53" s="14">
        <f>(AF52*Population!$B$12*Population!M$34)+(AH52*Population!$B$11*Population!M$36)</f>
        <v>39.149180881491525</v>
      </c>
      <c r="AI53" s="13">
        <f>(AG52*Population!$B$12*Population!M$34)+(AI52*Population!$B$11*Population!M$36)</f>
        <v>39.149180881491525</v>
      </c>
      <c r="AJ53" s="14">
        <f>(AH52*Population!$B$12*Population!M$36)+(AJ52*Population!$B$11*Population!M$38)</f>
        <v>38.545579623177609</v>
      </c>
      <c r="AK53" s="13">
        <f>(AI52*Population!$B$12*Population!M$36)+(AK52*Population!$B$11*Population!M$38)</f>
        <v>38.545579623177609</v>
      </c>
      <c r="AL53" s="14">
        <f>(AJ52*Population!$B$12*Population!M$38)+(AL52*Population!$B$11*Population!M$40)</f>
        <v>38.36891128134895</v>
      </c>
      <c r="AM53" s="13">
        <f>(AK52*Population!$B$12*Population!M$38)+(AM52*Population!$B$11*Population!M$40)</f>
        <v>38.36891128134895</v>
      </c>
      <c r="AN53" s="15">
        <f>(AL52+AM52)*Population!$B$12*Population!$M$40+AN52*Population!$B$11*Population!$M$42</f>
        <v>75.047832497092486</v>
      </c>
      <c r="AO53" s="5">
        <f>AN52*Population!M$42*Population!$B$12+AO52*Population!$B$11*Population!M$43</f>
        <v>73.805163957432129</v>
      </c>
      <c r="AP53" s="5">
        <f>AO52*Population!M$43*Population!$B$12+AP52*Population!$B$11*Population!M$44</f>
        <v>57.87614870534432</v>
      </c>
      <c r="AQ53" s="5">
        <f>(AP52*Population!$B$12+AQ52)*Population!M$45</f>
        <v>141.57423036712052</v>
      </c>
    </row>
    <row r="54" spans="1:43">
      <c r="A54">
        <f>A53+Population!$B$2</f>
        <v>51</v>
      </c>
      <c r="B54" s="4">
        <f t="shared" si="5"/>
        <v>989</v>
      </c>
      <c r="C54" s="59">
        <f t="shared" si="20"/>
        <v>382</v>
      </c>
      <c r="D54" s="12">
        <f>AC53*Population!$P$31*Population!$C$2+AE53*Population!$P$33*Population!$C$2+AG53*Population!$P$35*Population!$C$2+AI53*Population!$P$37*Population!$C$2+AK53*Population!$P$39*Population!$C$2+AM52*Population!$P$41*Population!$C$2</f>
        <v>13.264058033000303</v>
      </c>
      <c r="E54" s="12">
        <f>IF(B53&gt;Population!$B$6*Population!$B$15,Population!$B$8,IF(Population!$J$6=1,D54,Population!$B$8*Population!$B$6*0.9/B53))</f>
        <v>11.880918319076509</v>
      </c>
      <c r="F54" s="12">
        <f>IF(B53&gt;Population!$B$6*0.75,Population!$B$8,E54)</f>
        <v>11.880918319076509</v>
      </c>
      <c r="G54" s="15">
        <f>IF(Population!$J$6=1,IF(E54&gt;H53,H53,E54),IF(E54&gt;W53,W53,E54))</f>
        <v>11.880918319076509</v>
      </c>
      <c r="H54" s="15">
        <f t="shared" si="22"/>
        <v>196</v>
      </c>
      <c r="I54" s="15">
        <f t="shared" si="23"/>
        <v>247</v>
      </c>
      <c r="J54" s="12">
        <f t="shared" si="17"/>
        <v>1.260204081632653</v>
      </c>
      <c r="K54" s="12">
        <f>Z54*Population!$O$28+AA54*Population!$O$29+AB54*Population!$O$30+AC54*Population!$O$31+AD54*Population!$O$32+AE54*Population!$O$33+AF54*Population!$O$34+AG54*Population!$O$35+AH54*Population!$O$36+AI54*Population!$O$37+AJ54*Population!$O$36+AK54*Population!$O$37+AL54*Population!$O$38+AM54*Population!$O$39+AN54*Population!$O$40+AO54*Population!$O$41+AP54*Population!$O$42+AQ54*Population!$O$43</f>
        <v>2.5408295864284725</v>
      </c>
      <c r="L54" s="12">
        <f t="shared" si="8"/>
        <v>6.0616930199369944E-2</v>
      </c>
      <c r="M54" s="12">
        <f t="shared" si="24"/>
        <v>5.7071698669972841</v>
      </c>
      <c r="N54" s="12">
        <f t="shared" si="18"/>
        <v>0.24974721941354905</v>
      </c>
      <c r="O54" s="12">
        <f t="shared" si="21"/>
        <v>395.90840207520171</v>
      </c>
      <c r="P54" s="12">
        <f t="shared" si="10"/>
        <v>173.04579896239915</v>
      </c>
      <c r="Q54" s="12">
        <f t="shared" si="11"/>
        <v>141.57423036712052</v>
      </c>
      <c r="R54" s="12">
        <f t="shared" si="25"/>
        <v>0.14385462190026943</v>
      </c>
      <c r="S54" s="12">
        <f t="shared" si="19"/>
        <v>0.88288672939999568</v>
      </c>
      <c r="T54" s="12">
        <f>Population!$B$13*MIN(X53:Y53)</f>
        <v>5.91747968631703</v>
      </c>
      <c r="U54" s="12">
        <f>W53*Population!$B$14</f>
        <v>1.0380272145884626</v>
      </c>
      <c r="V54" s="12">
        <f>AM53*S53*Population!$B$12</f>
        <v>4.8381892740731889</v>
      </c>
      <c r="W54" s="12">
        <f t="shared" si="16"/>
        <v>173.04579896239915</v>
      </c>
      <c r="X54" s="14">
        <f t="shared" si="26"/>
        <v>23.68283639546371</v>
      </c>
      <c r="Y54" s="13">
        <f t="shared" si="27"/>
        <v>23.68283639546371</v>
      </c>
      <c r="Z54" s="18">
        <f>(G54+Population!$B$11*Z53)*Population!M$28</f>
        <v>82.928081514648042</v>
      </c>
      <c r="AA54" s="18">
        <f>Z53*Population!$B$12*Population!$M$28+AA53*Population!$B$11*Population!$M$29</f>
        <v>82.760365001295</v>
      </c>
      <c r="AB54" s="14">
        <f>(AA53*Population!$B$12*0.5*Population!$M$29)+(AB53*Population!$B$11*Population!M$30)</f>
        <v>41.089145728532792</v>
      </c>
      <c r="AC54" s="13">
        <f>(AA53*Population!$B$12*0.5*Population!$M$29)+(AC53*Population!$B$11*Population!M$30)</f>
        <v>41.089145728532792</v>
      </c>
      <c r="AD54" s="14">
        <f>(AB53*Population!$B$12*Population!M$30)+(AD53*Population!$B$11*Population!M$32)</f>
        <v>40.692891197357625</v>
      </c>
      <c r="AE54" s="13">
        <f>(AC53*Population!$B$12*Population!M$30)+(AE53*Population!$B$11*Population!M$32)</f>
        <v>40.692891197357625</v>
      </c>
      <c r="AF54" s="14">
        <f>(AD53*Population!$B$12*Population!M$32)+(AF53*Population!$B$11*Population!M$34)</f>
        <v>39.971275426059925</v>
      </c>
      <c r="AG54" s="13">
        <f>(AE53*Population!$B$12*Population!M$32)+(AG53*Population!$B$11*Population!M$34)</f>
        <v>39.971275426059925</v>
      </c>
      <c r="AH54" s="14">
        <f>(AF53*Population!$B$12*Population!M$34)+(AH53*Population!$B$11*Population!M$36)</f>
        <v>39.186400583525412</v>
      </c>
      <c r="AI54" s="13">
        <f>(AG53*Population!$B$12*Population!M$34)+(AI53*Population!$B$11*Population!M$36)</f>
        <v>39.186400583525412</v>
      </c>
      <c r="AJ54" s="14">
        <f>(AH53*Population!$B$12*Population!M$36)+(AJ53*Population!$B$11*Population!M$38)</f>
        <v>38.557635302286528</v>
      </c>
      <c r="AK54" s="13">
        <f>(AI53*Population!$B$12*Population!M$36)+(AK53*Population!$B$11*Population!M$38)</f>
        <v>38.557635302286528</v>
      </c>
      <c r="AL54" s="14">
        <f>(AJ53*Population!$B$12*Population!M$38)+(AL53*Population!$B$11*Population!M$40)</f>
        <v>38.320432848633388</v>
      </c>
      <c r="AM54" s="13">
        <f>(AK53*Population!$B$12*Population!M$38)+(AM53*Population!$B$11*Population!M$40)</f>
        <v>38.320432848633388</v>
      </c>
      <c r="AN54" s="15">
        <f>(AL53+AM53)*Population!$B$12*Population!$M$40+AN53*Population!$B$11*Population!$M$42</f>
        <v>74.801842887472716</v>
      </c>
      <c r="AO54" s="5">
        <f>AN53*Population!M$42*Population!$B$12+AO53*Population!$B$11*Population!M$43</f>
        <v>73.446313546276158</v>
      </c>
      <c r="AP54" s="5">
        <f>AO53*Population!M$43*Population!$B$12+AP53*Population!$B$11*Population!M$44</f>
        <v>57.569078650748956</v>
      </c>
      <c r="AQ54" s="5">
        <f>(AP53*Population!$B$12+AQ53)*Population!M$45</f>
        <v>142.27222105936647</v>
      </c>
    </row>
    <row r="55" spans="1:43">
      <c r="A55">
        <f>A54+Population!$B$2</f>
        <v>52</v>
      </c>
      <c r="B55" s="4">
        <f t="shared" si="5"/>
        <v>989</v>
      </c>
      <c r="C55" s="59">
        <f t="shared" si="20"/>
        <v>382</v>
      </c>
      <c r="D55" s="12">
        <f>AC54*Population!$P$31*Population!$C$2+AE54*Population!$P$33*Population!$C$2+AG54*Population!$P$35*Population!$C$2+AI54*Population!$P$37*Population!$C$2+AK54*Population!$P$39*Population!$C$2+AM53*Population!$P$41*Population!$C$2</f>
        <v>13.270789513878803</v>
      </c>
      <c r="E55" s="12">
        <f>IF(B54&gt;Population!$B$6*Population!$B$15,Population!$B$8,IF(Population!$J$6=1,D55,Population!$B$8*Population!$B$6*0.9/B54))</f>
        <v>11.880918319076509</v>
      </c>
      <c r="F55" s="12">
        <f>IF(B54&gt;Population!$B$6*0.75,Population!$B$8,E55)</f>
        <v>11.880918319076509</v>
      </c>
      <c r="G55" s="15">
        <f>IF(Population!$J$6=1,IF(E55&gt;H54,H54,E55),IF(E55&gt;W54,W54,E55))</f>
        <v>11.880918319076509</v>
      </c>
      <c r="H55" s="15">
        <f t="shared" si="22"/>
        <v>196</v>
      </c>
      <c r="I55" s="15">
        <f t="shared" si="23"/>
        <v>247</v>
      </c>
      <c r="J55" s="12">
        <f t="shared" si="17"/>
        <v>1.260204081632653</v>
      </c>
      <c r="K55" s="12">
        <f>Z55*Population!$O$28+AA55*Population!$O$29+AB55*Population!$O$30+AC55*Population!$O$31+AD55*Population!$O$32+AE55*Population!$O$33+AF55*Population!$O$34+AG55*Population!$O$35+AH55*Population!$O$36+AI55*Population!$O$37+AJ55*Population!$O$36+AK55*Population!$O$37+AL55*Population!$O$38+AM55*Population!$O$39+AN55*Population!$O$40+AO55*Population!$O$41+AP55*Population!$O$42+AQ55*Population!$O$43</f>
        <v>2.5422875141809342</v>
      </c>
      <c r="L55" s="12">
        <f t="shared" si="8"/>
        <v>6.0616930199369944E-2</v>
      </c>
      <c r="M55" s="12">
        <f t="shared" si="24"/>
        <v>5.7112751978510392</v>
      </c>
      <c r="N55" s="12">
        <f t="shared" si="18"/>
        <v>0.24974721941354905</v>
      </c>
      <c r="O55" s="12">
        <f t="shared" si="21"/>
        <v>395.80999107271072</v>
      </c>
      <c r="P55" s="12">
        <f t="shared" si="10"/>
        <v>173.09500446364464</v>
      </c>
      <c r="Q55" s="12">
        <f t="shared" si="11"/>
        <v>142.27222105936647</v>
      </c>
      <c r="R55" s="12">
        <f t="shared" si="25"/>
        <v>0.14448260695615256</v>
      </c>
      <c r="S55" s="12">
        <f t="shared" si="19"/>
        <v>0.88313777787573799</v>
      </c>
      <c r="T55" s="12">
        <f>Population!$B$13*MIN(X54:Y54)</f>
        <v>5.9207090988659274</v>
      </c>
      <c r="U55" s="12">
        <f>W54*Population!$B$14</f>
        <v>1.0382747937743948</v>
      </c>
      <c r="V55" s="12">
        <f>AM54*S54*Population!$B$12</f>
        <v>4.8332288038460129</v>
      </c>
      <c r="W55" s="12">
        <f t="shared" si="16"/>
        <v>173.09500446364464</v>
      </c>
      <c r="X55" s="14">
        <f t="shared" si="26"/>
        <v>23.695709105131783</v>
      </c>
      <c r="Y55" s="13">
        <f t="shared" si="27"/>
        <v>23.695709105131783</v>
      </c>
      <c r="Z55" s="18">
        <f>(G55+Population!$B$11*Z54)*Population!M$28</f>
        <v>82.928448420713053</v>
      </c>
      <c r="AA55" s="18">
        <f>Z54*Population!$B$12*Population!$M$28+AA54*Population!$B$11*Population!$M$29</f>
        <v>82.763553746938754</v>
      </c>
      <c r="AB55" s="14">
        <f>(AA54*Population!$B$12*0.5*Population!$M$29)+(AB54*Population!$B$11*Population!M$30)</f>
        <v>41.095828370786549</v>
      </c>
      <c r="AC55" s="13">
        <f>(AA54*Population!$B$12*0.5*Population!$M$29)+(AC54*Population!$B$11*Population!M$30)</f>
        <v>41.095828370786549</v>
      </c>
      <c r="AD55" s="14">
        <f>(AB54*Population!$B$12*Population!M$30)+(AD54*Population!$B$11*Population!M$32)</f>
        <v>40.710664714990394</v>
      </c>
      <c r="AE55" s="13">
        <f>(AC54*Population!$B$12*Population!M$30)+(AE54*Population!$B$11*Population!M$32)</f>
        <v>40.710664714990394</v>
      </c>
      <c r="AF55" s="14">
        <f>(AD54*Population!$B$12*Population!M$32)+(AF54*Population!$B$11*Population!M$34)</f>
        <v>40.003042047928268</v>
      </c>
      <c r="AG55" s="13">
        <f>(AE54*Population!$B$12*Population!M$32)+(AG54*Population!$B$11*Population!M$34)</f>
        <v>40.003042047928268</v>
      </c>
      <c r="AH55" s="14">
        <f>(AF54*Population!$B$12*Population!M$34)+(AH54*Population!$B$11*Population!M$36)</f>
        <v>39.223072391953167</v>
      </c>
      <c r="AI55" s="13">
        <f>(AG54*Population!$B$12*Population!M$34)+(AI54*Population!$B$11*Population!M$36)</f>
        <v>39.223072391953167</v>
      </c>
      <c r="AJ55" s="14">
        <f>(AH54*Population!$B$12*Population!M$36)+(AJ54*Population!$B$11*Population!M$38)</f>
        <v>38.57325579277741</v>
      </c>
      <c r="AK55" s="13">
        <f>(AI54*Population!$B$12*Population!M$36)+(AK54*Population!$B$11*Population!M$38)</f>
        <v>38.57325579277741</v>
      </c>
      <c r="AL55" s="14">
        <f>(AJ54*Population!$B$12*Population!M$38)+(AL54*Population!$B$11*Population!M$40)</f>
        <v>38.280678621127173</v>
      </c>
      <c r="AM55" s="13">
        <f>(AK54*Population!$B$12*Population!M$38)+(AM54*Population!$B$11*Population!M$40)</f>
        <v>38.280678621127173</v>
      </c>
      <c r="AN55" s="15">
        <f>(AL54+AM54)*Population!$B$12*Population!$M$40+AN54*Population!$B$11*Population!$M$42</f>
        <v>74.578698913479897</v>
      </c>
      <c r="AO55" s="5">
        <f>AN54*Population!M$42*Population!$B$12+AO54*Population!$B$11*Population!M$43</f>
        <v>73.10607088070465</v>
      </c>
      <c r="AP55" s="5">
        <f>AO54*Population!M$43*Population!$B$12+AP54*Population!$B$11*Population!M$44</f>
        <v>57.268280079563482</v>
      </c>
      <c r="AQ55" s="5">
        <f>(AP54*Population!$B$12+AQ54)*Population!M$45</f>
        <v>142.89329827963488</v>
      </c>
    </row>
    <row r="56" spans="1:43">
      <c r="A56">
        <f>A55+Population!$B$2</f>
        <v>53</v>
      </c>
      <c r="B56" s="4">
        <f t="shared" si="5"/>
        <v>989</v>
      </c>
      <c r="C56" s="59">
        <f t="shared" si="20"/>
        <v>382</v>
      </c>
      <c r="D56" s="12">
        <f>AC55*Population!$P$31*Population!$C$2+AE55*Population!$P$33*Population!$C$2+AG55*Population!$P$35*Population!$C$2+AI55*Population!$P$37*Population!$C$2+AK55*Population!$P$39*Population!$C$2+AM54*Population!$P$41*Population!$C$2</f>
        <v>13.277503476679072</v>
      </c>
      <c r="E56" s="12">
        <f>IF(B55&gt;Population!$B$6*Population!$B$15,Population!$B$8,IF(Population!$J$6=1,D56,Population!$B$8*Population!$B$6*0.9/B55))</f>
        <v>11.880918319076509</v>
      </c>
      <c r="F56" s="12">
        <f>IF(B55&gt;Population!$B$6*0.75,Population!$B$8,E56)</f>
        <v>11.880918319076509</v>
      </c>
      <c r="G56" s="15">
        <f>IF(Population!$J$6=1,IF(E56&gt;H55,H55,E56),IF(E56&gt;W55,W55,E56))</f>
        <v>11.880918319076509</v>
      </c>
      <c r="H56" s="15">
        <f t="shared" si="22"/>
        <v>196</v>
      </c>
      <c r="I56" s="15">
        <f t="shared" si="23"/>
        <v>247</v>
      </c>
      <c r="J56" s="12">
        <f t="shared" si="17"/>
        <v>1.260204081632653</v>
      </c>
      <c r="K56" s="12">
        <f>Z56*Population!$O$28+AA56*Population!$O$29+AB56*Population!$O$30+AC56*Population!$O$31+AD56*Population!$O$32+AE56*Population!$O$33+AF56*Population!$O$34+AG56*Population!$O$35+AH56*Population!$O$36+AI56*Population!$O$37+AJ56*Population!$O$36+AK56*Population!$O$37+AL56*Population!$O$38+AM56*Population!$O$39+AN56*Population!$O$40+AO56*Population!$O$41+AP56*Population!$O$42+AQ56*Population!$O$43</f>
        <v>2.5433836402555841</v>
      </c>
      <c r="L56" s="12">
        <f t="shared" si="8"/>
        <v>6.0616930199369944E-2</v>
      </c>
      <c r="M56" s="12">
        <f t="shared" si="24"/>
        <v>5.7151698926197669</v>
      </c>
      <c r="N56" s="12">
        <f t="shared" si="18"/>
        <v>0.24974721941354905</v>
      </c>
      <c r="O56" s="12">
        <f t="shared" si="21"/>
        <v>395.69845184600496</v>
      </c>
      <c r="P56" s="12">
        <f t="shared" si="10"/>
        <v>173.15077407699752</v>
      </c>
      <c r="Q56" s="12">
        <f t="shared" si="11"/>
        <v>142.89329827963488</v>
      </c>
      <c r="R56" s="12">
        <f t="shared" si="25"/>
        <v>0.14503761209356897</v>
      </c>
      <c r="S56" s="12">
        <f t="shared" si="19"/>
        <v>0.8834223167193751</v>
      </c>
      <c r="T56" s="12">
        <f>Population!$B$13*MIN(X55:Y55)</f>
        <v>5.9239272762829458</v>
      </c>
      <c r="U56" s="12">
        <f>W55*Population!$B$14</f>
        <v>1.0385700267818678</v>
      </c>
      <c r="V56" s="12">
        <f>AM55*S55*Population!$B$12</f>
        <v>4.8295876361482177</v>
      </c>
      <c r="W56" s="12">
        <f t="shared" si="16"/>
        <v>173.15077407699752</v>
      </c>
      <c r="X56" s="14">
        <f t="shared" si="26"/>
        <v>23.708537724245474</v>
      </c>
      <c r="Y56" s="13">
        <f t="shared" si="27"/>
        <v>23.708537724245474</v>
      </c>
      <c r="Z56" s="18">
        <f>(G56+Population!$B$11*Z55)*Population!M$28</f>
        <v>82.928762783942616</v>
      </c>
      <c r="AA56" s="18">
        <f>Z55*Population!$B$12*Population!$M$28+AA55*Population!$B$11*Population!$M$29</f>
        <v>82.766338736389784</v>
      </c>
      <c r="AB56" s="14">
        <f>(AA55*Population!$B$12*0.5*Population!$M$29)+(AB55*Population!$B$11*Population!M$30)</f>
        <v>41.101778607395431</v>
      </c>
      <c r="AC56" s="13">
        <f>(AA55*Population!$B$12*0.5*Population!$M$29)+(AC55*Population!$B$11*Population!M$30)</f>
        <v>41.101778607395431</v>
      </c>
      <c r="AD56" s="14">
        <f>(AB55*Population!$B$12*Population!M$30)+(AD55*Population!$B$11*Population!M$32)</f>
        <v>40.726838393635894</v>
      </c>
      <c r="AE56" s="13">
        <f>(AC55*Population!$B$12*Population!M$30)+(AE55*Population!$B$11*Population!M$32)</f>
        <v>40.726838393635894</v>
      </c>
      <c r="AF56" s="14">
        <f>(AD55*Population!$B$12*Population!M$32)+(AF55*Population!$B$11*Population!M$34)</f>
        <v>40.032754956384935</v>
      </c>
      <c r="AG56" s="13">
        <f>(AE55*Population!$B$12*Population!M$32)+(AG55*Population!$B$11*Population!M$34)</f>
        <v>40.032754956384935</v>
      </c>
      <c r="AH56" s="14">
        <f>(AF55*Population!$B$12*Population!M$34)+(AH55*Population!$B$11*Population!M$36)</f>
        <v>39.258974394994276</v>
      </c>
      <c r="AI56" s="13">
        <f>(AG55*Population!$B$12*Population!M$34)+(AI55*Population!$B$11*Population!M$36)</f>
        <v>39.258974394994276</v>
      </c>
      <c r="AJ56" s="14">
        <f>(AH55*Population!$B$12*Population!M$36)+(AJ55*Population!$B$11*Population!M$38)</f>
        <v>38.591847848984614</v>
      </c>
      <c r="AK56" s="13">
        <f>(AI55*Population!$B$12*Population!M$36)+(AK55*Population!$B$11*Population!M$38)</f>
        <v>38.591847848984614</v>
      </c>
      <c r="AL56" s="14">
        <f>(AJ55*Population!$B$12*Population!M$38)+(AL55*Population!$B$11*Population!M$40)</f>
        <v>38.248896207243277</v>
      </c>
      <c r="AM56" s="13">
        <f>(AK55*Population!$B$12*Population!M$38)+(AM55*Population!$B$11*Population!M$40)</f>
        <v>38.248896207243277</v>
      </c>
      <c r="AN56" s="15">
        <f>(AL55+AM55)*Population!$B$12*Population!$M$40+AN55*Population!$B$11*Population!$M$42</f>
        <v>74.377482787784615</v>
      </c>
      <c r="AO56" s="5">
        <f>AN55*Population!M$42*Population!$B$12+AO55*Population!$B$11*Population!M$43</f>
        <v>72.784902078182071</v>
      </c>
      <c r="AP56" s="5">
        <f>AO55*Population!M$43*Population!$B$12+AP55*Population!$B$11*Population!M$44</f>
        <v>56.975224469497597</v>
      </c>
      <c r="AQ56" s="5">
        <f>(AP55*Population!$B$12+AQ55)*Population!M$45</f>
        <v>143.44219836053972</v>
      </c>
    </row>
    <row r="57" spans="1:43">
      <c r="A57">
        <f>A56+Population!$B$2</f>
        <v>54</v>
      </c>
      <c r="B57" s="4">
        <f t="shared" si="5"/>
        <v>989</v>
      </c>
      <c r="C57" s="59">
        <f t="shared" si="20"/>
        <v>382</v>
      </c>
      <c r="D57" s="12">
        <f>AC56*Population!$P$31*Population!$C$2+AE56*Population!$P$33*Population!$C$2+AG56*Population!$P$35*Population!$C$2+AI56*Population!$P$37*Population!$C$2+AK56*Population!$P$39*Population!$C$2+AM55*Population!$P$41*Population!$C$2</f>
        <v>13.284158572483317</v>
      </c>
      <c r="E57" s="12">
        <f>IF(B56&gt;Population!$B$6*Population!$B$15,Population!$B$8,IF(Population!$J$6=1,D57,Population!$B$8*Population!$B$6*0.9/B56))</f>
        <v>11.880918319076509</v>
      </c>
      <c r="F57" s="12">
        <f>IF(B56&gt;Population!$B$6*0.75,Population!$B$8,E57)</f>
        <v>11.880918319076509</v>
      </c>
      <c r="G57" s="15">
        <f>IF(Population!$J$6=1,IF(E57&gt;H56,H56,E57),IF(E57&gt;W56,W56,E57))</f>
        <v>11.880918319076509</v>
      </c>
      <c r="H57" s="15">
        <f t="shared" si="22"/>
        <v>196</v>
      </c>
      <c r="I57" s="15">
        <f t="shared" si="23"/>
        <v>247</v>
      </c>
      <c r="J57" s="12">
        <f t="shared" si="17"/>
        <v>1.260204081632653</v>
      </c>
      <c r="K57" s="12">
        <f>Z57*Population!$O$28+AA57*Population!$O$29+AB57*Population!$O$30+AC57*Population!$O$31+AD57*Population!$O$32+AE57*Population!$O$33+AF57*Population!$O$34+AG57*Population!$O$35+AH57*Population!$O$36+AI57*Population!$O$37+AJ57*Population!$O$36+AK57*Population!$O$37+AL57*Population!$O$38+AM57*Population!$O$39+AN57*Population!$O$40+AO57*Population!$O$41+AP57*Population!$O$42+AQ57*Population!$O$43</f>
        <v>2.5441548744895863</v>
      </c>
      <c r="L57" s="12">
        <f t="shared" si="8"/>
        <v>6.0616930199369944E-2</v>
      </c>
      <c r="M57" s="12">
        <f t="shared" si="24"/>
        <v>5.7188545311695638</v>
      </c>
      <c r="N57" s="12">
        <f t="shared" si="18"/>
        <v>0.24974721941354905</v>
      </c>
      <c r="O57" s="12">
        <f t="shared" si="21"/>
        <v>395.57625755833811</v>
      </c>
      <c r="P57" s="12">
        <f t="shared" si="10"/>
        <v>173.21187122083094</v>
      </c>
      <c r="Q57" s="12">
        <f t="shared" si="11"/>
        <v>143.44219836053972</v>
      </c>
      <c r="R57" s="12">
        <f t="shared" si="25"/>
        <v>0.14552438619454791</v>
      </c>
      <c r="S57" s="12">
        <f t="shared" si="19"/>
        <v>0.88373403684097418</v>
      </c>
      <c r="T57" s="12">
        <f>Population!$B$13*MIN(X56:Y56)</f>
        <v>5.9271344310613685</v>
      </c>
      <c r="U57" s="12">
        <f>W56*Population!$B$14</f>
        <v>1.0389046444619852</v>
      </c>
      <c r="V57" s="12">
        <f>AM56*S56*Population!$B$12</f>
        <v>4.8271326427659682</v>
      </c>
      <c r="W57" s="12">
        <f t="shared" si="16"/>
        <v>173.21187122083094</v>
      </c>
      <c r="X57" s="14">
        <f t="shared" si="26"/>
        <v>23.721303595317067</v>
      </c>
      <c r="Y57" s="13">
        <f t="shared" si="27"/>
        <v>23.721303595317067</v>
      </c>
      <c r="Z57" s="18">
        <f>(G57+Population!$B$11*Z56)*Population!M$28</f>
        <v>82.929032128740985</v>
      </c>
      <c r="AA57" s="18">
        <f>Z56*Population!$B$12*Population!$M$28+AA56*Population!$B$11*Population!$M$29</f>
        <v>82.768770223899566</v>
      </c>
      <c r="AB57" s="14">
        <f>(AA56*Population!$B$12*0.5*Population!$M$29)+(AB56*Population!$B$11*Population!M$30)</f>
        <v>41.107072832768935</v>
      </c>
      <c r="AC57" s="13">
        <f>(AA56*Population!$B$12*0.5*Population!$M$29)+(AC56*Population!$B$11*Population!M$30)</f>
        <v>41.107072832768935</v>
      </c>
      <c r="AD57" s="14">
        <f>(AB56*Population!$B$12*Population!M$30)+(AD56*Population!$B$11*Population!M$32)</f>
        <v>40.741537558894741</v>
      </c>
      <c r="AE57" s="13">
        <f>(AC56*Population!$B$12*Population!M$30)+(AE56*Population!$B$11*Population!M$32)</f>
        <v>40.741537558894741</v>
      </c>
      <c r="AF57" s="14">
        <f>(AD56*Population!$B$12*Population!M$32)+(AF56*Population!$B$11*Population!M$34)</f>
        <v>40.060482588265543</v>
      </c>
      <c r="AG57" s="13">
        <f>(AE56*Population!$B$12*Population!M$32)+(AG56*Population!$B$11*Population!M$34)</f>
        <v>40.060482588265543</v>
      </c>
      <c r="AH57" s="14">
        <f>(AF56*Population!$B$12*Population!M$34)+(AH56*Population!$B$11*Population!M$36)</f>
        <v>39.293925007400574</v>
      </c>
      <c r="AI57" s="13">
        <f>(AG56*Population!$B$12*Population!M$34)+(AI56*Population!$B$11*Population!M$36)</f>
        <v>39.293925007400574</v>
      </c>
      <c r="AJ57" s="14">
        <f>(AH56*Population!$B$12*Population!M$36)+(AJ56*Population!$B$11*Population!M$38)</f>
        <v>38.612872310120473</v>
      </c>
      <c r="AK57" s="13">
        <f>(AI56*Population!$B$12*Population!M$36)+(AK56*Population!$B$11*Population!M$38)</f>
        <v>38.612872310120473</v>
      </c>
      <c r="AL57" s="14">
        <f>(AJ56*Population!$B$12*Population!M$38)+(AL56*Population!$B$11*Population!M$40)</f>
        <v>38.224357351466686</v>
      </c>
      <c r="AM57" s="13">
        <f>(AK56*Population!$B$12*Population!M$38)+(AM56*Population!$B$11*Population!M$40)</f>
        <v>38.224357351466686</v>
      </c>
      <c r="AN57" s="15">
        <f>(AL56+AM56)*Population!$B$12*Population!$M$40+AN56*Population!$B$11*Population!$M$42</f>
        <v>74.197198982641396</v>
      </c>
      <c r="AO57" s="5">
        <f>AN56*Population!M$42*Population!$B$12+AO56*Population!$B$11*Population!M$43</f>
        <v>72.483073609466388</v>
      </c>
      <c r="AP57" s="5">
        <f>AO56*Population!M$43*Population!$B$12+AP56*Population!$B$11*Population!M$44</f>
        <v>56.69117547341525</v>
      </c>
      <c r="AQ57" s="5">
        <f>(AP56*Population!$B$12+AQ56)*Population!M$45</f>
        <v>143.92361794640789</v>
      </c>
    </row>
    <row r="58" spans="1:43">
      <c r="A58">
        <f>A57+Population!$B$2</f>
        <v>55</v>
      </c>
      <c r="B58" s="4">
        <f t="shared" si="5"/>
        <v>988</v>
      </c>
      <c r="C58" s="59">
        <f t="shared" si="20"/>
        <v>382</v>
      </c>
      <c r="D58" s="12">
        <f>AC57*Population!$P$31*Population!$C$2+AE57*Population!$P$33*Population!$C$2+AG57*Population!$P$35*Population!$C$2+AI57*Population!$P$37*Population!$C$2+AK57*Population!$P$39*Population!$C$2+AM56*Population!$P$41*Population!$C$2</f>
        <v>13.290719334598133</v>
      </c>
      <c r="E58" s="12">
        <f>IF(B57&gt;Population!$B$6*Population!$B$15,Population!$B$8,IF(Population!$J$6=1,D58,Population!$B$8*Population!$B$6*0.9/B57))</f>
        <v>11.880918319076509</v>
      </c>
      <c r="F58" s="12">
        <f>IF(B57&gt;Population!$B$6*0.75,Population!$B$8,E58)</f>
        <v>11.880918319076509</v>
      </c>
      <c r="G58" s="15">
        <f>IF(Population!$J$6=1,IF(E58&gt;H57,H57,E58),IF(E58&gt;W57,W57,E58))</f>
        <v>11.880918319076509</v>
      </c>
      <c r="H58" s="15">
        <f t="shared" si="22"/>
        <v>197</v>
      </c>
      <c r="I58" s="15">
        <f t="shared" si="23"/>
        <v>247</v>
      </c>
      <c r="J58" s="12">
        <f t="shared" si="17"/>
        <v>1.2538071065989849</v>
      </c>
      <c r="K58" s="12">
        <f>Z58*Population!$O$28+AA58*Population!$O$29+AB58*Population!$O$30+AC58*Population!$O$31+AD58*Population!$O$32+AE58*Population!$O$33+AF58*Population!$O$34+AG58*Population!$O$35+AH58*Population!$O$36+AI58*Population!$O$37+AJ58*Population!$O$36+AK58*Population!$O$37+AL58*Population!$O$38+AM58*Population!$O$39+AN58*Population!$O$40+AO58*Population!$O$41+AP58*Population!$O$42+AQ58*Population!$O$43</f>
        <v>2.544636204649859</v>
      </c>
      <c r="L58" s="12">
        <f t="shared" si="8"/>
        <v>6.030923004607365E-2</v>
      </c>
      <c r="M58" s="12">
        <f t="shared" si="24"/>
        <v>5.7223314501208007</v>
      </c>
      <c r="N58" s="12">
        <f t="shared" si="18"/>
        <v>0.25</v>
      </c>
      <c r="O58" s="12">
        <f t="shared" si="21"/>
        <v>394.44562410900483</v>
      </c>
      <c r="P58" s="12">
        <f t="shared" si="10"/>
        <v>173.27718794549759</v>
      </c>
      <c r="Q58" s="12">
        <f t="shared" si="11"/>
        <v>143.92361794640789</v>
      </c>
      <c r="R58" s="12">
        <f t="shared" si="25"/>
        <v>0.14609533179045484</v>
      </c>
      <c r="S58" s="12">
        <f t="shared" si="19"/>
        <v>0.87957963424110452</v>
      </c>
      <c r="T58" s="12">
        <f>Population!$B$13*MIN(X57:Y57)</f>
        <v>5.9303258988292669</v>
      </c>
      <c r="U58" s="12">
        <f>W57*Population!$B$14</f>
        <v>1.0392712273249858</v>
      </c>
      <c r="V58" s="12">
        <f>AM57*S57*Population!$B$12</f>
        <v>4.82573794683766</v>
      </c>
      <c r="W58" s="12">
        <f t="shared" si="16"/>
        <v>173.27718794549759</v>
      </c>
      <c r="X58" s="14">
        <f t="shared" si="26"/>
        <v>23.733976699966775</v>
      </c>
      <c r="Y58" s="13">
        <f t="shared" si="27"/>
        <v>23.733976699966775</v>
      </c>
      <c r="Z58" s="18">
        <f>(G58+Population!$B$11*Z57)*Population!M$28</f>
        <v>82.929262901979016</v>
      </c>
      <c r="AA58" s="18">
        <f>Z57*Population!$B$12*Population!$M$28+AA57*Population!$B$11*Population!$M$29</f>
        <v>82.770892349327411</v>
      </c>
      <c r="AB58" s="14">
        <f>(AA57*Population!$B$12*0.5*Population!$M$29)+(AB57*Population!$B$11*Population!M$30)</f>
        <v>41.111780054207919</v>
      </c>
      <c r="AC58" s="13">
        <f>(AA57*Population!$B$12*0.5*Population!$M$29)+(AC57*Population!$B$11*Population!M$30)</f>
        <v>41.111780054207919</v>
      </c>
      <c r="AD58" s="14">
        <f>(AB57*Population!$B$12*Population!M$30)+(AD57*Population!$B$11*Population!M$32)</f>
        <v>40.754880433423715</v>
      </c>
      <c r="AE58" s="13">
        <f>(AC57*Population!$B$12*Population!M$30)+(AE57*Population!$B$11*Population!M$32)</f>
        <v>40.754880433423715</v>
      </c>
      <c r="AF58" s="14">
        <f>(AD57*Population!$B$12*Population!M$32)+(AF57*Population!$B$11*Population!M$34)</f>
        <v>40.086301377682517</v>
      </c>
      <c r="AG58" s="13">
        <f>(AE57*Population!$B$12*Population!M$32)+(AG57*Population!$B$11*Population!M$34)</f>
        <v>40.086301377682517</v>
      </c>
      <c r="AH58" s="14">
        <f>(AF57*Population!$B$12*Population!M$34)+(AH57*Population!$B$11*Population!M$36)</f>
        <v>39.327778641430612</v>
      </c>
      <c r="AI58" s="13">
        <f>(AG57*Population!$B$12*Population!M$34)+(AI57*Population!$B$11*Population!M$36)</f>
        <v>39.327778641430612</v>
      </c>
      <c r="AJ58" s="14">
        <f>(AH57*Population!$B$12*Population!M$36)+(AJ57*Population!$B$11*Population!M$38)</f>
        <v>38.635842034728086</v>
      </c>
      <c r="AK58" s="13">
        <f>(AI57*Population!$B$12*Population!M$36)+(AK57*Population!$B$11*Population!M$38)</f>
        <v>38.635842034728086</v>
      </c>
      <c r="AL58" s="14">
        <f>(AJ57*Population!$B$12*Population!M$38)+(AL57*Population!$B$11*Population!M$40)</f>
        <v>38.206362158199461</v>
      </c>
      <c r="AM58" s="13">
        <f>(AK57*Population!$B$12*Population!M$38)+(AM57*Population!$B$11*Population!M$40)</f>
        <v>38.206362158199461</v>
      </c>
      <c r="AN58" s="15">
        <f>(AL57+AM57)*Population!$B$12*Population!$M$40+AN57*Population!$B$11*Population!$M$42</f>
        <v>74.036792701543888</v>
      </c>
      <c r="AO58" s="5">
        <f>AN57*Population!M$42*Population!$B$12+AO57*Population!$B$11*Population!M$43</f>
        <v>72.200671034971975</v>
      </c>
      <c r="AP58" s="5">
        <f>AO57*Population!M$43*Population!$B$12+AP57*Population!$B$11*Population!M$44</f>
        <v>56.417199293826805</v>
      </c>
      <c r="AQ58" s="5">
        <f>(AP57*Population!$B$12+AQ57)*Population!M$45</f>
        <v>144.34218780896938</v>
      </c>
    </row>
    <row r="59" spans="1:43">
      <c r="A59">
        <f>A58+Population!$B$2</f>
        <v>56</v>
      </c>
      <c r="B59" s="4">
        <f t="shared" si="5"/>
        <v>988</v>
      </c>
      <c r="C59" s="59">
        <f t="shared" si="20"/>
        <v>382</v>
      </c>
      <c r="D59" s="12">
        <f>AC58*Population!$P$31*Population!$C$2+AE58*Population!$P$33*Population!$C$2+AG58*Population!$P$35*Population!$C$2+AI58*Population!$P$37*Population!$C$2+AK58*Population!$P$39*Population!$C$2+AM57*Population!$P$41*Population!$C$2</f>
        <v>13.297155662673386</v>
      </c>
      <c r="E59" s="12">
        <f>IF(B58&gt;Population!$B$6*Population!$B$15,Population!$B$8,IF(Population!$J$6=1,D59,Population!$B$8*Population!$B$6*0.9/B58))</f>
        <v>11.880918319076509</v>
      </c>
      <c r="F59" s="12">
        <f>IF(B58&gt;Population!$B$6*0.75,Population!$B$8,E59)</f>
        <v>11.880918319076509</v>
      </c>
      <c r="G59" s="15">
        <f>IF(Population!$J$6=1,IF(E59&gt;H58,H58,E59),IF(E59&gt;W58,W58,E59))</f>
        <v>11.880918319076509</v>
      </c>
      <c r="H59" s="15">
        <f t="shared" si="22"/>
        <v>197</v>
      </c>
      <c r="I59" s="15">
        <f t="shared" si="23"/>
        <v>247</v>
      </c>
      <c r="J59" s="12">
        <f t="shared" si="17"/>
        <v>1.2538071065989849</v>
      </c>
      <c r="K59" s="12">
        <f>Z59*Population!$O$28+AA59*Population!$O$29+AB59*Population!$O$30+AC59*Population!$O$31+AD59*Population!$O$32+AE59*Population!$O$33+AF59*Population!$O$34+AG59*Population!$O$35+AH59*Population!$O$36+AI59*Population!$O$37+AJ59*Population!$O$36+AK59*Population!$O$37+AL59*Population!$O$38+AM59*Population!$O$39+AN59*Population!$O$40+AO59*Population!$O$41+AP59*Population!$O$42+AQ59*Population!$O$43</f>
        <v>2.5448606560133928</v>
      </c>
      <c r="L59" s="12">
        <f t="shared" si="8"/>
        <v>6.030923004607365E-2</v>
      </c>
      <c r="M59" s="12">
        <f t="shared" si="24"/>
        <v>5.7256044445326992</v>
      </c>
      <c r="N59" s="12">
        <f t="shared" si="18"/>
        <v>0.25</v>
      </c>
      <c r="O59" s="12">
        <f t="shared" si="21"/>
        <v>394.25954431516521</v>
      </c>
      <c r="P59" s="12">
        <f t="shared" si="10"/>
        <v>173.37022784241739</v>
      </c>
      <c r="Q59" s="12">
        <f t="shared" si="11"/>
        <v>144.34218780896938</v>
      </c>
      <c r="R59" s="12">
        <f t="shared" si="25"/>
        <v>0.14645996902133088</v>
      </c>
      <c r="S59" s="12">
        <f t="shared" si="19"/>
        <v>0.88005191798181415</v>
      </c>
      <c r="T59" s="12">
        <f>Population!$B$13*MIN(X58:Y58)</f>
        <v>5.9334941749916936</v>
      </c>
      <c r="U59" s="12">
        <f>W58*Population!$B$14</f>
        <v>1.0396631276729855</v>
      </c>
      <c r="V59" s="12">
        <f>AM58*S58*Population!$B$12</f>
        <v>4.8007911503988945</v>
      </c>
      <c r="W59" s="12">
        <f t="shared" si="16"/>
        <v>173.37022784241739</v>
      </c>
      <c r="X59" s="14">
        <f t="shared" si="26"/>
        <v>23.722027419872603</v>
      </c>
      <c r="Y59" s="13">
        <f t="shared" si="27"/>
        <v>23.722027419872603</v>
      </c>
      <c r="Z59" s="18">
        <f>(G59+Population!$B$11*Z58)*Population!M$28</f>
        <v>82.929460627302532</v>
      </c>
      <c r="AA59" s="18">
        <f>Z58*Population!$B$12*Population!$M$28+AA58*Population!$B$11*Population!$M$29</f>
        <v>82.772743858933381</v>
      </c>
      <c r="AB59" s="14">
        <f>(AA58*Population!$B$12*0.5*Population!$M$29)+(AB58*Population!$B$11*Population!M$30)</f>
        <v>41.115962516595999</v>
      </c>
      <c r="AC59" s="13">
        <f>(AA58*Population!$B$12*0.5*Population!$M$29)+(AC58*Population!$B$11*Population!M$30)</f>
        <v>41.115962516595999</v>
      </c>
      <c r="AD59" s="14">
        <f>(AB58*Population!$B$12*Population!M$30)+(AD58*Population!$B$11*Population!M$32)</f>
        <v>40.766978103148602</v>
      </c>
      <c r="AE59" s="13">
        <f>(AC58*Population!$B$12*Population!M$30)+(AE58*Population!$B$11*Population!M$32)</f>
        <v>40.766978103148602</v>
      </c>
      <c r="AF59" s="14">
        <f>(AD58*Population!$B$12*Population!M$32)+(AF58*Population!$B$11*Population!M$34)</f>
        <v>40.110293586656404</v>
      </c>
      <c r="AG59" s="13">
        <f>(AE58*Population!$B$12*Population!M$32)+(AG58*Population!$B$11*Population!M$34)</f>
        <v>40.110293586656404</v>
      </c>
      <c r="AH59" s="14">
        <f>(AF58*Population!$B$12*Population!M$34)+(AH58*Population!$B$11*Population!M$36)</f>
        <v>39.360421645381685</v>
      </c>
      <c r="AI59" s="13">
        <f>(AG58*Population!$B$12*Population!M$34)+(AI58*Population!$B$11*Population!M$36)</f>
        <v>39.360421645381685</v>
      </c>
      <c r="AJ59" s="14">
        <f>(AH58*Population!$B$12*Population!M$36)+(AJ58*Population!$B$11*Population!M$38)</f>
        <v>38.660319516366783</v>
      </c>
      <c r="AK59" s="13">
        <f>(AI58*Population!$B$12*Population!M$36)+(AK58*Population!$B$11*Population!M$38)</f>
        <v>38.660319516366783</v>
      </c>
      <c r="AL59" s="14">
        <f>(AJ58*Population!$B$12*Population!M$38)+(AL58*Population!$B$11*Population!M$40)</f>
        <v>38.194242410736528</v>
      </c>
      <c r="AM59" s="13">
        <f>(AK58*Population!$B$12*Population!M$38)+(AM58*Population!$B$11*Population!M$40)</f>
        <v>38.194242410736528</v>
      </c>
      <c r="AN59" s="15">
        <f>(AL58+AM58)*Population!$B$12*Population!$M$40+AN58*Population!$B$11*Population!$M$42</f>
        <v>73.895166801779666</v>
      </c>
      <c r="AO59" s="5">
        <f>AN58*Population!M$42*Population!$B$12+AO58*Population!$B$11*Population!M$43</f>
        <v>71.937617567752611</v>
      </c>
      <c r="AP59" s="5">
        <f>AO58*Population!M$43*Population!$B$12+AP58*Population!$B$11*Population!M$44</f>
        <v>56.154175783283499</v>
      </c>
      <c r="AQ59" s="5">
        <f>(AP58*Population!$B$12+AQ58)*Population!M$45</f>
        <v>144.70244939307491</v>
      </c>
    </row>
    <row r="60" spans="1:43">
      <c r="A60">
        <f>A59+Population!$B$2</f>
        <v>57</v>
      </c>
      <c r="B60" s="4">
        <f t="shared" si="5"/>
        <v>988</v>
      </c>
      <c r="C60" s="59">
        <f t="shared" si="20"/>
        <v>382</v>
      </c>
      <c r="D60" s="12">
        <f>AC59*Population!$P$31*Population!$C$2+AE59*Population!$P$33*Population!$C$2+AG59*Population!$P$35*Population!$C$2+AI59*Population!$P$37*Population!$C$2+AK59*Population!$P$39*Population!$C$2+AM58*Population!$P$41*Population!$C$2</f>
        <v>13.303442332258003</v>
      </c>
      <c r="E60" s="12">
        <f>IF(B59&gt;Population!$B$6*Population!$B$15,Population!$B$8,IF(Population!$J$6=1,D60,Population!$B$8*Population!$B$6*0.9/B59))</f>
        <v>11.880918319076509</v>
      </c>
      <c r="F60" s="12">
        <f>IF(B59&gt;Population!$B$6*0.75,Population!$B$8,E60)</f>
        <v>11.880918319076509</v>
      </c>
      <c r="G60" s="15">
        <f>IF(Population!$J$6=1,IF(E60&gt;H59,H59,E60),IF(E60&gt;W59,W59,E60))</f>
        <v>11.880918319076509</v>
      </c>
      <c r="H60" s="15">
        <f t="shared" si="22"/>
        <v>197</v>
      </c>
      <c r="I60" s="15">
        <f t="shared" si="23"/>
        <v>247</v>
      </c>
      <c r="J60" s="12">
        <f t="shared" si="17"/>
        <v>1.2538071065989849</v>
      </c>
      <c r="K60" s="12">
        <f>Z60*Population!$O$28+AA60*Population!$O$29+AB60*Population!$O$30+AC60*Population!$O$31+AD60*Population!$O$32+AE60*Population!$O$33+AF60*Population!$O$34+AG60*Population!$O$35+AH60*Population!$O$36+AI60*Population!$O$37+AJ60*Population!$O$36+AK60*Population!$O$37+AL60*Population!$O$38+AM60*Population!$O$39+AN60*Population!$O$40+AO60*Population!$O$41+AP60*Population!$O$42+AQ60*Population!$O$43</f>
        <v>2.5448592691099332</v>
      </c>
      <c r="L60" s="12">
        <f t="shared" si="8"/>
        <v>6.030923004607365E-2</v>
      </c>
      <c r="M60" s="12">
        <f t="shared" si="24"/>
        <v>5.728678501980661</v>
      </c>
      <c r="N60" s="12">
        <f t="shared" si="18"/>
        <v>0.25</v>
      </c>
      <c r="O60" s="12">
        <f t="shared" si="21"/>
        <v>394.0826637077468</v>
      </c>
      <c r="P60" s="12">
        <f t="shared" si="10"/>
        <v>173.4586681461266</v>
      </c>
      <c r="Q60" s="12">
        <f t="shared" si="11"/>
        <v>144.70244939307491</v>
      </c>
      <c r="R60" s="12">
        <f t="shared" si="25"/>
        <v>0.14677007495241026</v>
      </c>
      <c r="S60" s="12">
        <f t="shared" si="19"/>
        <v>0.88050085353363761</v>
      </c>
      <c r="T60" s="12">
        <f>Population!$B$13*MIN(X59:Y59)</f>
        <v>5.9305068549681508</v>
      </c>
      <c r="U60" s="12">
        <f>W59*Population!$B$14</f>
        <v>1.0402213670545044</v>
      </c>
      <c r="V60" s="12">
        <f>AM59*S59*Population!$B$12</f>
        <v>4.8018451842044332</v>
      </c>
      <c r="W60" s="12">
        <f t="shared" si="16"/>
        <v>173.4586681461266</v>
      </c>
      <c r="X60" s="14">
        <f t="shared" si="26"/>
        <v>23.716858730886941</v>
      </c>
      <c r="Y60" s="13">
        <f t="shared" si="27"/>
        <v>23.716858730886941</v>
      </c>
      <c r="Z60" s="18">
        <f>(G60+Population!$B$11*Z59)*Population!M$28</f>
        <v>82.929630037342847</v>
      </c>
      <c r="AA60" s="18">
        <f>Z59*Population!$B$12*Population!$M$28+AA59*Population!$B$11*Population!$M$29</f>
        <v>82.774358745096947</v>
      </c>
      <c r="AB60" s="14">
        <f>(AA59*Population!$B$12*0.5*Population!$M$29)+(AB59*Population!$B$11*Population!M$30)</f>
        <v>41.119676288812663</v>
      </c>
      <c r="AC60" s="13">
        <f>(AA59*Population!$B$12*0.5*Population!$M$29)+(AC59*Population!$B$11*Population!M$30)</f>
        <v>41.119676288812663</v>
      </c>
      <c r="AD60" s="14">
        <f>(AB59*Population!$B$12*Population!M$30)+(AD59*Population!$B$11*Population!M$32)</f>
        <v>40.777934577487933</v>
      </c>
      <c r="AE60" s="13">
        <f>(AC59*Population!$B$12*Population!M$30)+(AE59*Population!$B$11*Population!M$32)</f>
        <v>40.777934577487933</v>
      </c>
      <c r="AF60" s="14">
        <f>(AD59*Population!$B$12*Population!M$32)+(AF59*Population!$B$11*Population!M$34)</f>
        <v>40.13254544440521</v>
      </c>
      <c r="AG60" s="13">
        <f>(AE59*Population!$B$12*Population!M$32)+(AG59*Population!$B$11*Population!M$34)</f>
        <v>40.13254544440521</v>
      </c>
      <c r="AH60" s="14">
        <f>(AF59*Population!$B$12*Population!M$34)+(AH59*Population!$B$11*Population!M$36)</f>
        <v>39.391768519700761</v>
      </c>
      <c r="AI60" s="13">
        <f>(AG59*Population!$B$12*Population!M$34)+(AI59*Population!$B$11*Population!M$36)</f>
        <v>39.391768519700761</v>
      </c>
      <c r="AJ60" s="14">
        <f>(AH59*Population!$B$12*Population!M$36)+(AJ59*Population!$B$11*Population!M$38)</f>
        <v>38.685914264742095</v>
      </c>
      <c r="AK60" s="13">
        <f>(AI59*Population!$B$12*Population!M$36)+(AK59*Population!$B$11*Population!M$38)</f>
        <v>38.685914264742095</v>
      </c>
      <c r="AL60" s="14">
        <f>(AJ59*Population!$B$12*Population!M$38)+(AL59*Population!$B$11*Population!M$40)</f>
        <v>38.187364070677546</v>
      </c>
      <c r="AM60" s="13">
        <f>(AK59*Population!$B$12*Population!M$38)+(AM59*Population!$B$11*Population!M$40)</f>
        <v>38.187364070677546</v>
      </c>
      <c r="AN60" s="15">
        <f>(AL59+AM59)*Population!$B$12*Population!$M$40+AN59*Population!$B$11*Population!$M$42</f>
        <v>73.771197140773779</v>
      </c>
      <c r="AO60" s="5">
        <f>AN59*Population!M$42*Population!$B$12+AO59*Population!$B$11*Population!M$43</f>
        <v>71.693692269255038</v>
      </c>
      <c r="AP60" s="5">
        <f>AO59*Population!M$43*Population!$B$12+AP59*Population!$B$11*Population!M$44</f>
        <v>55.902810110951215</v>
      </c>
      <c r="AQ60" s="5">
        <f>(AP59*Population!$B$12+AQ59)*Population!M$45</f>
        <v>145.00883405298134</v>
      </c>
    </row>
    <row r="61" spans="1:43">
      <c r="A61">
        <f>A60+Population!$B$2</f>
        <v>58</v>
      </c>
      <c r="B61" s="4">
        <f t="shared" si="5"/>
        <v>988</v>
      </c>
      <c r="C61" s="59">
        <f t="shared" si="20"/>
        <v>383</v>
      </c>
      <c r="D61" s="12">
        <f>AC60*Population!$P$31*Population!$C$2+AE60*Population!$P$33*Population!$C$2+AG60*Population!$P$35*Population!$C$2+AI60*Population!$P$37*Population!$C$2+AK60*Population!$P$39*Population!$C$2+AM59*Population!$P$41*Population!$C$2</f>
        <v>13.309558530714897</v>
      </c>
      <c r="E61" s="12">
        <f>IF(B60&gt;Population!$B$6*Population!$B$15,Population!$B$8,IF(Population!$J$6=1,D61,Population!$B$8*Population!$B$6*0.9/B60))</f>
        <v>11.880918319076509</v>
      </c>
      <c r="F61" s="12">
        <f>IF(B60&gt;Population!$B$6*0.75,Population!$B$8,E61)</f>
        <v>11.880918319076509</v>
      </c>
      <c r="G61" s="15">
        <f>IF(Population!$J$6=1,IF(E61&gt;H60,H60,E61),IF(E61&gt;W60,W60,E61))</f>
        <v>11.880918319076509</v>
      </c>
      <c r="H61" s="15">
        <f t="shared" si="22"/>
        <v>197</v>
      </c>
      <c r="I61" s="15">
        <f t="shared" si="23"/>
        <v>247</v>
      </c>
      <c r="J61" s="12">
        <f t="shared" si="17"/>
        <v>1.2538071065989849</v>
      </c>
      <c r="K61" s="12">
        <f>Z61*Population!$O$28+AA61*Population!$O$29+AB61*Population!$O$30+AC61*Population!$O$31+AD61*Population!$O$32+AE61*Population!$O$33+AF61*Population!$O$34+AG61*Population!$O$35+AH61*Population!$O$36+AI61*Population!$O$37+AJ61*Population!$O$36+AK61*Population!$O$37+AL61*Population!$O$38+AM61*Population!$O$39+AN61*Population!$O$40+AO61*Population!$O$41+AP61*Population!$O$42+AQ61*Population!$O$43</f>
        <v>2.5446610942050665</v>
      </c>
      <c r="L61" s="12">
        <f t="shared" si="8"/>
        <v>6.030923004607365E-2</v>
      </c>
      <c r="M61" s="12">
        <f t="shared" si="24"/>
        <v>5.7315595668236723</v>
      </c>
      <c r="N61" s="12">
        <f t="shared" si="18"/>
        <v>0.25</v>
      </c>
      <c r="O61" s="12">
        <f t="shared" si="21"/>
        <v>393.91259740532297</v>
      </c>
      <c r="P61" s="12">
        <f t="shared" si="10"/>
        <v>173.54370129733852</v>
      </c>
      <c r="Q61" s="12">
        <f t="shared" si="11"/>
        <v>145.00883405298134</v>
      </c>
      <c r="R61" s="12">
        <f t="shared" si="25"/>
        <v>0.1470300049798321</v>
      </c>
      <c r="S61" s="12">
        <f t="shared" si="19"/>
        <v>0.88093249389511941</v>
      </c>
      <c r="T61" s="12">
        <f>Population!$B$13*MIN(X60:Y60)</f>
        <v>5.9292146827217351</v>
      </c>
      <c r="U61" s="12">
        <f>W60*Population!$B$14</f>
        <v>1.0407520088767597</v>
      </c>
      <c r="V61" s="12">
        <f>AM60*S60*Population!$B$12</f>
        <v>4.8034295226330492</v>
      </c>
      <c r="W61" s="12">
        <f t="shared" si="16"/>
        <v>173.54370129733852</v>
      </c>
      <c r="X61" s="14">
        <f t="shared" si="26"/>
        <v>23.716458674471568</v>
      </c>
      <c r="Y61" s="13">
        <f t="shared" si="27"/>
        <v>23.716458674471568</v>
      </c>
      <c r="Z61" s="18">
        <f>(G61+Population!$B$11*Z60)*Population!M$28</f>
        <v>82.929775186994121</v>
      </c>
      <c r="AA61" s="18">
        <f>Z60*Population!$B$12*Population!$M$28+AA60*Population!$B$11*Population!$M$29</f>
        <v>82.775766813403365</v>
      </c>
      <c r="AB61" s="14">
        <f>(AA60*Population!$B$12*0.5*Population!$M$29)+(AB60*Population!$B$11*Population!M$30)</f>
        <v>41.122971811578033</v>
      </c>
      <c r="AC61" s="13">
        <f>(AA60*Population!$B$12*0.5*Population!$M$29)+(AC60*Population!$B$11*Population!M$30)</f>
        <v>41.122971811578033</v>
      </c>
      <c r="AD61" s="14">
        <f>(AB60*Population!$B$12*Population!M$30)+(AD60*Population!$B$11*Population!M$32)</f>
        <v>40.787846924617568</v>
      </c>
      <c r="AE61" s="13">
        <f>(AC60*Population!$B$12*Population!M$30)+(AE60*Population!$B$11*Population!M$32)</f>
        <v>40.787846924617568</v>
      </c>
      <c r="AF61" s="14">
        <f>(AD60*Population!$B$12*Population!M$32)+(AF60*Population!$B$11*Population!M$34)</f>
        <v>40.153145564106758</v>
      </c>
      <c r="AG61" s="13">
        <f>(AE60*Population!$B$12*Population!M$32)+(AG60*Population!$B$11*Population!M$34)</f>
        <v>40.153145564106758</v>
      </c>
      <c r="AH61" s="14">
        <f>(AF60*Population!$B$12*Population!M$34)+(AH60*Population!$B$11*Population!M$36)</f>
        <v>39.421758414572793</v>
      </c>
      <c r="AI61" s="13">
        <f>(AG60*Population!$B$12*Population!M$34)+(AI60*Population!$B$11*Population!M$36)</f>
        <v>39.421758414572793</v>
      </c>
      <c r="AJ61" s="14">
        <f>(AH60*Population!$B$12*Population!M$36)+(AJ60*Population!$B$11*Population!M$38)</f>
        <v>38.712280025752236</v>
      </c>
      <c r="AK61" s="13">
        <f>(AI60*Population!$B$12*Population!M$36)+(AK60*Population!$B$11*Population!M$38)</f>
        <v>38.712280025752236</v>
      </c>
      <c r="AL61" s="14">
        <f>(AJ60*Population!$B$12*Population!M$38)+(AL60*Population!$B$11*Population!M$40)</f>
        <v>38.1851290427607</v>
      </c>
      <c r="AM61" s="13">
        <f>(AK60*Population!$B$12*Population!M$38)+(AM60*Population!$B$11*Population!M$40)</f>
        <v>38.1851290427607</v>
      </c>
      <c r="AN61" s="15">
        <f>(AL60+AM60)*Population!$B$12*Population!$M$40+AN60*Population!$B$11*Population!$M$42</f>
        <v>73.663746347477527</v>
      </c>
      <c r="AO61" s="5">
        <f>AN60*Population!M$42*Population!$B$12+AO60*Population!$B$11*Population!M$43</f>
        <v>71.468547709045836</v>
      </c>
      <c r="AP61" s="5">
        <f>AO60*Population!M$43*Population!$B$12+AP60*Population!$B$11*Population!M$44</f>
        <v>55.663644837882671</v>
      </c>
      <c r="AQ61" s="5">
        <f>(AP60*Population!$B$12+AQ60)*Population!M$45</f>
        <v>145.26564492007412</v>
      </c>
    </row>
    <row r="62" spans="1:43">
      <c r="A62">
        <f>A61+Population!$B$2</f>
        <v>59</v>
      </c>
      <c r="B62" s="4">
        <f t="shared" si="5"/>
        <v>988</v>
      </c>
      <c r="C62" s="59">
        <f t="shared" si="20"/>
        <v>383</v>
      </c>
      <c r="D62" s="12">
        <f>AC61*Population!$P$31*Population!$C$2+AE61*Population!$P$33*Population!$C$2+AG61*Population!$P$35*Population!$C$2+AI61*Population!$P$37*Population!$C$2+AK61*Population!$P$39*Population!$C$2+AM60*Population!$P$41*Population!$C$2</f>
        <v>13.315487420025546</v>
      </c>
      <c r="E62" s="12">
        <f>IF(B61&gt;Population!$B$6*Population!$B$15,Population!$B$8,IF(Population!$J$6=1,D62,Population!$B$8*Population!$B$6*0.9/B61))</f>
        <v>11.880918319076509</v>
      </c>
      <c r="F62" s="12">
        <f>IF(B61&gt;Population!$B$6*0.75,Population!$B$8,E62)</f>
        <v>11.880918319076509</v>
      </c>
      <c r="G62" s="15">
        <f>IF(Population!$J$6=1,IF(E62&gt;H61,H61,E62),IF(E62&gt;W61,W61,E62))</f>
        <v>11.880918319076509</v>
      </c>
      <c r="H62" s="15">
        <f t="shared" si="22"/>
        <v>197</v>
      </c>
      <c r="I62" s="15">
        <f t="shared" si="23"/>
        <v>247</v>
      </c>
      <c r="J62" s="12">
        <f t="shared" si="17"/>
        <v>1.2538071065989849</v>
      </c>
      <c r="K62" s="12">
        <f>Z62*Population!$O$28+AA62*Population!$O$29+AB62*Population!$O$30+AC62*Population!$O$31+AD62*Population!$O$32+AE62*Population!$O$33+AF62*Population!$O$34+AG62*Population!$O$35+AH62*Population!$O$36+AI62*Population!$O$37+AJ62*Population!$O$36+AK62*Population!$O$37+AL62*Population!$O$38+AM62*Population!$O$39+AN62*Population!$O$40+AO62*Population!$O$41+AP62*Population!$O$42+AQ62*Population!$O$43</f>
        <v>2.5442932010504902</v>
      </c>
      <c r="L62" s="12">
        <f t="shared" si="8"/>
        <v>6.030923004607365E-2</v>
      </c>
      <c r="M62" s="12">
        <f t="shared" si="24"/>
        <v>5.7342543324339932</v>
      </c>
      <c r="N62" s="12">
        <f t="shared" si="18"/>
        <v>0.25</v>
      </c>
      <c r="O62" s="12">
        <f t="shared" si="21"/>
        <v>393.74789847146843</v>
      </c>
      <c r="P62" s="12">
        <f t="shared" si="10"/>
        <v>173.62605076426578</v>
      </c>
      <c r="Q62" s="12">
        <f t="shared" si="11"/>
        <v>145.26564492007412</v>
      </c>
      <c r="R62" s="12">
        <f t="shared" si="25"/>
        <v>0.14724396895194575</v>
      </c>
      <c r="S62" s="12">
        <f t="shared" si="19"/>
        <v>0.881350511493735</v>
      </c>
      <c r="T62" s="12">
        <f>Population!$B$13*MIN(X61:Y61)</f>
        <v>5.9291146686178919</v>
      </c>
      <c r="U62" s="12">
        <f>W61*Population!$B$14</f>
        <v>1.041262207784031</v>
      </c>
      <c r="V62" s="12">
        <f>AM61*S61*Population!$B$12</f>
        <v>4.8055029939065905</v>
      </c>
      <c r="W62" s="12">
        <f t="shared" si="16"/>
        <v>173.62605076426578</v>
      </c>
      <c r="X62" s="14">
        <f t="shared" si="26"/>
        <v>23.719378409009238</v>
      </c>
      <c r="Y62" s="13">
        <f t="shared" si="27"/>
        <v>23.719378409009238</v>
      </c>
      <c r="Z62" s="18">
        <f>(G62+Population!$B$11*Z61)*Population!M$28</f>
        <v>82.929899550468861</v>
      </c>
      <c r="AA62" s="18">
        <f>Z61*Population!$B$12*Population!$M$28+AA61*Population!$B$11*Population!$M$29</f>
        <v>82.776994184784328</v>
      </c>
      <c r="AB62" s="14">
        <f>(AA61*Population!$B$12*0.5*Population!$M$29)+(AB61*Population!$B$11*Population!M$30)</f>
        <v>41.125894407083543</v>
      </c>
      <c r="AC62" s="13">
        <f>(AA61*Population!$B$12*0.5*Population!$M$29)+(AC61*Population!$B$11*Population!M$30)</f>
        <v>41.125894407083543</v>
      </c>
      <c r="AD62" s="14">
        <f>(AB61*Population!$B$12*Population!M$30)+(AD61*Population!$B$11*Population!M$32)</f>
        <v>40.796805465490294</v>
      </c>
      <c r="AE62" s="13">
        <f>(AC61*Population!$B$12*Population!M$30)+(AE61*Population!$B$11*Population!M$32)</f>
        <v>40.796805465490294</v>
      </c>
      <c r="AF62" s="14">
        <f>(AD61*Population!$B$12*Population!M$32)+(AF61*Population!$B$11*Population!M$34)</f>
        <v>40.172183607748636</v>
      </c>
      <c r="AG62" s="13">
        <f>(AE61*Population!$B$12*Population!M$32)+(AG61*Population!$B$11*Population!M$34)</f>
        <v>40.172183607748636</v>
      </c>
      <c r="AH62" s="14">
        <f>(AF61*Population!$B$12*Population!M$34)+(AH61*Population!$B$11*Population!M$36)</f>
        <v>39.450351907874932</v>
      </c>
      <c r="AI62" s="13">
        <f>(AG61*Population!$B$12*Population!M$34)+(AI61*Population!$B$11*Population!M$36)</f>
        <v>39.450351907874932</v>
      </c>
      <c r="AJ62" s="14">
        <f>(AH61*Population!$B$12*Population!M$36)+(AJ61*Population!$B$11*Population!M$38)</f>
        <v>38.739111903861939</v>
      </c>
      <c r="AK62" s="13">
        <f>(AI61*Population!$B$12*Population!M$36)+(AK61*Population!$B$11*Population!M$38)</f>
        <v>38.739111903861939</v>
      </c>
      <c r="AL62" s="14">
        <f>(AJ61*Population!$B$12*Population!M$38)+(AL61*Population!$B$11*Population!M$40)</f>
        <v>38.186976288299199</v>
      </c>
      <c r="AM62" s="13">
        <f>(AK61*Population!$B$12*Population!M$38)+(AM61*Population!$B$11*Population!M$40)</f>
        <v>38.186976288299199</v>
      </c>
      <c r="AN62" s="15">
        <f>(AL61+AM61)*Population!$B$12*Population!$M$40+AN61*Population!$B$11*Population!$M$42</f>
        <v>73.571676044106738</v>
      </c>
      <c r="AO62" s="5">
        <f>AN61*Population!M$42*Population!$B$12+AO61*Population!$B$11*Population!M$43</f>
        <v>71.261726945055699</v>
      </c>
      <c r="AP62" s="5">
        <f>AO61*Population!M$43*Population!$B$12+AP61*Population!$B$11*Population!M$44</f>
        <v>55.437072248884611</v>
      </c>
      <c r="AQ62" s="5">
        <f>(AP61*Population!$B$12+AQ61)*Population!M$45</f>
        <v>145.47704132452239</v>
      </c>
    </row>
    <row r="63" spans="1:43">
      <c r="A63">
        <f>A62+Population!$B$2</f>
        <v>60</v>
      </c>
      <c r="B63" s="4">
        <f t="shared" si="5"/>
        <v>988</v>
      </c>
      <c r="C63" s="59">
        <f t="shared" si="20"/>
        <v>383</v>
      </c>
      <c r="D63" s="12">
        <f>AC62*Population!$P$31*Population!$C$2+AE62*Population!$P$33*Population!$C$2+AG62*Population!$P$35*Population!$C$2+AI62*Population!$P$37*Population!$C$2+AK62*Population!$P$39*Population!$C$2+AM61*Population!$P$41*Population!$C$2</f>
        <v>13.32121572667508</v>
      </c>
      <c r="E63" s="12">
        <f>IF(B62&gt;Population!$B$6*Population!$B$15,Population!$B$8,IF(Population!$J$6=1,D63,Population!$B$8*Population!$B$6*0.9/B62))</f>
        <v>11.880918319076509</v>
      </c>
      <c r="F63" s="12">
        <f>IF(B62&gt;Population!$B$6*0.75,Population!$B$8,E63)</f>
        <v>11.880918319076509</v>
      </c>
      <c r="G63" s="15">
        <f>IF(Population!$J$6=1,IF(E63&gt;H62,H62,E63),IF(E63&gt;W62,W62,E63))</f>
        <v>11.880918319076509</v>
      </c>
      <c r="H63" s="15">
        <f t="shared" si="22"/>
        <v>197</v>
      </c>
      <c r="I63" s="15">
        <f t="shared" si="23"/>
        <v>247</v>
      </c>
      <c r="J63" s="12">
        <f t="shared" si="17"/>
        <v>1.2538071065989849</v>
      </c>
      <c r="K63" s="12">
        <f>Z63*Population!$O$28+AA63*Population!$O$29+AB63*Population!$O$30+AC63*Population!$O$31+AD63*Population!$O$32+AE63*Population!$O$33+AF63*Population!$O$34+AG63*Population!$O$35+AH63*Population!$O$36+AI63*Population!$O$37+AJ63*Population!$O$36+AK63*Population!$O$37+AL63*Population!$O$38+AM63*Population!$O$39+AN63*Population!$O$40+AO63*Population!$O$41+AP63*Population!$O$42+AQ63*Population!$O$43</f>
        <v>2.5437807024009196</v>
      </c>
      <c r="L63" s="12">
        <f t="shared" si="8"/>
        <v>6.030923004607365E-2</v>
      </c>
      <c r="M63" s="12">
        <f t="shared" si="24"/>
        <v>5.736770059174888</v>
      </c>
      <c r="N63" s="12">
        <f t="shared" si="18"/>
        <v>0.25</v>
      </c>
      <c r="O63" s="12">
        <f t="shared" si="21"/>
        <v>393.58775361444691</v>
      </c>
      <c r="P63" s="12">
        <f t="shared" si="10"/>
        <v>173.70612319277654</v>
      </c>
      <c r="Q63" s="12">
        <f t="shared" si="11"/>
        <v>145.47704132452239</v>
      </c>
      <c r="R63" s="12">
        <f t="shared" si="25"/>
        <v>0.14741601789134234</v>
      </c>
      <c r="S63" s="12">
        <f t="shared" si="19"/>
        <v>0.88175697052170832</v>
      </c>
      <c r="T63" s="12">
        <f>Population!$B$13*MIN(X62:Y62)</f>
        <v>5.9298446022523095</v>
      </c>
      <c r="U63" s="12">
        <f>W62*Population!$B$14</f>
        <v>1.0417563045855947</v>
      </c>
      <c r="V63" s="12">
        <f>AM62*S62*Population!$B$12</f>
        <v>4.8080158691559465</v>
      </c>
      <c r="W63" s="12">
        <f t="shared" si="16"/>
        <v>173.70612319277654</v>
      </c>
      <c r="X63" s="14">
        <f t="shared" si="26"/>
        <v>23.72457385821204</v>
      </c>
      <c r="Y63" s="13">
        <f t="shared" si="27"/>
        <v>23.72457385821204</v>
      </c>
      <c r="Z63" s="18">
        <f>(G63+Population!$B$11*Z62)*Population!M$28</f>
        <v>82.930006104454435</v>
      </c>
      <c r="AA63" s="18">
        <f>Z62*Population!$B$12*Population!$M$28+AA62*Population!$B$11*Population!$M$29</f>
        <v>82.778063739686843</v>
      </c>
      <c r="AB63" s="14">
        <f>(AA62*Population!$B$12*0.5*Population!$M$29)+(AB62*Population!$B$11*Population!M$30)</f>
        <v>41.128484751261141</v>
      </c>
      <c r="AC63" s="13">
        <f>(AA62*Population!$B$12*0.5*Population!$M$29)+(AC62*Population!$B$11*Population!M$30)</f>
        <v>41.128484751261141</v>
      </c>
      <c r="AD63" s="14">
        <f>(AB62*Population!$B$12*Population!M$30)+(AD62*Population!$B$11*Population!M$32)</f>
        <v>40.804894012714811</v>
      </c>
      <c r="AE63" s="13">
        <f>(AC62*Population!$B$12*Population!M$30)+(AE62*Population!$B$11*Population!M$32)</f>
        <v>40.804894012714811</v>
      </c>
      <c r="AF63" s="14">
        <f>(AD62*Population!$B$12*Population!M$32)+(AF62*Population!$B$11*Population!M$34)</f>
        <v>40.189749171601747</v>
      </c>
      <c r="AG63" s="13">
        <f>(AE62*Population!$B$12*Population!M$32)+(AG62*Population!$B$11*Population!M$34)</f>
        <v>40.189749171601747</v>
      </c>
      <c r="AH63" s="14">
        <f>(AF62*Population!$B$12*Population!M$34)+(AH62*Population!$B$11*Population!M$36)</f>
        <v>39.477528058356093</v>
      </c>
      <c r="AI63" s="13">
        <f>(AG62*Population!$B$12*Population!M$34)+(AI62*Population!$B$11*Population!M$36)</f>
        <v>39.477528058356093</v>
      </c>
      <c r="AJ63" s="14">
        <f>(AH62*Population!$B$12*Population!M$36)+(AJ62*Population!$B$11*Population!M$38)</f>
        <v>38.766143440892996</v>
      </c>
      <c r="AK63" s="13">
        <f>(AI62*Population!$B$12*Population!M$36)+(AK62*Population!$B$11*Population!M$38)</f>
        <v>38.766143440892996</v>
      </c>
      <c r="AL63" s="14">
        <f>(AJ62*Population!$B$12*Population!M$38)+(AL62*Population!$B$11*Population!M$40)</f>
        <v>38.19238236742293</v>
      </c>
      <c r="AM63" s="13">
        <f>(AK62*Population!$B$12*Population!M$38)+(AM62*Population!$B$11*Population!M$40)</f>
        <v>38.19238236742293</v>
      </c>
      <c r="AN63" s="15">
        <f>(AL62+AM62)*Population!$B$12*Population!$M$40+AN62*Population!$B$11*Population!$M$42</f>
        <v>73.493857563481882</v>
      </c>
      <c r="AO63" s="5">
        <f>AN62*Population!M$42*Population!$B$12+AO62*Population!$B$11*Population!M$43</f>
        <v>71.072679705858747</v>
      </c>
      <c r="AP63" s="5">
        <f>AO62*Population!M$43*Population!$B$12+AP62*Population!$B$11*Population!M$44</f>
        <v>55.223346796847117</v>
      </c>
      <c r="AQ63" s="5">
        <f>(AP62*Population!$B$12+AQ62)*Population!M$45</f>
        <v>145.64702567664622</v>
      </c>
    </row>
    <row r="64" spans="1:43">
      <c r="A64">
        <f>A63+Population!$B$2</f>
        <v>61</v>
      </c>
      <c r="B64" s="4">
        <f t="shared" si="5"/>
        <v>988</v>
      </c>
      <c r="C64" s="59">
        <f t="shared" si="20"/>
        <v>383</v>
      </c>
      <c r="D64" s="12">
        <f>AC63*Population!$P$31*Population!$C$2+AE63*Population!$P$33*Population!$C$2+AG63*Population!$P$35*Population!$C$2+AI63*Population!$P$37*Population!$C$2+AK63*Population!$P$39*Population!$C$2+AM62*Population!$P$41*Population!$C$2</f>
        <v>13.326733358516901</v>
      </c>
      <c r="E64" s="12">
        <f>IF(B63&gt;Population!$B$6*Population!$B$15,Population!$B$8,IF(Population!$J$6=1,D64,Population!$B$8*Population!$B$6*0.9/B63))</f>
        <v>11.880918319076509</v>
      </c>
      <c r="F64" s="12">
        <f>IF(B63&gt;Population!$B$6*0.75,Population!$B$8,E64)</f>
        <v>11.880918319076509</v>
      </c>
      <c r="G64" s="15">
        <f>IF(Population!$J$6=1,IF(E64&gt;H63,H63,E64),IF(E64&gt;W63,W63,E64))</f>
        <v>11.880918319076509</v>
      </c>
      <c r="H64" s="15">
        <f t="shared" si="22"/>
        <v>197</v>
      </c>
      <c r="I64" s="15">
        <f t="shared" si="23"/>
        <v>247</v>
      </c>
      <c r="J64" s="12">
        <f t="shared" si="17"/>
        <v>1.2538071065989849</v>
      </c>
      <c r="K64" s="12">
        <f>Z64*Population!$O$28+AA64*Population!$O$29+AB64*Population!$O$30+AC64*Population!$O$31+AD64*Population!$O$32+AE64*Population!$O$33+AF64*Population!$O$34+AG64*Population!$O$35+AH64*Population!$O$36+AI64*Population!$O$37+AJ64*Population!$O$36+AK64*Population!$O$37+AL64*Population!$O$38+AM64*Population!$O$39+AN64*Population!$O$40+AO64*Population!$O$41+AP64*Population!$O$42+AQ64*Population!$O$43</f>
        <v>2.5431467897919795</v>
      </c>
      <c r="L64" s="12">
        <f t="shared" si="8"/>
        <v>6.030923004607365E-2</v>
      </c>
      <c r="M64" s="12">
        <f t="shared" si="24"/>
        <v>5.7391144159563829</v>
      </c>
      <c r="N64" s="12">
        <f t="shared" si="18"/>
        <v>0.25</v>
      </c>
      <c r="O64" s="12">
        <f t="shared" si="21"/>
        <v>393.43176855602724</v>
      </c>
      <c r="P64" s="12">
        <f t="shared" si="10"/>
        <v>173.78411572198638</v>
      </c>
      <c r="Q64" s="12">
        <f t="shared" si="11"/>
        <v>145.64702567664622</v>
      </c>
      <c r="R64" s="12">
        <f t="shared" si="25"/>
        <v>0.14755003309614007</v>
      </c>
      <c r="S64" s="12">
        <f t="shared" si="19"/>
        <v>0.88215287168521006</v>
      </c>
      <c r="T64" s="12">
        <f>Population!$B$13*MIN(X63:Y63)</f>
        <v>5.9311434645530099</v>
      </c>
      <c r="U64" s="12">
        <f>W63*Population!$B$14</f>
        <v>1.0422367391566594</v>
      </c>
      <c r="V64" s="12">
        <f>AM63*S63*Population!$B$12</f>
        <v>4.8109141961865065</v>
      </c>
      <c r="W64" s="12">
        <f t="shared" si="16"/>
        <v>173.78411572198638</v>
      </c>
      <c r="X64" s="14">
        <f t="shared" si="26"/>
        <v>23.731292196319714</v>
      </c>
      <c r="Y64" s="13">
        <f t="shared" si="27"/>
        <v>23.731292196319714</v>
      </c>
      <c r="Z64" s="18">
        <f>(G64+Population!$B$11*Z63)*Population!M$28</f>
        <v>82.930097399361273</v>
      </c>
      <c r="AA64" s="18">
        <f>Z63*Population!$B$12*Population!$M$28+AA63*Population!$B$11*Population!$M$29</f>
        <v>82.778995510578369</v>
      </c>
      <c r="AB64" s="14">
        <f>(AA63*Population!$B$12*0.5*Population!$M$29)+(AB63*Population!$B$11*Population!M$30)</f>
        <v>41.130779309918836</v>
      </c>
      <c r="AC64" s="13">
        <f>(AA63*Population!$B$12*0.5*Population!$M$29)+(AC63*Population!$B$11*Population!M$30)</f>
        <v>41.130779309918836</v>
      </c>
      <c r="AD64" s="14">
        <f>(AB63*Population!$B$12*Population!M$30)+(AD63*Population!$B$11*Population!M$32)</f>
        <v>40.812190142516769</v>
      </c>
      <c r="AE64" s="13">
        <f>(AC63*Population!$B$12*Population!M$30)+(AE63*Population!$B$11*Population!M$32)</f>
        <v>40.812190142516769</v>
      </c>
      <c r="AF64" s="14">
        <f>(AD63*Population!$B$12*Population!M$32)+(AF63*Population!$B$11*Population!M$34)</f>
        <v>40.205930866839189</v>
      </c>
      <c r="AG64" s="13">
        <f>(AE63*Population!$B$12*Population!M$32)+(AG63*Population!$B$11*Population!M$34)</f>
        <v>40.205930866839189</v>
      </c>
      <c r="AH64" s="14">
        <f>(AF63*Population!$B$12*Population!M$34)+(AH63*Population!$B$11*Population!M$36)</f>
        <v>39.50328172572808</v>
      </c>
      <c r="AI64" s="13">
        <f>(AG63*Population!$B$12*Population!M$34)+(AI63*Population!$B$11*Population!M$36)</f>
        <v>39.50328172572808</v>
      </c>
      <c r="AJ64" s="14">
        <f>(AH63*Population!$B$12*Population!M$36)+(AJ63*Population!$B$11*Population!M$38)</f>
        <v>38.79314369677185</v>
      </c>
      <c r="AK64" s="13">
        <f>(AI63*Population!$B$12*Population!M$36)+(AK63*Population!$B$11*Population!M$38)</f>
        <v>38.79314369677185</v>
      </c>
      <c r="AL64" s="14">
        <f>(AJ63*Population!$B$12*Population!M$38)+(AL63*Population!$B$11*Population!M$40)</f>
        <v>38.200861486450194</v>
      </c>
      <c r="AM64" s="13">
        <f>(AK63*Population!$B$12*Population!M$38)+(AM63*Population!$B$11*Population!M$40)</f>
        <v>38.200861486450194</v>
      </c>
      <c r="AN64" s="15">
        <f>(AL63+AM63)*Population!$B$12*Population!$M$40+AN63*Population!$B$11*Population!$M$42</f>
        <v>73.429181223347825</v>
      </c>
      <c r="AO64" s="5">
        <f>AN63*Population!M$42*Population!$B$12+AO63*Population!$B$11*Population!M$43</f>
        <v>70.900777680584895</v>
      </c>
      <c r="AP64" s="5">
        <f>AO63*Population!M$43*Population!$B$12+AP63*Population!$B$11*Population!M$44</f>
        <v>55.022597525430527</v>
      </c>
      <c r="AQ64" s="5">
        <f>(AP63*Population!$B$12+AQ63)*Population!M$45</f>
        <v>145.7794326989864</v>
      </c>
    </row>
    <row r="65" spans="1:43">
      <c r="A65">
        <f>A64+Population!$B$2</f>
        <v>62</v>
      </c>
      <c r="B65" s="4">
        <f t="shared" si="5"/>
        <v>988</v>
      </c>
      <c r="C65" s="59">
        <f t="shared" si="20"/>
        <v>384</v>
      </c>
      <c r="D65" s="12">
        <f>AC64*Population!$P$31*Population!$C$2+AE64*Population!$P$33*Population!$C$2+AG64*Population!$P$35*Population!$C$2+AI64*Population!$P$37*Population!$C$2+AK64*Population!$P$39*Population!$C$2+AM63*Population!$P$41*Population!$C$2</f>
        <v>13.33203304826807</v>
      </c>
      <c r="E65" s="12">
        <f>IF(B64&gt;Population!$B$6*Population!$B$15,Population!$B$8,IF(Population!$J$6=1,D65,Population!$B$8*Population!$B$6*0.9/B64))</f>
        <v>11.880918319076509</v>
      </c>
      <c r="F65" s="12">
        <f>IF(B64&gt;Population!$B$6*0.75,Population!$B$8,E65)</f>
        <v>11.880918319076509</v>
      </c>
      <c r="G65" s="15">
        <f>IF(Population!$J$6=1,IF(E65&gt;H64,H64,E65),IF(E65&gt;W64,W64,E65))</f>
        <v>11.880918319076509</v>
      </c>
      <c r="H65" s="15">
        <f t="shared" si="22"/>
        <v>197</v>
      </c>
      <c r="I65" s="15">
        <f t="shared" si="23"/>
        <v>247</v>
      </c>
      <c r="J65" s="12">
        <f t="shared" si="17"/>
        <v>1.2538071065989849</v>
      </c>
      <c r="K65" s="12">
        <f>Z65*Population!$O$28+AA65*Population!$O$29+AB65*Population!$O$30+AC65*Population!$O$31+AD65*Population!$O$32+AE65*Population!$O$33+AF65*Population!$O$34+AG65*Population!$O$35+AH65*Population!$O$36+AI65*Population!$O$37+AJ65*Population!$O$36+AK65*Population!$O$37+AL65*Population!$O$38+AM65*Population!$O$39+AN65*Population!$O$40+AO65*Population!$O$41+AP65*Population!$O$42+AQ65*Population!$O$43</f>
        <v>2.5424127800882652</v>
      </c>
      <c r="L65" s="12">
        <f t="shared" si="8"/>
        <v>6.030923004607365E-2</v>
      </c>
      <c r="M65" s="12">
        <f t="shared" si="24"/>
        <v>5.7412953432675193</v>
      </c>
      <c r="N65" s="12">
        <f t="shared" si="18"/>
        <v>0.25</v>
      </c>
      <c r="O65" s="12">
        <f t="shared" si="21"/>
        <v>393.27981746399433</v>
      </c>
      <c r="P65" s="12">
        <f t="shared" si="10"/>
        <v>173.86009126800283</v>
      </c>
      <c r="Q65" s="12">
        <f t="shared" si="11"/>
        <v>145.7794326989864</v>
      </c>
      <c r="R65" s="12">
        <f t="shared" si="25"/>
        <v>0.1476497174973512</v>
      </c>
      <c r="S65" s="12">
        <f t="shared" si="19"/>
        <v>0.88253853435534435</v>
      </c>
      <c r="T65" s="12">
        <f>Population!$B$13*MIN(X64:Y64)</f>
        <v>5.9328230490799285</v>
      </c>
      <c r="U65" s="12">
        <f>W64*Population!$B$14</f>
        <v>1.0427046943319183</v>
      </c>
      <c r="V65" s="12">
        <f>AM64*S64*Population!$B$12</f>
        <v>4.8141428087315683</v>
      </c>
      <c r="W65" s="12">
        <f t="shared" si="16"/>
        <v>173.86009126800283</v>
      </c>
      <c r="X65" s="14">
        <f t="shared" si="26"/>
        <v>23.73899043280224</v>
      </c>
      <c r="Y65" s="13">
        <f t="shared" si="27"/>
        <v>23.73899043280224</v>
      </c>
      <c r="Z65" s="18">
        <f>(G65+Population!$B$11*Z64)*Population!M$28</f>
        <v>82.930175620367933</v>
      </c>
      <c r="AA65" s="18">
        <f>Z64*Population!$B$12*Population!$M$28+AA64*Population!$B$11*Population!$M$29</f>
        <v>82.779807028478302</v>
      </c>
      <c r="AB65" s="14">
        <f>(AA64*Population!$B$12*0.5*Population!$M$29)+(AB64*Population!$B$11*Population!M$30)</f>
        <v>41.132810740244736</v>
      </c>
      <c r="AC65" s="13">
        <f>(AA64*Population!$B$12*0.5*Population!$M$29)+(AC64*Population!$B$11*Population!M$30)</f>
        <v>41.132810740244736</v>
      </c>
      <c r="AD65" s="14">
        <f>(AB64*Population!$B$12*Population!M$30)+(AD64*Population!$B$11*Population!M$32)</f>
        <v>40.818765489871744</v>
      </c>
      <c r="AE65" s="13">
        <f>(AC64*Population!$B$12*Population!M$30)+(AE64*Population!$B$11*Population!M$32)</f>
        <v>40.818765489871744</v>
      </c>
      <c r="AF65" s="14">
        <f>(AD64*Population!$B$12*Population!M$32)+(AF64*Population!$B$11*Population!M$34)</f>
        <v>40.220815571822875</v>
      </c>
      <c r="AG65" s="13">
        <f>(AE64*Population!$B$12*Population!M$32)+(AG64*Population!$B$11*Population!M$34)</f>
        <v>40.220815571822875</v>
      </c>
      <c r="AH65" s="14">
        <f>(AF64*Population!$B$12*Population!M$34)+(AH64*Population!$B$11*Population!M$36)</f>
        <v>39.527621146923281</v>
      </c>
      <c r="AI65" s="13">
        <f>(AG64*Population!$B$12*Population!M$34)+(AI64*Population!$B$11*Population!M$36)</f>
        <v>39.527621146923281</v>
      </c>
      <c r="AJ65" s="14">
        <f>(AH64*Population!$B$12*Population!M$36)+(AJ64*Population!$B$11*Population!M$38)</f>
        <v>38.819914370008426</v>
      </c>
      <c r="AK65" s="13">
        <f>(AI64*Population!$B$12*Population!M$36)+(AK64*Population!$B$11*Population!M$38)</f>
        <v>38.819914370008426</v>
      </c>
      <c r="AL65" s="14">
        <f>(AJ64*Population!$B$12*Population!M$38)+(AL64*Population!$B$11*Population!M$40)</f>
        <v>38.211965122178754</v>
      </c>
      <c r="AM65" s="13">
        <f>(AK64*Population!$B$12*Population!M$38)+(AM64*Population!$B$11*Population!M$40)</f>
        <v>38.211965122178754</v>
      </c>
      <c r="AN65" s="15">
        <f>(AL64+AM64)*Population!$B$12*Population!$M$40+AN64*Population!$B$11*Population!$M$42</f>
        <v>73.376564231666251</v>
      </c>
      <c r="AO65" s="5">
        <f>AN64*Population!M$42*Population!$B$12+AO64*Population!$B$11*Population!M$43</f>
        <v>70.745328844840358</v>
      </c>
      <c r="AP65" s="5">
        <f>AO64*Population!M$43*Population!$B$12+AP64*Population!$B$11*Population!M$44</f>
        <v>54.834840347582194</v>
      </c>
      <c r="AQ65" s="5">
        <f>(AP64*Population!$B$12+AQ64)*Population!M$45</f>
        <v>145.877920887383</v>
      </c>
    </row>
    <row r="66" spans="1:43">
      <c r="A66">
        <f>A65+Population!$B$2</f>
        <v>63</v>
      </c>
      <c r="B66" s="4">
        <f t="shared" si="5"/>
        <v>987</v>
      </c>
      <c r="C66" s="59">
        <f t="shared" si="20"/>
        <v>383</v>
      </c>
      <c r="D66" s="12">
        <f>AC65*Population!$P$31*Population!$C$2+AE65*Population!$P$33*Population!$C$2+AG65*Population!$P$35*Population!$C$2+AI65*Population!$P$37*Population!$C$2+AK65*Population!$P$39*Population!$C$2+AM64*Population!$P$41*Population!$C$2</f>
        <v>13.337110023078612</v>
      </c>
      <c r="E66" s="12">
        <f>IF(B65&gt;Population!$B$6*Population!$B$15,Population!$B$8,IF(Population!$J$6=1,D66,Population!$B$8*Population!$B$6*0.9/B65))</f>
        <v>11.880918319076509</v>
      </c>
      <c r="F66" s="12">
        <f>IF(B65&gt;Population!$B$6*0.75,Population!$B$8,E66)</f>
        <v>11.880918319076509</v>
      </c>
      <c r="G66" s="15">
        <f>IF(Population!$J$6=1,IF(E66&gt;H65,H65,E66),IF(E66&gt;W65,W65,E66))</f>
        <v>11.880918319076509</v>
      </c>
      <c r="H66" s="15">
        <f t="shared" si="22"/>
        <v>197</v>
      </c>
      <c r="I66" s="15">
        <f t="shared" si="23"/>
        <v>247</v>
      </c>
      <c r="J66" s="12">
        <f t="shared" ref="J66:J97" si="28">I66/H66</f>
        <v>1.2538071065989849</v>
      </c>
      <c r="K66" s="12">
        <f>Z66*Population!$O$28+AA66*Population!$O$29+AB66*Population!$O$30+AC66*Population!$O$31+AD66*Population!$O$32+AE66*Population!$O$33+AF66*Population!$O$34+AG66*Population!$O$35+AH66*Population!$O$36+AI66*Population!$O$37+AJ66*Population!$O$36+AK66*Population!$O$37+AL66*Population!$O$38+AM66*Population!$O$39+AN66*Population!$O$40+AO66*Population!$O$41+AP66*Population!$O$42+AQ66*Population!$O$43</f>
        <v>2.5415981713433409</v>
      </c>
      <c r="L66" s="12">
        <f t="shared" si="8"/>
        <v>6.030923004607365E-2</v>
      </c>
      <c r="M66" s="12">
        <f t="shared" si="24"/>
        <v>5.7433209356702761</v>
      </c>
      <c r="N66" s="12">
        <f t="shared" ref="N66:N97" si="29">I66/B66</f>
        <v>0.25025329280648428</v>
      </c>
      <c r="O66" s="12">
        <f t="shared" si="21"/>
        <v>392.13193811245645</v>
      </c>
      <c r="P66" s="12">
        <f t="shared" si="10"/>
        <v>173.93403094377177</v>
      </c>
      <c r="Q66" s="12">
        <f t="shared" si="11"/>
        <v>145.877920887383</v>
      </c>
      <c r="R66" s="12">
        <f t="shared" si="25"/>
        <v>0.14786825336261242</v>
      </c>
      <c r="S66" s="12">
        <f t="shared" ref="S66:S97" si="30">W66/H66</f>
        <v>0.88291386265873995</v>
      </c>
      <c r="T66" s="12">
        <f>Population!$B$13*MIN(X65:Y65)</f>
        <v>5.9347476082005599</v>
      </c>
      <c r="U66" s="12">
        <f>W65*Population!$B$14</f>
        <v>1.043160547608017</v>
      </c>
      <c r="V66" s="12">
        <f>AM65*S65*Population!$B$12</f>
        <v>4.8176473848235961</v>
      </c>
      <c r="W66" s="12">
        <f t="shared" si="16"/>
        <v>173.93403094377177</v>
      </c>
      <c r="X66" s="14">
        <f t="shared" si="26"/>
        <v>23.74727698389151</v>
      </c>
      <c r="Y66" s="13">
        <f t="shared" si="27"/>
        <v>23.74727698389151</v>
      </c>
      <c r="Z66" s="18">
        <f>(G66+Population!$B$11*Z65)*Population!M$28</f>
        <v>82.93024263972417</v>
      </c>
      <c r="AA66" s="18">
        <f>Z65*Population!$B$12*Population!$M$28+AA65*Population!$B$11*Population!$M$29</f>
        <v>82.780513628635362</v>
      </c>
      <c r="AB66" s="14">
        <f>(AA65*Population!$B$12*0.5*Population!$M$29)+(AB65*Population!$B$11*Population!M$30)</f>
        <v>41.134608259372015</v>
      </c>
      <c r="AC66" s="13">
        <f>(AA65*Population!$B$12*0.5*Population!$M$29)+(AC65*Population!$B$11*Population!M$30)</f>
        <v>41.134608259372015</v>
      </c>
      <c r="AD66" s="14">
        <f>(AB65*Population!$B$12*Population!M$30)+(AD65*Population!$B$11*Population!M$32)</f>
        <v>40.824686058538383</v>
      </c>
      <c r="AE66" s="13">
        <f>(AC65*Population!$B$12*Population!M$30)+(AE65*Population!$B$11*Population!M$32)</f>
        <v>40.824686058538383</v>
      </c>
      <c r="AF66" s="14">
        <f>(AD65*Population!$B$12*Population!M$32)+(AF65*Population!$B$11*Population!M$34)</f>
        <v>40.234487834558543</v>
      </c>
      <c r="AG66" s="13">
        <f>(AE65*Population!$B$12*Population!M$32)+(AG65*Population!$B$11*Population!M$34)</f>
        <v>40.234487834558543</v>
      </c>
      <c r="AH66" s="14">
        <f>(AF65*Population!$B$12*Population!M$34)+(AH65*Population!$B$11*Population!M$36)</f>
        <v>39.550565755978873</v>
      </c>
      <c r="AI66" s="13">
        <f>(AG65*Population!$B$12*Population!M$34)+(AI65*Population!$B$11*Population!M$36)</f>
        <v>39.550565755978873</v>
      </c>
      <c r="AJ66" s="14">
        <f>(AH65*Population!$B$12*Population!M$36)+(AJ65*Population!$B$11*Population!M$38)</f>
        <v>38.84628698868989</v>
      </c>
      <c r="AK66" s="13">
        <f>(AI65*Population!$B$12*Population!M$36)+(AK65*Population!$B$11*Population!M$38)</f>
        <v>38.84628698868989</v>
      </c>
      <c r="AL66" s="14">
        <f>(AJ65*Population!$B$12*Population!M$38)+(AL65*Population!$B$11*Population!M$40)</f>
        <v>38.22528128989758</v>
      </c>
      <c r="AM66" s="13">
        <f>(AK65*Population!$B$12*Population!M$38)+(AM65*Population!$B$11*Population!M$40)</f>
        <v>38.22528128989758</v>
      </c>
      <c r="AN66" s="15">
        <f>(AL65+AM65)*Population!$B$12*Population!$M$40+AN65*Population!$B$11*Population!$M$42</f>
        <v>73.334957306315488</v>
      </c>
      <c r="AO66" s="5">
        <f>AN65*Population!M$42*Population!$B$12+AO65*Population!$B$11*Population!M$43</f>
        <v>70.605590772182609</v>
      </c>
      <c r="AP66" s="5">
        <f>AO65*Population!M$43*Population!$B$12+AP65*Population!$B$11*Population!M$44</f>
        <v>54.659990070007048</v>
      </c>
      <c r="AQ66" s="5">
        <f>(AP65*Population!$B$12+AQ65)*Population!M$45</f>
        <v>145.94596606889846</v>
      </c>
    </row>
    <row r="67" spans="1:43">
      <c r="A67">
        <f>A66+Population!$B$2</f>
        <v>64</v>
      </c>
      <c r="B67" s="4">
        <f t="shared" si="5"/>
        <v>987</v>
      </c>
      <c r="C67" s="59">
        <f t="shared" ref="C67:C98" si="31">FLOOR(B67-I67-G67-SUM(AN67:AQ67),1)</f>
        <v>383</v>
      </c>
      <c r="D67" s="12">
        <f>AC66*Population!$P$31*Population!$C$2+AE66*Population!$P$33*Population!$C$2+AG66*Population!$P$35*Population!$C$2+AI66*Population!$P$37*Population!$C$2+AK66*Population!$P$39*Population!$C$2+AM65*Population!$P$41*Population!$C$2</f>
        <v>13.341961699446326</v>
      </c>
      <c r="E67" s="12">
        <f>IF(B66&gt;Population!$B$6*Population!$B$15,Population!$B$8,IF(Population!$J$6=1,D67,Population!$B$8*Population!$B$6*0.9/B66))</f>
        <v>11.880918319076509</v>
      </c>
      <c r="F67" s="12">
        <f>IF(B66&gt;Population!$B$6*0.75,Population!$B$8,E67)</f>
        <v>11.880918319076509</v>
      </c>
      <c r="G67" s="15">
        <f>IF(Population!$J$6=1,IF(E67&gt;H66,H66,E67),IF(E67&gt;W66,W66,E67))</f>
        <v>11.880918319076509</v>
      </c>
      <c r="H67" s="15">
        <f t="shared" si="22"/>
        <v>197</v>
      </c>
      <c r="I67" s="15">
        <f t="shared" si="23"/>
        <v>247</v>
      </c>
      <c r="J67" s="12">
        <f t="shared" si="28"/>
        <v>1.2538071065989849</v>
      </c>
      <c r="K67" s="12">
        <f>Z67*Population!$O$28+AA67*Population!$O$29+AB67*Population!$O$30+AC67*Population!$O$31+AD67*Population!$O$32+AE67*Population!$O$33+AF67*Population!$O$34+AG67*Population!$O$35+AH67*Population!$O$36+AI67*Population!$O$37+AJ67*Population!$O$36+AK67*Population!$O$37+AL67*Population!$O$38+AM67*Population!$O$39+AN67*Population!$O$40+AO67*Population!$O$41+AP67*Population!$O$42+AQ67*Population!$O$43</f>
        <v>2.5407207065612147</v>
      </c>
      <c r="L67" s="12">
        <f t="shared" si="8"/>
        <v>6.030923004607365E-2</v>
      </c>
      <c r="M67" s="12">
        <f t="shared" si="24"/>
        <v>5.7451993418404808</v>
      </c>
      <c r="N67" s="12">
        <f t="shared" si="29"/>
        <v>0.25025329280648428</v>
      </c>
      <c r="O67" s="12">
        <f t="shared" ref="O67:O98" si="32">B67-I67-P67*2</f>
        <v>391.98825963608749</v>
      </c>
      <c r="P67" s="12">
        <f t="shared" si="10"/>
        <v>174.00587018195625</v>
      </c>
      <c r="Q67" s="12">
        <f t="shared" si="11"/>
        <v>145.94596606889846</v>
      </c>
      <c r="R67" s="12">
        <f t="shared" si="25"/>
        <v>0.14790968279249592</v>
      </c>
      <c r="S67" s="12">
        <f t="shared" si="30"/>
        <v>0.88327852884241753</v>
      </c>
      <c r="T67" s="12">
        <f>Population!$B$13*MIN(X66:Y66)</f>
        <v>5.9368192459728775</v>
      </c>
      <c r="U67" s="12">
        <f>W66*Population!$B$14</f>
        <v>1.0436041856626306</v>
      </c>
      <c r="V67" s="12">
        <f>AM66*S66*Population!$B$12</f>
        <v>4.8213758221257619</v>
      </c>
      <c r="W67" s="12">
        <f t="shared" si="16"/>
        <v>174.00587018195625</v>
      </c>
      <c r="X67" s="14">
        <f t="shared" si="26"/>
        <v>23.755869709887349</v>
      </c>
      <c r="Y67" s="13">
        <f t="shared" si="27"/>
        <v>23.755869709887349</v>
      </c>
      <c r="Z67" s="18">
        <f>(G67+Population!$B$11*Z66)*Population!M$28</f>
        <v>82.930300061563912</v>
      </c>
      <c r="AA67" s="18">
        <f>Z66*Population!$B$12*Population!$M$28+AA66*Population!$B$11*Population!$M$29</f>
        <v>82.781128719946565</v>
      </c>
      <c r="AB67" s="14">
        <f>(AA66*Population!$B$12*0.5*Population!$M$29)+(AB66*Population!$B$11*Population!M$30)</f>
        <v>41.136197981819926</v>
      </c>
      <c r="AC67" s="13">
        <f>(AA66*Population!$B$12*0.5*Population!$M$29)+(AC66*Population!$B$11*Population!M$30)</f>
        <v>41.136197981819926</v>
      </c>
      <c r="AD67" s="14">
        <f>(AB66*Population!$B$12*Population!M$30)+(AD66*Population!$B$11*Population!M$32)</f>
        <v>40.830012539149777</v>
      </c>
      <c r="AE67" s="13">
        <f>(AC66*Population!$B$12*Population!M$30)+(AE66*Population!$B$11*Population!M$32)</f>
        <v>40.830012539149777</v>
      </c>
      <c r="AF67" s="14">
        <f>(AD66*Population!$B$12*Population!M$32)+(AF66*Population!$B$11*Population!M$34)</f>
        <v>40.247029405745963</v>
      </c>
      <c r="AG67" s="13">
        <f>(AE66*Population!$B$12*Population!M$32)+(AG66*Population!$B$11*Population!M$34)</f>
        <v>40.247029405745963</v>
      </c>
      <c r="AH67" s="14">
        <f>(AF66*Population!$B$12*Population!M$34)+(AH66*Population!$B$11*Population!M$36)</f>
        <v>39.572144233754358</v>
      </c>
      <c r="AI67" s="13">
        <f>(AG66*Population!$B$12*Population!M$34)+(AI66*Population!$B$11*Population!M$36)</f>
        <v>39.572144233754358</v>
      </c>
      <c r="AJ67" s="14">
        <f>(AH66*Population!$B$12*Population!M$36)+(AJ66*Population!$B$11*Population!M$38)</f>
        <v>38.872120196536713</v>
      </c>
      <c r="AK67" s="13">
        <f>(AI66*Population!$B$12*Population!M$36)+(AK66*Population!$B$11*Population!M$38)</f>
        <v>38.872120196536713</v>
      </c>
      <c r="AL67" s="14">
        <f>(AJ66*Population!$B$12*Population!M$38)+(AL66*Population!$B$11*Population!M$40)</f>
        <v>38.240433516656779</v>
      </c>
      <c r="AM67" s="13">
        <f>(AK66*Population!$B$12*Population!M$38)+(AM66*Population!$B$11*Population!M$40)</f>
        <v>38.240433516656779</v>
      </c>
      <c r="AN67" s="15">
        <f>(AL66+AM66)*Population!$B$12*Population!$M$40+AN66*Population!$B$11*Population!$M$42</f>
        <v>73.303350099244312</v>
      </c>
      <c r="AO67" s="5">
        <f>AN66*Population!M$42*Population!$B$12+AO66*Population!$B$11*Population!M$43</f>
        <v>70.480782900050059</v>
      </c>
      <c r="AP67" s="5">
        <f>AO66*Population!M$43*Population!$B$12+AP66*Population!$B$11*Population!M$44</f>
        <v>54.497872067015152</v>
      </c>
      <c r="AQ67" s="5">
        <f>(AP66*Population!$B$12+AQ66)*Population!M$45</f>
        <v>145.98685691619346</v>
      </c>
    </row>
    <row r="68" spans="1:43">
      <c r="A68">
        <f>A67+Population!$B$2</f>
        <v>65</v>
      </c>
      <c r="B68" s="4">
        <f t="shared" ref="B68:B115" si="33">FLOOR(SUM(Z68:AQ68),1)</f>
        <v>987</v>
      </c>
      <c r="C68" s="59">
        <f t="shared" si="31"/>
        <v>384</v>
      </c>
      <c r="D68" s="12">
        <f>AC67*Population!$P$31*Population!$C$2+AE67*Population!$P$33*Population!$C$2+AG67*Population!$P$35*Population!$C$2+AI67*Population!$P$37*Population!$C$2+AK67*Population!$P$39*Population!$C$2+AM66*Population!$P$41*Population!$C$2</f>
        <v>13.346587402609641</v>
      </c>
      <c r="E68" s="12">
        <f>IF(B67&gt;Population!$B$6*Population!$B$15,Population!$B$8,IF(Population!$J$6=1,D68,Population!$B$8*Population!$B$6*0.9/B67))</f>
        <v>11.880918319076509</v>
      </c>
      <c r="F68" s="12">
        <f>IF(B67&gt;Population!$B$6*0.75,Population!$B$8,E68)</f>
        <v>11.880918319076509</v>
      </c>
      <c r="G68" s="15">
        <f>IF(Population!$J$6=1,IF(E68&gt;H67,H67,E68),IF(E68&gt;W67,W67,E68))</f>
        <v>11.880918319076509</v>
      </c>
      <c r="H68" s="15">
        <f t="shared" ref="H68:H103" si="34">FLOOR(AE68+AG68+AI68+AK68+AM68,1)</f>
        <v>197</v>
      </c>
      <c r="I68" s="15">
        <f t="shared" ref="I68:I103" si="35">FLOOR(SUM(Z68:AC68),1)</f>
        <v>247</v>
      </c>
      <c r="J68" s="12">
        <f t="shared" si="28"/>
        <v>1.2538071065989849</v>
      </c>
      <c r="K68" s="12">
        <f>Z68*Population!$O$28+AA68*Population!$O$29+AB68*Population!$O$30+AC68*Population!$O$31+AD68*Population!$O$32+AE68*Population!$O$33+AF68*Population!$O$34+AG68*Population!$O$35+AH68*Population!$O$36+AI68*Population!$O$37+AJ68*Population!$O$36+AK68*Population!$O$37+AL68*Population!$O$38+AM68*Population!$O$39+AN68*Population!$O$40+AO68*Population!$O$41+AP68*Population!$O$42+AQ68*Population!$O$43</f>
        <v>2.5397964440095047</v>
      </c>
      <c r="L68" s="12">
        <f t="shared" ref="L68:L115" si="36">G68/H68</f>
        <v>6.030923004607365E-2</v>
      </c>
      <c r="M68" s="12">
        <f t="shared" ref="M68:M103" si="37">(AD68+AE68+AF68+AG68+AH68+AI68)/21*0.5</f>
        <v>5.7469386803503735</v>
      </c>
      <c r="N68" s="12">
        <f t="shared" si="29"/>
        <v>0.25025329280648428</v>
      </c>
      <c r="O68" s="12">
        <f t="shared" si="32"/>
        <v>391.84895346872418</v>
      </c>
      <c r="P68" s="12">
        <f t="shared" ref="P68:P115" si="38">MAX(W68,I68/2)</f>
        <v>174.07552326563791</v>
      </c>
      <c r="Q68" s="12">
        <f t="shared" ref="Q68:Q103" si="39">SUM(AQ67:AQ67)</f>
        <v>145.98685691619346</v>
      </c>
      <c r="R68" s="12">
        <f t="shared" ref="R68:R99" si="40">SUM(AQ68:AQ68)/B68</f>
        <v>0.14792673989053426</v>
      </c>
      <c r="S68" s="12">
        <f t="shared" si="30"/>
        <v>0.88363209779511631</v>
      </c>
      <c r="T68" s="12">
        <f>Population!$B$13*MIN(X67:Y67)</f>
        <v>5.9389674274718374</v>
      </c>
      <c r="U68" s="12">
        <f>W67*Population!$B$14</f>
        <v>1.0440352210917376</v>
      </c>
      <c r="V68" s="12">
        <f>AM67*S67*Population!$B$12</f>
        <v>4.8252791226984106</v>
      </c>
      <c r="W68" s="12">
        <f t="shared" si="16"/>
        <v>174.07552326563791</v>
      </c>
      <c r="X68" s="14">
        <f t="shared" ref="X68:X99" si="41">(AD68+AF68+AH68+AJ68+AL68)-W68</f>
        <v>23.764565750715633</v>
      </c>
      <c r="Y68" s="13">
        <f t="shared" ref="Y68:Y103" si="42">(AE68+AG68+AI68+AK68+AM68)-W68</f>
        <v>23.764565750715633</v>
      </c>
      <c r="Z68" s="18">
        <f>(G68+Population!$B$11*Z67)*Population!M$28</f>
        <v>82.9303492603009</v>
      </c>
      <c r="AA68" s="18">
        <f>Z67*Population!$B$12*Population!$M$28+AA67*Population!$B$11*Population!$M$29</f>
        <v>82.781664022235205</v>
      </c>
      <c r="AB68" s="14">
        <f>(AA67*Population!$B$12*0.5*Population!$M$29)+(AB67*Population!$B$11*Population!M$30)</f>
        <v>41.13760322769312</v>
      </c>
      <c r="AC68" s="13">
        <f>(AA67*Population!$B$12*0.5*Population!$M$29)+(AC67*Population!$B$11*Population!M$30)</f>
        <v>41.13760322769312</v>
      </c>
      <c r="AD68" s="14">
        <f>(AB67*Population!$B$12*Population!M$30)+(AD67*Population!$B$11*Population!M$32)</f>
        <v>40.834800629763301</v>
      </c>
      <c r="AE68" s="13">
        <f>(AC67*Population!$B$12*Population!M$30)+(AE67*Population!$B$11*Population!M$32)</f>
        <v>40.834800629763301</v>
      </c>
      <c r="AF68" s="14">
        <f>(AD67*Population!$B$12*Population!M$32)+(AF67*Population!$B$11*Population!M$34)</f>
        <v>40.258518884703086</v>
      </c>
      <c r="AG68" s="13">
        <f>(AE67*Population!$B$12*Population!M$32)+(AG67*Population!$B$11*Population!M$34)</f>
        <v>40.258518884703086</v>
      </c>
      <c r="AH68" s="14">
        <f>(AF67*Population!$B$12*Population!M$34)+(AH67*Population!$B$11*Population!M$36)</f>
        <v>39.592392772891458</v>
      </c>
      <c r="AI68" s="13">
        <f>(AG67*Population!$B$12*Population!M$34)+(AI67*Population!$B$11*Population!M$36)</f>
        <v>39.592392772891458</v>
      </c>
      <c r="AJ68" s="14">
        <f>(AH67*Population!$B$12*Population!M$36)+(AJ67*Population!$B$11*Population!M$38)</f>
        <v>38.897297153054538</v>
      </c>
      <c r="AK68" s="13">
        <f>(AI67*Population!$B$12*Population!M$36)+(AK67*Population!$B$11*Population!M$38)</f>
        <v>38.897297153054538</v>
      </c>
      <c r="AL68" s="14">
        <f>(AJ67*Population!$B$12*Population!M$38)+(AL67*Population!$B$11*Population!M$40)</f>
        <v>38.257079575941162</v>
      </c>
      <c r="AM68" s="13">
        <f>(AK67*Population!$B$12*Population!M$38)+(AM67*Population!$B$11*Population!M$40)</f>
        <v>38.257079575941162</v>
      </c>
      <c r="AN68" s="15">
        <f>(AL67+AM67)*Population!$B$12*Population!$M$40+AN67*Population!$B$11*Population!$M$42</f>
        <v>73.280775519251193</v>
      </c>
      <c r="AO68" s="5">
        <f>AN67*Population!M$42*Population!$B$12+AO67*Population!$B$11*Population!M$43</f>
        <v>70.370097736453289</v>
      </c>
      <c r="AP68" s="5">
        <f>AO67*Population!M$43*Population!$B$12+AP67*Population!$B$11*Population!M$44</f>
        <v>54.348233520737431</v>
      </c>
      <c r="AQ68" s="5">
        <f>(AP67*Population!$B$12+AQ67)*Population!M$45</f>
        <v>146.00369227195731</v>
      </c>
    </row>
    <row r="69" spans="1:43">
      <c r="A69">
        <f>A68+Population!$B$2</f>
        <v>66</v>
      </c>
      <c r="B69" s="4">
        <f t="shared" si="33"/>
        <v>987</v>
      </c>
      <c r="C69" s="59">
        <f t="shared" si="31"/>
        <v>384</v>
      </c>
      <c r="D69" s="12">
        <f>AC68*Population!$P$31*Population!$C$2+AE68*Population!$P$33*Population!$C$2+AG68*Population!$P$35*Population!$C$2+AI68*Population!$P$37*Population!$C$2+AK68*Population!$P$39*Population!$C$2+AM67*Population!$P$41*Population!$C$2</f>
        <v>13.350988109441438</v>
      </c>
      <c r="E69" s="12">
        <f>IF(B68&gt;Population!$B$6*Population!$B$15,Population!$B$8,IF(Population!$J$6=1,D69,Population!$B$8*Population!$B$6*0.9/B68))</f>
        <v>11.880918319076509</v>
      </c>
      <c r="F69" s="12">
        <f>IF(B68&gt;Population!$B$6*0.75,Population!$B$8,E69)</f>
        <v>11.880918319076509</v>
      </c>
      <c r="G69" s="15">
        <f>IF(Population!$J$6=1,IF(E69&gt;H68,H68,E69),IF(E69&gt;W68,W68,E69))</f>
        <v>11.880918319076509</v>
      </c>
      <c r="H69" s="15">
        <f t="shared" si="34"/>
        <v>197</v>
      </c>
      <c r="I69" s="15">
        <f t="shared" si="35"/>
        <v>247</v>
      </c>
      <c r="J69" s="12">
        <f t="shared" si="28"/>
        <v>1.2538071065989849</v>
      </c>
      <c r="K69" s="12">
        <f>Z69*Population!$O$28+AA69*Population!$O$29+AB69*Population!$O$30+AC69*Population!$O$31+AD69*Population!$O$32+AE69*Population!$O$33+AF69*Population!$O$34+AG69*Population!$O$35+AH69*Population!$O$36+AI69*Population!$O$37+AJ69*Population!$O$36+AK69*Population!$O$37+AL69*Population!$O$38+AM69*Population!$O$39+AN69*Population!$O$40+AO69*Population!$O$41+AP69*Population!$O$42+AQ69*Population!$O$43</f>
        <v>2.5388398328055839</v>
      </c>
      <c r="L69" s="12">
        <f t="shared" si="36"/>
        <v>6.030923004607365E-2</v>
      </c>
      <c r="M69" s="12">
        <f t="shared" si="37"/>
        <v>5.7485469695025522</v>
      </c>
      <c r="N69" s="12">
        <f t="shared" si="29"/>
        <v>0.25025329280648428</v>
      </c>
      <c r="O69" s="12">
        <f t="shared" si="32"/>
        <v>391.71420072432647</v>
      </c>
      <c r="P69" s="12">
        <f t="shared" si="38"/>
        <v>174.14289963783676</v>
      </c>
      <c r="Q69" s="12">
        <f t="shared" si="39"/>
        <v>146.00369227195731</v>
      </c>
      <c r="R69" s="12">
        <f t="shared" si="40"/>
        <v>0.14792237095555302</v>
      </c>
      <c r="S69" s="12">
        <f t="shared" si="30"/>
        <v>0.88397410983673486</v>
      </c>
      <c r="T69" s="12">
        <f>Population!$B$13*MIN(X68:Y68)</f>
        <v>5.9411414376789082</v>
      </c>
      <c r="U69" s="12">
        <f>W68*Population!$B$14</f>
        <v>1.0444531395938275</v>
      </c>
      <c r="V69" s="12">
        <f>AM68*S68*Population!$B$12</f>
        <v>4.829311925886226</v>
      </c>
      <c r="W69" s="12">
        <f t="shared" si="16"/>
        <v>174.14289963783676</v>
      </c>
      <c r="X69" s="14">
        <f t="shared" si="41"/>
        <v>23.773219818194605</v>
      </c>
      <c r="Y69" s="13">
        <f t="shared" si="42"/>
        <v>23.773219818194605</v>
      </c>
      <c r="Z69" s="18">
        <f>(G69+Population!$B$11*Z68)*Population!M$28</f>
        <v>82.930391413525726</v>
      </c>
      <c r="AA69" s="18">
        <f>Z68*Population!$B$12*Population!$M$28+AA68*Population!$B$11*Population!$M$29</f>
        <v>82.782129775068924</v>
      </c>
      <c r="AB69" s="14">
        <f>(AA68*Population!$B$12*0.5*Population!$M$29)+(AB68*Population!$B$11*Population!M$30)</f>
        <v>41.13884480354541</v>
      </c>
      <c r="AC69" s="13">
        <f>(AA68*Population!$B$12*0.5*Population!$M$29)+(AC68*Population!$B$11*Population!M$30)</f>
        <v>41.13884480354541</v>
      </c>
      <c r="AD69" s="14">
        <f>(AB68*Population!$B$12*Population!M$30)+(AD68*Population!$B$11*Population!M$32)</f>
        <v>40.839101354342283</v>
      </c>
      <c r="AE69" s="13">
        <f>(AC68*Population!$B$12*Population!M$30)+(AE68*Population!$B$11*Population!M$32)</f>
        <v>40.839101354342283</v>
      </c>
      <c r="AF69" s="14">
        <f>(AD68*Population!$B$12*Population!M$32)+(AF68*Population!$B$11*Population!M$34)</f>
        <v>40.269031462204268</v>
      </c>
      <c r="AG69" s="13">
        <f>(AE68*Population!$B$12*Population!M$32)+(AG68*Population!$B$11*Population!M$34)</f>
        <v>40.269031462204268</v>
      </c>
      <c r="AH69" s="14">
        <f>(AF68*Population!$B$12*Population!M$34)+(AH68*Population!$B$11*Population!M$36)</f>
        <v>39.61135354300707</v>
      </c>
      <c r="AI69" s="13">
        <f>(AG68*Population!$B$12*Population!M$34)+(AI68*Population!$B$11*Population!M$36)</f>
        <v>39.61135354300707</v>
      </c>
      <c r="AJ69" s="14">
        <f>(AH68*Population!$B$12*Population!M$36)+(AJ68*Population!$B$11*Population!M$38)</f>
        <v>38.921723061984508</v>
      </c>
      <c r="AK69" s="13">
        <f>(AI68*Population!$B$12*Population!M$36)+(AK68*Population!$B$11*Population!M$38)</f>
        <v>38.921723061984508</v>
      </c>
      <c r="AL69" s="14">
        <f>(AJ68*Population!$B$12*Population!M$38)+(AL68*Population!$B$11*Population!M$40)</f>
        <v>38.274910034493253</v>
      </c>
      <c r="AM69" s="13">
        <f>(AK68*Population!$B$12*Population!M$38)+(AM68*Population!$B$11*Population!M$40)</f>
        <v>38.274910034493253</v>
      </c>
      <c r="AN69" s="15">
        <f>(AL68+AM68)*Population!$B$12*Population!$M$40+AN68*Population!$B$11*Population!$M$42</f>
        <v>73.266313049532926</v>
      </c>
      <c r="AO69" s="5">
        <f>AN68*Population!M$42*Population!$B$12+AO68*Population!$B$11*Population!M$43</f>
        <v>70.272711009131527</v>
      </c>
      <c r="AP69" s="5">
        <f>AO68*Population!M$43*Population!$B$12+AP68*Population!$B$11*Population!M$44</f>
        <v>54.210754158211813</v>
      </c>
      <c r="AQ69" s="5">
        <f>(AP68*Population!$B$12+AQ68)*Population!M$45</f>
        <v>145.99938013313084</v>
      </c>
    </row>
    <row r="70" spans="1:43">
      <c r="A70">
        <f>A69+Population!$B$2</f>
        <v>67</v>
      </c>
      <c r="B70" s="4">
        <f t="shared" si="33"/>
        <v>987</v>
      </c>
      <c r="C70" s="59">
        <f t="shared" si="31"/>
        <v>384</v>
      </c>
      <c r="D70" s="12">
        <f>AC69*Population!$P$31*Population!$C$2+AE69*Population!$P$33*Population!$C$2+AG69*Population!$P$35*Population!$C$2+AI69*Population!$P$37*Population!$C$2+AK69*Population!$P$39*Population!$C$2+AM68*Population!$P$41*Population!$C$2</f>
        <v>13.355166213783109</v>
      </c>
      <c r="E70" s="12">
        <f>IF(B69&gt;Population!$B$6*Population!$B$15,Population!$B$8,IF(Population!$J$6=1,D70,Population!$B$8*Population!$B$6*0.9/B69))</f>
        <v>11.880918319076509</v>
      </c>
      <c r="F70" s="12">
        <f>IF(B69&gt;Population!$B$6*0.75,Population!$B$8,E70)</f>
        <v>11.880918319076509</v>
      </c>
      <c r="G70" s="15">
        <f>IF(Population!$J$6=1,IF(E70&gt;H69,H69,E70),IF(E70&gt;W69,W69,E70))</f>
        <v>11.880918319076509</v>
      </c>
      <c r="H70" s="15">
        <f t="shared" si="34"/>
        <v>197</v>
      </c>
      <c r="I70" s="15">
        <f t="shared" si="35"/>
        <v>247</v>
      </c>
      <c r="J70" s="12">
        <f t="shared" si="28"/>
        <v>1.2538071065989849</v>
      </c>
      <c r="K70" s="12">
        <f>Z70*Population!$O$28+AA70*Population!$O$29+AB70*Population!$O$30+AC70*Population!$O$31+AD70*Population!$O$32+AE70*Population!$O$33+AF70*Population!$O$34+AG70*Population!$O$35+AH70*Population!$O$36+AI70*Population!$O$37+AJ70*Population!$O$36+AK70*Population!$O$37+AL70*Population!$O$38+AM70*Population!$O$39+AN70*Population!$O$40+AO70*Population!$O$41+AP70*Population!$O$42+AQ70*Population!$O$43</f>
        <v>2.5378637925762928</v>
      </c>
      <c r="L70" s="12">
        <f t="shared" si="36"/>
        <v>6.030923004607365E-2</v>
      </c>
      <c r="M70" s="12">
        <f t="shared" si="37"/>
        <v>5.7500320696429492</v>
      </c>
      <c r="N70" s="12">
        <f t="shared" si="29"/>
        <v>0.25025329280648428</v>
      </c>
      <c r="O70" s="12">
        <f t="shared" si="32"/>
        <v>391.58417118997534</v>
      </c>
      <c r="P70" s="12">
        <f t="shared" si="38"/>
        <v>174.20791440501233</v>
      </c>
      <c r="Q70" s="12">
        <f t="shared" si="39"/>
        <v>145.99938013313084</v>
      </c>
      <c r="R70" s="12">
        <f t="shared" si="40"/>
        <v>0.14789932942535453</v>
      </c>
      <c r="S70" s="12">
        <f t="shared" si="30"/>
        <v>0.8843041340355956</v>
      </c>
      <c r="T70" s="12">
        <f>Population!$B$13*MIN(X69:Y69)</f>
        <v>5.9433049545486512</v>
      </c>
      <c r="U70" s="12">
        <f>W69*Population!$B$14</f>
        <v>1.0448573978270206</v>
      </c>
      <c r="V70" s="12">
        <f>AM69*S69*Population!$B$12</f>
        <v>4.8334327895460403</v>
      </c>
      <c r="W70" s="12">
        <f t="shared" si="16"/>
        <v>174.20791440501233</v>
      </c>
      <c r="X70" s="14">
        <f t="shared" si="41"/>
        <v>23.781728552276064</v>
      </c>
      <c r="Y70" s="13">
        <f t="shared" si="42"/>
        <v>23.781728552276064</v>
      </c>
      <c r="Z70" s="18">
        <f>(G70+Population!$B$11*Z69)*Population!M$28</f>
        <v>82.930427530191977</v>
      </c>
      <c r="AA70" s="18">
        <f>Z69*Population!$B$12*Population!$M$28+AA69*Population!$B$11*Population!$M$29</f>
        <v>82.782534921404149</v>
      </c>
      <c r="AB70" s="14">
        <f>(AA69*Population!$B$12*0.5*Population!$M$29)+(AB69*Population!$B$11*Population!M$30)</f>
        <v>41.139941257802938</v>
      </c>
      <c r="AC70" s="13">
        <f>(AA69*Population!$B$12*0.5*Population!$M$29)+(AC69*Population!$B$11*Population!M$30)</f>
        <v>41.139941257802938</v>
      </c>
      <c r="AD70" s="14">
        <f>(AB69*Population!$B$12*Population!M$30)+(AD69*Population!$B$11*Population!M$32)</f>
        <v>40.842961375565324</v>
      </c>
      <c r="AE70" s="13">
        <f>(AC69*Population!$B$12*Population!M$30)+(AE69*Population!$B$11*Population!M$32)</f>
        <v>40.842961375565324</v>
      </c>
      <c r="AF70" s="14">
        <f>(AD69*Population!$B$12*Population!M$32)+(AF69*Population!$B$11*Population!M$34)</f>
        <v>40.278638745933229</v>
      </c>
      <c r="AG70" s="13">
        <f>(AE69*Population!$B$12*Population!M$32)+(AG69*Population!$B$11*Population!M$34)</f>
        <v>40.278638745933229</v>
      </c>
      <c r="AH70" s="14">
        <f>(AF69*Population!$B$12*Population!M$34)+(AH69*Population!$B$11*Population!M$36)</f>
        <v>39.629073341003405</v>
      </c>
      <c r="AI70" s="13">
        <f>(AG69*Population!$B$12*Population!M$34)+(AI69*Population!$B$11*Population!M$36)</f>
        <v>39.629073341003405</v>
      </c>
      <c r="AJ70" s="14">
        <f>(AH69*Population!$B$12*Population!M$36)+(AJ69*Population!$B$11*Population!M$38)</f>
        <v>38.945322838062495</v>
      </c>
      <c r="AK70" s="13">
        <f>(AI69*Population!$B$12*Population!M$36)+(AK69*Population!$B$11*Population!M$38)</f>
        <v>38.945322838062495</v>
      </c>
      <c r="AL70" s="14">
        <f>(AJ69*Population!$B$12*Population!M$38)+(AL69*Population!$B$11*Population!M$40)</f>
        <v>38.293646656723951</v>
      </c>
      <c r="AM70" s="13">
        <f>(AK69*Population!$B$12*Population!M$38)+(AM69*Population!$B$11*Population!M$40)</f>
        <v>38.293646656723951</v>
      </c>
      <c r="AN70" s="15">
        <f>(AL69+AM69)*Population!$B$12*Population!$M$40+AN69*Population!$B$11*Population!$M$42</f>
        <v>73.25909115628528</v>
      </c>
      <c r="AO70" s="5">
        <f>AN69*Population!M$42*Population!$B$12+AO69*Population!$B$11*Population!M$43</f>
        <v>70.187790772259405</v>
      </c>
      <c r="AP70" s="5">
        <f>AO69*Population!M$43*Population!$B$12+AP69*Population!$B$11*Population!M$44</f>
        <v>54.085056429021293</v>
      </c>
      <c r="AQ70" s="5">
        <f>(AP69*Population!$B$12+AQ69)*Population!M$45</f>
        <v>145.97663814282492</v>
      </c>
    </row>
    <row r="71" spans="1:43">
      <c r="A71">
        <f>A70+Population!$B$2</f>
        <v>68</v>
      </c>
      <c r="B71" s="4">
        <f t="shared" si="33"/>
        <v>987</v>
      </c>
      <c r="C71" s="59">
        <f t="shared" si="31"/>
        <v>384</v>
      </c>
      <c r="D71" s="12">
        <f>AC70*Population!$P$31*Population!$C$2+AE70*Population!$P$33*Population!$C$2+AG70*Population!$P$35*Population!$C$2+AI70*Population!$P$37*Population!$C$2+AK70*Population!$P$39*Population!$C$2+AM69*Population!$P$41*Population!$C$2</f>
        <v>13.359125313097925</v>
      </c>
      <c r="E71" s="12">
        <f>IF(B70&gt;Population!$B$6*Population!$B$15,Population!$B$8,IF(Population!$J$6=1,D71,Population!$B$8*Population!$B$6*0.9/B70))</f>
        <v>11.880918319076509</v>
      </c>
      <c r="F71" s="12">
        <f>IF(B70&gt;Population!$B$6*0.75,Population!$B$8,E71)</f>
        <v>11.880918319076509</v>
      </c>
      <c r="G71" s="15">
        <f>IF(Population!$J$6=1,IF(E71&gt;H70,H70,E71),IF(E71&gt;W70,W70,E71))</f>
        <v>11.880918319076509</v>
      </c>
      <c r="H71" s="15">
        <f t="shared" si="34"/>
        <v>198</v>
      </c>
      <c r="I71" s="15">
        <f t="shared" si="35"/>
        <v>247</v>
      </c>
      <c r="J71" s="12">
        <f t="shared" si="28"/>
        <v>1.2474747474747474</v>
      </c>
      <c r="K71" s="12">
        <f>Z71*Population!$O$28+AA71*Population!$O$29+AB71*Population!$O$30+AC71*Population!$O$31+AD71*Population!$O$32+AE71*Population!$O$33+AF71*Population!$O$34+AG71*Population!$O$35+AH71*Population!$O$36+AI71*Population!$O$37+AJ71*Population!$O$36+AK71*Population!$O$37+AL71*Population!$O$38+AM71*Population!$O$39+AN71*Population!$O$40+AO71*Population!$O$41+AP71*Population!$O$42+AQ71*Population!$O$43</f>
        <v>2.5368797960771214</v>
      </c>
      <c r="L71" s="12">
        <f t="shared" si="36"/>
        <v>6.0004637975133883E-2</v>
      </c>
      <c r="M71" s="12">
        <f t="shared" si="37"/>
        <v>5.7514016364988061</v>
      </c>
      <c r="N71" s="12">
        <f t="shared" si="29"/>
        <v>0.25025329280648428</v>
      </c>
      <c r="O71" s="12">
        <f t="shared" si="32"/>
        <v>391.459010471223</v>
      </c>
      <c r="P71" s="12">
        <f t="shared" si="38"/>
        <v>174.2704947643885</v>
      </c>
      <c r="Q71" s="12">
        <f t="shared" si="39"/>
        <v>145.97663814282492</v>
      </c>
      <c r="R71" s="12">
        <f t="shared" si="40"/>
        <v>0.14786017774861382</v>
      </c>
      <c r="S71" s="12">
        <f t="shared" si="30"/>
        <v>0.88015401396155812</v>
      </c>
      <c r="T71" s="12">
        <f>Population!$B$13*MIN(X70:Y70)</f>
        <v>5.945432138069016</v>
      </c>
      <c r="U71" s="12">
        <f>W70*Population!$B$14</f>
        <v>1.045247486430074</v>
      </c>
      <c r="V71" s="12">
        <f>AM70*S70*Population!$B$12</f>
        <v>4.837604292262764</v>
      </c>
      <c r="W71" s="12">
        <f t="shared" si="16"/>
        <v>174.2704947643885</v>
      </c>
      <c r="X71" s="14">
        <f t="shared" si="41"/>
        <v>23.790019227592239</v>
      </c>
      <c r="Y71" s="13">
        <f t="shared" si="42"/>
        <v>23.790019227592239</v>
      </c>
      <c r="Z71" s="18">
        <f>(G71+Population!$B$11*Z70)*Population!M$28</f>
        <v>82.930458474765871</v>
      </c>
      <c r="AA71" s="18">
        <f>Z70*Population!$B$12*Population!$M$28+AA70*Population!$B$11*Population!$M$29</f>
        <v>82.782887268985107</v>
      </c>
      <c r="AB71" s="14">
        <f>(AA70*Population!$B$12*0.5*Population!$M$29)+(AB70*Population!$B$11*Population!M$30)</f>
        <v>41.140909112604135</v>
      </c>
      <c r="AC71" s="13">
        <f>(AA70*Population!$B$12*0.5*Population!$M$29)+(AC70*Population!$B$11*Population!M$30)</f>
        <v>41.140909112604135</v>
      </c>
      <c r="AD71" s="14">
        <f>(AB70*Population!$B$12*Population!M$30)+(AD70*Population!$B$11*Population!M$32)</f>
        <v>40.846423299147254</v>
      </c>
      <c r="AE71" s="13">
        <f>(AC70*Population!$B$12*Population!M$30)+(AE70*Population!$B$11*Population!M$32)</f>
        <v>40.846423299147254</v>
      </c>
      <c r="AF71" s="14">
        <f>(AD70*Population!$B$12*Population!M$32)+(AF70*Population!$B$11*Population!M$34)</f>
        <v>40.287408655802956</v>
      </c>
      <c r="AG71" s="13">
        <f>(AE70*Population!$B$12*Population!M$32)+(AG70*Population!$B$11*Population!M$34)</f>
        <v>40.287408655802956</v>
      </c>
      <c r="AH71" s="14">
        <f>(AF70*Population!$B$12*Population!M$34)+(AH70*Population!$B$11*Population!M$36)</f>
        <v>39.645602411524727</v>
      </c>
      <c r="AI71" s="13">
        <f>(AG70*Population!$B$12*Population!M$34)+(AI70*Population!$B$11*Population!M$36)</f>
        <v>39.645602411524727</v>
      </c>
      <c r="AJ71" s="14">
        <f>(AH70*Population!$B$12*Population!M$36)+(AJ70*Population!$B$11*Population!M$38)</f>
        <v>38.968038918495594</v>
      </c>
      <c r="AK71" s="13">
        <f>(AI70*Population!$B$12*Population!M$36)+(AK70*Population!$B$11*Population!M$38)</f>
        <v>38.968038918495594</v>
      </c>
      <c r="AL71" s="14">
        <f>(AJ70*Population!$B$12*Population!M$38)+(AL70*Population!$B$11*Population!M$40)</f>
        <v>38.313040707010238</v>
      </c>
      <c r="AM71" s="13">
        <f>(AK70*Population!$B$12*Population!M$38)+(AM70*Population!$B$11*Population!M$40)</f>
        <v>38.313040707010238</v>
      </c>
      <c r="AN71" s="15">
        <f>(AL70+AM70)*Population!$B$12*Population!$M$40+AN70*Population!$B$11*Population!$M$42</f>
        <v>73.25828888324277</v>
      </c>
      <c r="AO71" s="5">
        <f>AN70*Population!M$42*Population!$B$12+AO70*Population!$B$11*Population!M$43</f>
        <v>70.114505497195054</v>
      </c>
      <c r="AP71" s="5">
        <f>AO70*Population!M$43*Population!$B$12+AP70*Population!$B$11*Population!M$44</f>
        <v>53.970715079789052</v>
      </c>
      <c r="AQ71" s="5">
        <f>(AP70*Population!$B$12+AQ70)*Population!M$45</f>
        <v>145.93799543788185</v>
      </c>
    </row>
    <row r="72" spans="1:43">
      <c r="A72">
        <f>A71+Population!$B$2</f>
        <v>69</v>
      </c>
      <c r="B72" s="4">
        <f t="shared" si="33"/>
        <v>987</v>
      </c>
      <c r="C72" s="59">
        <f t="shared" si="31"/>
        <v>385</v>
      </c>
      <c r="D72" s="12">
        <f>AC71*Population!$P$31*Population!$C$2+AE71*Population!$P$33*Population!$C$2+AG71*Population!$P$35*Population!$C$2+AI71*Population!$P$37*Population!$C$2+AK71*Population!$P$39*Population!$C$2+AM70*Population!$P$41*Population!$C$2</f>
        <v>13.362870015282411</v>
      </c>
      <c r="E72" s="12">
        <f>IF(B71&gt;Population!$B$6*Population!$B$15,Population!$B$8,IF(Population!$J$6=1,D72,Population!$B$8*Population!$B$6*0.9/B71))</f>
        <v>11.880918319076509</v>
      </c>
      <c r="F72" s="12">
        <f>IF(B71&gt;Population!$B$6*0.75,Population!$B$8,E72)</f>
        <v>11.880918319076509</v>
      </c>
      <c r="G72" s="15">
        <f>IF(Population!$J$6=1,IF(E72&gt;H71,H71,E72),IF(E72&gt;W71,W71,E72))</f>
        <v>11.880918319076509</v>
      </c>
      <c r="H72" s="15">
        <f t="shared" si="34"/>
        <v>198</v>
      </c>
      <c r="I72" s="15">
        <f t="shared" si="35"/>
        <v>247</v>
      </c>
      <c r="J72" s="12">
        <f t="shared" si="28"/>
        <v>1.2474747474747474</v>
      </c>
      <c r="K72" s="12">
        <f>Z72*Population!$O$28+AA72*Population!$O$29+AB72*Population!$O$30+AC72*Population!$O$31+AD72*Population!$O$32+AE72*Population!$O$33+AF72*Population!$O$34+AG72*Population!$O$35+AH72*Population!$O$36+AI72*Population!$O$37+AJ72*Population!$O$36+AK72*Population!$O$37+AL72*Population!$O$38+AM72*Population!$O$39+AN72*Population!$O$40+AO72*Population!$O$41+AP72*Population!$O$42+AQ72*Population!$O$43</f>
        <v>2.5358979537461677</v>
      </c>
      <c r="L72" s="12">
        <f t="shared" si="36"/>
        <v>6.0004637975133883E-2</v>
      </c>
      <c r="M72" s="12">
        <f t="shared" si="37"/>
        <v>5.7526630842046007</v>
      </c>
      <c r="N72" s="12">
        <f t="shared" si="29"/>
        <v>0.25025329280648428</v>
      </c>
      <c r="O72" s="12">
        <f t="shared" si="32"/>
        <v>391.28992581327032</v>
      </c>
      <c r="P72" s="12">
        <f t="shared" si="38"/>
        <v>174.35503709336484</v>
      </c>
      <c r="Q72" s="12">
        <f t="shared" si="39"/>
        <v>145.93799543788185</v>
      </c>
      <c r="R72" s="12">
        <f t="shared" si="40"/>
        <v>0.14780729047799659</v>
      </c>
      <c r="S72" s="12">
        <f t="shared" si="30"/>
        <v>0.88058099542103452</v>
      </c>
      <c r="T72" s="12">
        <f>Population!$B$13*MIN(X71:Y71)</f>
        <v>5.9475048068980598</v>
      </c>
      <c r="U72" s="12">
        <f>W71*Population!$B$14</f>
        <v>1.045622968586331</v>
      </c>
      <c r="V72" s="12">
        <f>AM71*S71*Population!$B$12</f>
        <v>4.8173395093353761</v>
      </c>
      <c r="W72" s="12">
        <f t="shared" si="16"/>
        <v>174.35503709336484</v>
      </c>
      <c r="X72" s="14">
        <f t="shared" si="41"/>
        <v>23.773588082705487</v>
      </c>
      <c r="Y72" s="13">
        <f t="shared" si="42"/>
        <v>23.773588082705487</v>
      </c>
      <c r="Z72" s="18">
        <f>(G72+Population!$B$11*Z71)*Population!M$28</f>
        <v>82.930484987917637</v>
      </c>
      <c r="AA72" s="18">
        <f>Z71*Population!$B$12*Population!$M$28+AA71*Population!$B$11*Population!$M$29</f>
        <v>82.783193632103234</v>
      </c>
      <c r="AB72" s="14">
        <f>(AA71*Population!$B$12*0.5*Population!$M$29)+(AB71*Population!$B$11*Population!M$30)</f>
        <v>41.141763073856254</v>
      </c>
      <c r="AC72" s="13">
        <f>(AA71*Population!$B$12*0.5*Population!$M$29)+(AC71*Population!$B$11*Population!M$30)</f>
        <v>41.141763073856254</v>
      </c>
      <c r="AD72" s="14">
        <f>(AB71*Population!$B$12*Population!M$30)+(AD71*Population!$B$11*Population!M$32)</f>
        <v>40.849525967525551</v>
      </c>
      <c r="AE72" s="13">
        <f>(AC71*Population!$B$12*Population!M$30)+(AE71*Population!$B$11*Population!M$32)</f>
        <v>40.849525967525551</v>
      </c>
      <c r="AF72" s="14">
        <f>(AD71*Population!$B$12*Population!M$32)+(AF71*Population!$B$11*Population!M$34)</f>
        <v>40.295405377835152</v>
      </c>
      <c r="AG72" s="13">
        <f>(AE71*Population!$B$12*Population!M$32)+(AG71*Population!$B$11*Population!M$34)</f>
        <v>40.295405377835152</v>
      </c>
      <c r="AH72" s="14">
        <f>(AF71*Population!$B$12*Population!M$34)+(AH71*Population!$B$11*Population!M$36)</f>
        <v>39.660993422935917</v>
      </c>
      <c r="AI72" s="13">
        <f>(AG71*Population!$B$12*Population!M$34)+(AI71*Population!$B$11*Population!M$36)</f>
        <v>39.660993422935917</v>
      </c>
      <c r="AJ72" s="14">
        <f>(AH71*Population!$B$12*Population!M$36)+(AJ71*Population!$B$11*Population!M$38)</f>
        <v>38.989829222503872</v>
      </c>
      <c r="AK72" s="13">
        <f>(AI71*Population!$B$12*Population!M$36)+(AK71*Population!$B$11*Population!M$38)</f>
        <v>38.989829222503872</v>
      </c>
      <c r="AL72" s="14">
        <f>(AJ71*Population!$B$12*Population!M$38)+(AL71*Population!$B$11*Population!M$40)</f>
        <v>38.332871185269823</v>
      </c>
      <c r="AM72" s="13">
        <f>(AK71*Population!$B$12*Population!M$38)+(AM71*Population!$B$11*Population!M$40)</f>
        <v>38.332871185269823</v>
      </c>
      <c r="AN72" s="15">
        <f>(AL71+AM71)*Population!$B$12*Population!$M$40+AN71*Population!$B$11*Population!$M$42</f>
        <v>73.2631367243916</v>
      </c>
      <c r="AO72" s="5">
        <f>AN71*Population!M$42*Population!$B$12+AO71*Population!$B$11*Population!M$43</f>
        <v>70.052031183268809</v>
      </c>
      <c r="AP72" s="5">
        <f>AO71*Population!M$43*Population!$B$12+AP71*Population!$B$11*Population!M$44</f>
        <v>53.867266093727011</v>
      </c>
      <c r="AQ72" s="5">
        <f>(AP71*Population!$B$12+AQ71)*Population!M$45</f>
        <v>145.88579570178263</v>
      </c>
    </row>
    <row r="73" spans="1:43">
      <c r="A73">
        <f>A72+Population!$B$2</f>
        <v>70</v>
      </c>
      <c r="B73" s="4">
        <f t="shared" si="33"/>
        <v>987</v>
      </c>
      <c r="C73" s="59">
        <f t="shared" si="31"/>
        <v>385</v>
      </c>
      <c r="D73" s="12">
        <f>AC72*Population!$P$31*Population!$C$2+AE72*Population!$P$33*Population!$C$2+AG72*Population!$P$35*Population!$C$2+AI72*Population!$P$37*Population!$C$2+AK72*Population!$P$39*Population!$C$2+AM71*Population!$P$41*Population!$C$2</f>
        <v>13.366405764452287</v>
      </c>
      <c r="E73" s="12">
        <f>IF(B72&gt;Population!$B$6*Population!$B$15,Population!$B$8,IF(Population!$J$6=1,D73,Population!$B$8*Population!$B$6*0.9/B72))</f>
        <v>11.880918319076509</v>
      </c>
      <c r="F73" s="12">
        <f>IF(B72&gt;Population!$B$6*0.75,Population!$B$8,E73)</f>
        <v>11.880918319076509</v>
      </c>
      <c r="G73" s="15">
        <f>IF(Population!$J$6=1,IF(E73&gt;H72,H72,E73),IF(E73&gt;W72,W72,E73))</f>
        <v>11.880918319076509</v>
      </c>
      <c r="H73" s="15">
        <f t="shared" si="34"/>
        <v>198</v>
      </c>
      <c r="I73" s="15">
        <f t="shared" si="35"/>
        <v>247</v>
      </c>
      <c r="J73" s="12">
        <f t="shared" si="28"/>
        <v>1.2474747474747474</v>
      </c>
      <c r="K73" s="12">
        <f>Z73*Population!$O$28+AA73*Population!$O$29+AB73*Population!$O$30+AC73*Population!$O$31+AD73*Population!$O$32+AE73*Population!$O$33+AF73*Population!$O$34+AG73*Population!$O$35+AH73*Population!$O$36+AI73*Population!$O$37+AJ73*Population!$O$36+AK73*Population!$O$37+AL73*Population!$O$38+AM73*Population!$O$39+AN73*Population!$O$40+AO73*Population!$O$41+AP73*Population!$O$42+AQ73*Population!$O$43</f>
        <v>2.5349270992598791</v>
      </c>
      <c r="L73" s="12">
        <f t="shared" si="36"/>
        <v>6.0004637975133883E-2</v>
      </c>
      <c r="M73" s="12">
        <f t="shared" si="37"/>
        <v>5.7538235567928409</v>
      </c>
      <c r="N73" s="12">
        <f t="shared" si="29"/>
        <v>0.25025329280648428</v>
      </c>
      <c r="O73" s="12">
        <f t="shared" si="32"/>
        <v>391.13973446437257</v>
      </c>
      <c r="P73" s="12">
        <f t="shared" si="38"/>
        <v>174.43013276781372</v>
      </c>
      <c r="Q73" s="12">
        <f t="shared" si="39"/>
        <v>145.88579570178263</v>
      </c>
      <c r="R73" s="12">
        <f t="shared" si="40"/>
        <v>0.14774285843554377</v>
      </c>
      <c r="S73" s="12">
        <f t="shared" si="30"/>
        <v>0.88096026650410963</v>
      </c>
      <c r="T73" s="12">
        <f>Population!$B$13*MIN(X72:Y72)</f>
        <v>5.9433970206763718</v>
      </c>
      <c r="U73" s="12">
        <f>W72*Population!$B$14</f>
        <v>1.0461302225601892</v>
      </c>
      <c r="V73" s="12">
        <f>AM72*S72*Population!$B$12</f>
        <v>4.8221711236673128</v>
      </c>
      <c r="W73" s="12">
        <f t="shared" si="16"/>
        <v>174.43013276781372</v>
      </c>
      <c r="X73" s="14">
        <f t="shared" si="41"/>
        <v>23.763770211108096</v>
      </c>
      <c r="Y73" s="13">
        <f t="shared" si="42"/>
        <v>23.763770211108096</v>
      </c>
      <c r="Z73" s="18">
        <f>(G73+Population!$B$11*Z72)*Population!M$28</f>
        <v>82.930507704249735</v>
      </c>
      <c r="AA73" s="18">
        <f>Z72*Population!$B$12*Population!$M$28+AA72*Population!$B$11*Population!$M$29</f>
        <v>82.783459956032658</v>
      </c>
      <c r="AB73" s="14">
        <f>(AA72*Population!$B$12*0.5*Population!$M$29)+(AB72*Population!$B$11*Population!M$30)</f>
        <v>41.142516221235603</v>
      </c>
      <c r="AC73" s="13">
        <f>(AA72*Population!$B$12*0.5*Population!$M$29)+(AC72*Population!$B$11*Population!M$30)</f>
        <v>41.142516221235603</v>
      </c>
      <c r="AD73" s="14">
        <f>(AB72*Population!$B$12*Population!M$30)+(AD72*Population!$B$11*Population!M$32)</f>
        <v>40.852304741331125</v>
      </c>
      <c r="AE73" s="13">
        <f>(AC72*Population!$B$12*Population!M$30)+(AE72*Population!$B$11*Population!M$32)</f>
        <v>40.852304741331125</v>
      </c>
      <c r="AF73" s="14">
        <f>(AD72*Population!$B$12*Population!M$32)+(AF72*Population!$B$11*Population!M$34)</f>
        <v>40.302689366619532</v>
      </c>
      <c r="AG73" s="13">
        <f>(AE72*Population!$B$12*Population!M$32)+(AG72*Population!$B$11*Population!M$34)</f>
        <v>40.302689366619532</v>
      </c>
      <c r="AH73" s="14">
        <f>(AF72*Population!$B$12*Population!M$34)+(AH72*Population!$B$11*Population!M$36)</f>
        <v>39.675300584699002</v>
      </c>
      <c r="AI73" s="13">
        <f>(AG72*Population!$B$12*Population!M$34)+(AI72*Population!$B$11*Population!M$36)</f>
        <v>39.675300584699002</v>
      </c>
      <c r="AJ73" s="14">
        <f>(AH72*Population!$B$12*Population!M$36)+(AJ72*Population!$B$11*Population!M$38)</f>
        <v>39.010665259706265</v>
      </c>
      <c r="AK73" s="13">
        <f>(AI72*Population!$B$12*Population!M$36)+(AK72*Population!$B$11*Population!M$38)</f>
        <v>39.010665259706265</v>
      </c>
      <c r="AL73" s="14">
        <f>(AJ72*Population!$B$12*Population!M$38)+(AL72*Population!$B$11*Population!M$40)</f>
        <v>38.352943026565896</v>
      </c>
      <c r="AM73" s="13">
        <f>(AK72*Population!$B$12*Population!M$38)+(AM72*Population!$B$11*Population!M$40)</f>
        <v>38.352943026565896</v>
      </c>
      <c r="AN73" s="15">
        <f>(AL72+AM72)*Population!$B$12*Population!$M$40+AN72*Population!$B$11*Population!$M$42</f>
        <v>73.272916863432414</v>
      </c>
      <c r="AO73" s="5">
        <f>AN72*Population!M$42*Population!$B$12+AO72*Population!$B$11*Population!M$43</f>
        <v>69.999557532325781</v>
      </c>
      <c r="AP73" s="5">
        <f>AO72*Population!M$43*Population!$B$12+AP72*Population!$B$11*Population!M$44</f>
        <v>53.774214974460236</v>
      </c>
      <c r="AQ73" s="5">
        <f>(AP72*Population!$B$12+AQ72)*Population!M$45</f>
        <v>145.8222012758817</v>
      </c>
    </row>
    <row r="74" spans="1:43">
      <c r="A74">
        <f>A73+Population!$B$2</f>
        <v>71</v>
      </c>
      <c r="B74" s="4">
        <f t="shared" si="33"/>
        <v>987</v>
      </c>
      <c r="C74" s="59">
        <f t="shared" si="31"/>
        <v>384</v>
      </c>
      <c r="D74" s="12">
        <f>AC73*Population!$P$31*Population!$C$2+AE73*Population!$P$33*Population!$C$2+AG73*Population!$P$35*Population!$C$2+AI73*Population!$P$37*Population!$C$2+AK73*Population!$P$39*Population!$C$2+AM72*Population!$P$41*Population!$C$2</f>
        <v>13.369738684512303</v>
      </c>
      <c r="E74" s="12">
        <f>IF(B73&gt;Population!$B$6*Population!$B$15,Population!$B$8,IF(Population!$J$6=1,D74,Population!$B$8*Population!$B$6*0.9/B73))</f>
        <v>11.880918319076509</v>
      </c>
      <c r="F74" s="12">
        <f>IF(B73&gt;Population!$B$6*0.75,Population!$B$8,E74)</f>
        <v>11.880918319076509</v>
      </c>
      <c r="G74" s="15">
        <f>IF(Population!$J$6=1,IF(E74&gt;H73,H73,E74),IF(E74&gt;W73,W73,E74))</f>
        <v>11.880918319076509</v>
      </c>
      <c r="H74" s="15">
        <f t="shared" si="34"/>
        <v>198</v>
      </c>
      <c r="I74" s="15">
        <f t="shared" si="35"/>
        <v>248</v>
      </c>
      <c r="J74" s="12">
        <f t="shared" si="28"/>
        <v>1.2525252525252526</v>
      </c>
      <c r="K74" s="12">
        <f>Z74*Population!$O$28+AA74*Population!$O$29+AB74*Population!$O$30+AC74*Population!$O$31+AD74*Population!$O$32+AE74*Population!$O$33+AF74*Population!$O$34+AG74*Population!$O$35+AH74*Population!$O$36+AI74*Population!$O$37+AJ74*Population!$O$36+AK74*Population!$O$37+AL74*Population!$O$38+AM74*Population!$O$39+AN74*Population!$O$40+AO74*Population!$O$41+AP74*Population!$O$42+AQ74*Population!$O$43</f>
        <v>2.5339748752499798</v>
      </c>
      <c r="L74" s="12">
        <f t="shared" si="36"/>
        <v>6.0004637975133883E-2</v>
      </c>
      <c r="M74" s="12">
        <f t="shared" si="37"/>
        <v>5.7548899070365511</v>
      </c>
      <c r="N74" s="12">
        <f t="shared" si="29"/>
        <v>0.25126646403242148</v>
      </c>
      <c r="O74" s="12">
        <f t="shared" si="32"/>
        <v>390.00455921200387</v>
      </c>
      <c r="P74" s="12">
        <f t="shared" si="38"/>
        <v>174.49772039399807</v>
      </c>
      <c r="Q74" s="12">
        <f t="shared" si="39"/>
        <v>145.8222012758817</v>
      </c>
      <c r="R74" s="12">
        <f t="shared" si="40"/>
        <v>0.14766889380603843</v>
      </c>
      <c r="S74" s="12">
        <f t="shared" si="30"/>
        <v>0.88130161815150543</v>
      </c>
      <c r="T74" s="12">
        <f>Population!$B$13*MIN(X73:Y73)</f>
        <v>5.9409425527770239</v>
      </c>
      <c r="U74" s="12">
        <f>W73*Population!$B$14</f>
        <v>1.0465807966068823</v>
      </c>
      <c r="V74" s="12">
        <f>AM73*S73*Population!$B$12</f>
        <v>4.8267741299857745</v>
      </c>
      <c r="W74" s="12">
        <f t="shared" si="16"/>
        <v>174.49772039399807</v>
      </c>
      <c r="X74" s="14">
        <f t="shared" si="41"/>
        <v>23.758583330935068</v>
      </c>
      <c r="Y74" s="13">
        <f t="shared" si="42"/>
        <v>23.758583330935068</v>
      </c>
      <c r="Z74" s="18">
        <f>(G74+Population!$B$11*Z73)*Population!M$28</f>
        <v>82.930527167486247</v>
      </c>
      <c r="AA74" s="18">
        <f>Z73*Population!$B$12*Population!$M$28+AA73*Population!$B$11*Population!$M$29</f>
        <v>82.783691426196739</v>
      </c>
      <c r="AB74" s="14">
        <f>(AA73*Population!$B$12*0.5*Population!$M$29)+(AB73*Population!$B$11*Population!M$30)</f>
        <v>41.143180179775982</v>
      </c>
      <c r="AC74" s="13">
        <f>(AA73*Population!$B$12*0.5*Population!$M$29)+(AC73*Population!$B$11*Population!M$30)</f>
        <v>41.143180179775982</v>
      </c>
      <c r="AD74" s="14">
        <f>(AB73*Population!$B$12*Population!M$30)+(AD73*Population!$B$11*Population!M$32)</f>
        <v>40.854791767536085</v>
      </c>
      <c r="AE74" s="13">
        <f>(AC73*Population!$B$12*Population!M$30)+(AE73*Population!$B$11*Population!M$32)</f>
        <v>40.854791767536085</v>
      </c>
      <c r="AF74" s="14">
        <f>(AD73*Population!$B$12*Population!M$32)+(AF73*Population!$B$11*Population!M$34)</f>
        <v>40.309317387589488</v>
      </c>
      <c r="AG74" s="13">
        <f>(AE73*Population!$B$12*Population!M$32)+(AG73*Population!$B$11*Population!M$34)</f>
        <v>40.309317387589488</v>
      </c>
      <c r="AH74" s="14">
        <f>(AF73*Population!$B$12*Population!M$34)+(AH73*Population!$B$11*Population!M$36)</f>
        <v>39.688578892641985</v>
      </c>
      <c r="AI74" s="13">
        <f>(AG73*Population!$B$12*Population!M$34)+(AI73*Population!$B$11*Population!M$36)</f>
        <v>39.688578892641985</v>
      </c>
      <c r="AJ74" s="14">
        <f>(AH73*Population!$B$12*Population!M$36)+(AJ73*Population!$B$11*Population!M$38)</f>
        <v>39.030530386003164</v>
      </c>
      <c r="AK74" s="13">
        <f>(AI73*Population!$B$12*Population!M$36)+(AK73*Population!$B$11*Population!M$38)</f>
        <v>39.030530386003164</v>
      </c>
      <c r="AL74" s="14">
        <f>(AJ73*Population!$B$12*Population!M$38)+(AL73*Population!$B$11*Population!M$40)</f>
        <v>38.373085291162425</v>
      </c>
      <c r="AM74" s="13">
        <f>(AK73*Population!$B$12*Population!M$38)+(AM73*Population!$B$11*Population!M$40)</f>
        <v>38.373085291162425</v>
      </c>
      <c r="AN74" s="15">
        <f>(AL73+AM73)*Population!$B$12*Population!$M$40+AN73*Population!$B$11*Population!$M$42</f>
        <v>73.286962864134992</v>
      </c>
      <c r="AO74" s="5">
        <f>AN73*Population!M$42*Population!$B$12+AO73*Population!$B$11*Population!M$43</f>
        <v>69.95629323678159</v>
      </c>
      <c r="AP74" s="5">
        <f>AO73*Population!M$43*Population!$B$12+AP73*Population!$B$11*Population!M$44</f>
        <v>53.69104436341707</v>
      </c>
      <c r="AQ74" s="5">
        <f>(AP73*Population!$B$12+AQ73)*Population!M$45</f>
        <v>145.74919818655994</v>
      </c>
    </row>
    <row r="75" spans="1:43">
      <c r="A75">
        <f>A74+Population!$B$2</f>
        <v>72</v>
      </c>
      <c r="B75" s="4">
        <f t="shared" si="33"/>
        <v>987</v>
      </c>
      <c r="C75" s="59">
        <f t="shared" si="31"/>
        <v>384</v>
      </c>
      <c r="D75" s="12">
        <f>AC74*Population!$P$31*Population!$C$2+AE74*Population!$P$33*Population!$C$2+AG74*Population!$P$35*Population!$C$2+AI74*Population!$P$37*Population!$C$2+AK74*Population!$P$39*Population!$C$2+AM73*Population!$P$41*Population!$C$2</f>
        <v>13.372875439325361</v>
      </c>
      <c r="E75" s="12">
        <f>IF(B74&gt;Population!$B$6*Population!$B$15,Population!$B$8,IF(Population!$J$6=1,D75,Population!$B$8*Population!$B$6*0.9/B74))</f>
        <v>11.880918319076509</v>
      </c>
      <c r="F75" s="12">
        <f>IF(B74&gt;Population!$B$6*0.75,Population!$B$8,E75)</f>
        <v>11.880918319076509</v>
      </c>
      <c r="G75" s="15">
        <f>IF(Population!$J$6=1,IF(E75&gt;H74,H74,E75),IF(E75&gt;W74,W74,E75))</f>
        <v>11.880918319076509</v>
      </c>
      <c r="H75" s="15">
        <f t="shared" si="34"/>
        <v>198</v>
      </c>
      <c r="I75" s="15">
        <f t="shared" si="35"/>
        <v>248</v>
      </c>
      <c r="J75" s="12">
        <f t="shared" si="28"/>
        <v>1.2525252525252526</v>
      </c>
      <c r="K75" s="12">
        <f>Z75*Population!$O$28+AA75*Population!$O$29+AB75*Population!$O$30+AC75*Population!$O$31+AD75*Population!$O$32+AE75*Population!$O$33+AF75*Population!$O$34+AG75*Population!$O$35+AH75*Population!$O$36+AI75*Population!$O$37+AJ75*Population!$O$36+AK75*Population!$O$37+AL75*Population!$O$38+AM75*Population!$O$39+AN75*Population!$O$40+AO75*Population!$O$41+AP75*Population!$O$42+AQ75*Population!$O$43</f>
        <v>2.5330478184326832</v>
      </c>
      <c r="L75" s="12">
        <f t="shared" si="36"/>
        <v>6.0004637975133883E-2</v>
      </c>
      <c r="M75" s="12">
        <f t="shared" si="37"/>
        <v>5.7558686816352509</v>
      </c>
      <c r="N75" s="12">
        <f t="shared" si="29"/>
        <v>0.25126646403242148</v>
      </c>
      <c r="O75" s="12">
        <f t="shared" si="32"/>
        <v>389.8816008085692</v>
      </c>
      <c r="P75" s="12">
        <f t="shared" si="38"/>
        <v>174.5591995957154</v>
      </c>
      <c r="Q75" s="12">
        <f t="shared" si="39"/>
        <v>145.74919818655994</v>
      </c>
      <c r="R75" s="12">
        <f t="shared" si="40"/>
        <v>0.14758723601988735</v>
      </c>
      <c r="S75" s="12">
        <f t="shared" si="30"/>
        <v>0.88161211917027982</v>
      </c>
      <c r="T75" s="12">
        <f>Population!$B$13*MIN(X74:Y74)</f>
        <v>5.9396458327337669</v>
      </c>
      <c r="U75" s="12">
        <f>W74*Population!$B$14</f>
        <v>1.0469863223639884</v>
      </c>
      <c r="V75" s="12">
        <f>AM74*S74*Population!$B$12</f>
        <v>4.8311803086524536</v>
      </c>
      <c r="W75" s="12">
        <f t="shared" si="16"/>
        <v>174.5591995957154</v>
      </c>
      <c r="X75" s="14">
        <f t="shared" si="41"/>
        <v>23.756610289942415</v>
      </c>
      <c r="Y75" s="13">
        <f t="shared" si="42"/>
        <v>23.756610289942415</v>
      </c>
      <c r="Z75" s="18">
        <f>(G75+Population!$B$11*Z74)*Population!M$28</f>
        <v>82.930543843487186</v>
      </c>
      <c r="AA75" s="18">
        <f>Z74*Population!$B$12*Population!$M$28+AA74*Population!$B$11*Population!$M$29</f>
        <v>82.783892563887349</v>
      </c>
      <c r="AB75" s="14">
        <f>(AA74*Population!$B$12*0.5*Population!$M$29)+(AB74*Population!$B$11*Population!M$30)</f>
        <v>41.143765274600128</v>
      </c>
      <c r="AC75" s="13">
        <f>(AA74*Population!$B$12*0.5*Population!$M$29)+(AC74*Population!$B$11*Population!M$30)</f>
        <v>41.143765274600128</v>
      </c>
      <c r="AD75" s="14">
        <f>(AB74*Population!$B$12*Population!M$30)+(AD74*Population!$B$11*Population!M$32)</f>
        <v>40.85701623356492</v>
      </c>
      <c r="AE75" s="13">
        <f>(AC74*Population!$B$12*Population!M$30)+(AE74*Population!$B$11*Population!M$32)</f>
        <v>40.85701623356492</v>
      </c>
      <c r="AF75" s="14">
        <f>(AD74*Population!$B$12*Population!M$32)+(AF74*Population!$B$11*Population!M$34)</f>
        <v>40.315342591459071</v>
      </c>
      <c r="AG75" s="13">
        <f>(AE74*Population!$B$12*Population!M$32)+(AG74*Population!$B$11*Population!M$34)</f>
        <v>40.315342591459071</v>
      </c>
      <c r="AH75" s="14">
        <f>(AF74*Population!$B$12*Population!M$34)+(AH74*Population!$B$11*Population!M$36)</f>
        <v>39.70088348931629</v>
      </c>
      <c r="AI75" s="13">
        <f>(AG74*Population!$B$12*Population!M$34)+(AI74*Population!$B$11*Population!M$36)</f>
        <v>39.70088348931629</v>
      </c>
      <c r="AJ75" s="14">
        <f>(AH74*Population!$B$12*Population!M$36)+(AJ74*Population!$B$11*Population!M$38)</f>
        <v>39.049418203877195</v>
      </c>
      <c r="AK75" s="13">
        <f>(AI74*Population!$B$12*Population!M$36)+(AK74*Population!$B$11*Population!M$38)</f>
        <v>39.049418203877195</v>
      </c>
      <c r="AL75" s="14">
        <f>(AJ74*Population!$B$12*Population!M$38)+(AL74*Population!$B$11*Population!M$40)</f>
        <v>38.393149367440344</v>
      </c>
      <c r="AM75" s="13">
        <f>(AK74*Population!$B$12*Population!M$38)+(AM74*Population!$B$11*Population!M$40)</f>
        <v>38.393149367440344</v>
      </c>
      <c r="AN75" s="15">
        <f>(AL74+AM74)*Population!$B$12*Population!$M$40+AN74*Population!$B$11*Population!$M$42</f>
        <v>73.30465889071813</v>
      </c>
      <c r="AO75" s="5">
        <f>AN74*Population!M$42*Population!$B$12+AO74*Population!$B$11*Population!M$43</f>
        <v>69.921470435465665</v>
      </c>
      <c r="AP75" s="5">
        <f>AO74*Population!M$43*Population!$B$12+AP74*Population!$B$11*Population!M$44</f>
        <v>53.617220989125485</v>
      </c>
      <c r="AQ75" s="5">
        <f>(AP74*Population!$B$12+AQ74)*Population!M$45</f>
        <v>145.66860195162883</v>
      </c>
    </row>
    <row r="76" spans="1:43">
      <c r="A76">
        <f>A75+Population!$B$2</f>
        <v>73</v>
      </c>
      <c r="B76" s="4">
        <f t="shared" si="33"/>
        <v>987</v>
      </c>
      <c r="C76" s="59">
        <f t="shared" si="31"/>
        <v>384</v>
      </c>
      <c r="D76" s="12">
        <f>AC75*Population!$P$31*Population!$C$2+AE75*Population!$P$33*Population!$C$2+AG75*Population!$P$35*Population!$C$2+AI75*Population!$P$37*Population!$C$2+AK75*Population!$P$39*Population!$C$2+AM74*Population!$P$41*Population!$C$2</f>
        <v>13.375823108313295</v>
      </c>
      <c r="E76" s="12">
        <f>IF(B75&gt;Population!$B$6*Population!$B$15,Population!$B$8,IF(Population!$J$6=1,D76,Population!$B$8*Population!$B$6*0.9/B75))</f>
        <v>11.880918319076509</v>
      </c>
      <c r="F76" s="12">
        <f>IF(B75&gt;Population!$B$6*0.75,Population!$B$8,E76)</f>
        <v>11.880918319076509</v>
      </c>
      <c r="G76" s="15">
        <f>IF(Population!$J$6=1,IF(E76&gt;H75,H75,E76),IF(E76&gt;W75,W75,E76))</f>
        <v>11.880918319076509</v>
      </c>
      <c r="H76" s="15">
        <f t="shared" si="34"/>
        <v>198</v>
      </c>
      <c r="I76" s="15">
        <f t="shared" si="35"/>
        <v>248</v>
      </c>
      <c r="J76" s="12">
        <f t="shared" si="28"/>
        <v>1.2525252525252526</v>
      </c>
      <c r="K76" s="12">
        <f>Z76*Population!$O$28+AA76*Population!$O$29+AB76*Population!$O$30+AC76*Population!$O$31+AD76*Population!$O$32+AE76*Population!$O$33+AF76*Population!$O$34+AG76*Population!$O$35+AH76*Population!$O$36+AI76*Population!$O$37+AJ76*Population!$O$36+AK76*Population!$O$37+AL76*Population!$O$38+AM76*Population!$O$39+AN76*Population!$O$40+AO76*Population!$O$41+AP76*Population!$O$42+AQ76*Population!$O$43</f>
        <v>2.5321514434911316</v>
      </c>
      <c r="L76" s="12">
        <f t="shared" si="36"/>
        <v>6.0004637975133883E-2</v>
      </c>
      <c r="M76" s="12">
        <f t="shared" si="37"/>
        <v>5.7567661118356384</v>
      </c>
      <c r="N76" s="12">
        <f t="shared" si="29"/>
        <v>0.25126646403242148</v>
      </c>
      <c r="O76" s="12">
        <f t="shared" si="32"/>
        <v>389.76882485173235</v>
      </c>
      <c r="P76" s="12">
        <f t="shared" si="38"/>
        <v>174.61558757413383</v>
      </c>
      <c r="Q76" s="12">
        <f t="shared" si="39"/>
        <v>145.66860195162883</v>
      </c>
      <c r="R76" s="12">
        <f t="shared" si="40"/>
        <v>0.14749955829381714</v>
      </c>
      <c r="S76" s="12">
        <f t="shared" si="30"/>
        <v>0.88189690694006984</v>
      </c>
      <c r="T76" s="12">
        <f>Population!$B$13*MIN(X75:Y75)</f>
        <v>5.9391525724856038</v>
      </c>
      <c r="U76" s="12">
        <f>W75*Population!$B$14</f>
        <v>1.0473551975742925</v>
      </c>
      <c r="V76" s="12">
        <f>AM75*S75*Population!$B$12</f>
        <v>4.8354093964928806</v>
      </c>
      <c r="W76" s="12">
        <f t="shared" si="16"/>
        <v>174.61558757413383</v>
      </c>
      <c r="X76" s="14">
        <f t="shared" si="41"/>
        <v>23.756839083475484</v>
      </c>
      <c r="Y76" s="13">
        <f t="shared" si="42"/>
        <v>23.756839083475484</v>
      </c>
      <c r="Z76" s="18">
        <f>(G76+Population!$B$11*Z75)*Population!M$28</f>
        <v>82.930558131399025</v>
      </c>
      <c r="AA76" s="18">
        <f>Z75*Population!$B$12*Population!$M$28+AA75*Population!$B$11*Population!$M$29</f>
        <v>82.78406731014995</v>
      </c>
      <c r="AB76" s="14">
        <f>(AA75*Population!$B$12*0.5*Population!$M$29)+(AB75*Population!$B$11*Population!M$30)</f>
        <v>41.144280670255839</v>
      </c>
      <c r="AC76" s="13">
        <f>(AA75*Population!$B$12*0.5*Population!$M$29)+(AC75*Population!$B$11*Population!M$30)</f>
        <v>41.144280670255839</v>
      </c>
      <c r="AD76" s="14">
        <f>(AB75*Population!$B$12*Population!M$30)+(AD75*Population!$B$11*Population!M$32)</f>
        <v>40.859004606979923</v>
      </c>
      <c r="AE76" s="13">
        <f>(AC75*Population!$B$12*Population!M$30)+(AE75*Population!$B$11*Population!M$32)</f>
        <v>40.859004606979923</v>
      </c>
      <c r="AF76" s="14">
        <f>(AD75*Population!$B$12*Population!M$32)+(AF75*Population!$B$11*Population!M$34)</f>
        <v>40.320814614170736</v>
      </c>
      <c r="AG76" s="13">
        <f>(AE75*Population!$B$12*Population!M$32)+(AG75*Population!$B$11*Population!M$34)</f>
        <v>40.320814614170736</v>
      </c>
      <c r="AH76" s="14">
        <f>(AF75*Population!$B$12*Population!M$34)+(AH75*Population!$B$11*Population!M$36)</f>
        <v>39.712269127397754</v>
      </c>
      <c r="AI76" s="13">
        <f>(AG75*Population!$B$12*Population!M$34)+(AI75*Population!$B$11*Population!M$36)</f>
        <v>39.712269127397754</v>
      </c>
      <c r="AJ76" s="14">
        <f>(AH75*Population!$B$12*Population!M$36)+(AJ75*Population!$B$11*Population!M$38)</f>
        <v>39.067331102653043</v>
      </c>
      <c r="AK76" s="13">
        <f>(AI75*Population!$B$12*Population!M$36)+(AK75*Population!$B$11*Population!M$38)</f>
        <v>39.067331102653043</v>
      </c>
      <c r="AL76" s="14">
        <f>(AJ75*Population!$B$12*Population!M$38)+(AL75*Population!$B$11*Population!M$40)</f>
        <v>38.413007206407848</v>
      </c>
      <c r="AM76" s="13">
        <f>(AK75*Population!$B$12*Population!M$38)+(AM75*Population!$B$11*Population!M$40)</f>
        <v>38.413007206407848</v>
      </c>
      <c r="AN76" s="15">
        <f>(AL75+AM75)*Population!$B$12*Population!$M$40+AN75*Population!$B$11*Population!$M$42</f>
        <v>73.32543853198176</v>
      </c>
      <c r="AO76" s="5">
        <f>AN75*Population!M$42*Population!$B$12+AO75*Population!$B$11*Population!M$43</f>
        <v>69.89434839465882</v>
      </c>
      <c r="AP76" s="5">
        <f>AO75*Population!M$43*Population!$B$12+AP75*Population!$B$11*Population!M$44</f>
        <v>53.552201954762538</v>
      </c>
      <c r="AQ76" s="5">
        <f>(AP75*Population!$B$12+AQ75)*Population!M$45</f>
        <v>145.58206403599752</v>
      </c>
    </row>
    <row r="77" spans="1:43">
      <c r="A77">
        <f>A76+Population!$B$2</f>
        <v>74</v>
      </c>
      <c r="B77" s="4">
        <f t="shared" si="33"/>
        <v>987</v>
      </c>
      <c r="C77" s="59">
        <f t="shared" si="31"/>
        <v>384</v>
      </c>
      <c r="D77" s="12">
        <f>AC76*Population!$P$31*Population!$C$2+AE76*Population!$P$33*Population!$C$2+AG76*Population!$P$35*Population!$C$2+AI76*Population!$P$37*Population!$C$2+AK76*Population!$P$39*Population!$C$2+AM75*Population!$P$41*Population!$C$2</f>
        <v>13.378589076348039</v>
      </c>
      <c r="E77" s="12">
        <f>IF(B76&gt;Population!$B$6*Population!$B$15,Population!$B$8,IF(Population!$J$6=1,D77,Population!$B$8*Population!$B$6*0.9/B76))</f>
        <v>11.880918319076509</v>
      </c>
      <c r="F77" s="12">
        <f>IF(B76&gt;Population!$B$6*0.75,Population!$B$8,E77)</f>
        <v>11.880918319076509</v>
      </c>
      <c r="G77" s="15">
        <f>IF(Population!$J$6=1,IF(E77&gt;H76,H76,E77),IF(E77&gt;W76,W76,E77))</f>
        <v>11.880918319076509</v>
      </c>
      <c r="H77" s="15">
        <f t="shared" si="34"/>
        <v>198</v>
      </c>
      <c r="I77" s="15">
        <f t="shared" si="35"/>
        <v>248</v>
      </c>
      <c r="J77" s="12">
        <f t="shared" si="28"/>
        <v>1.2525252525252526</v>
      </c>
      <c r="K77" s="12">
        <f>Z77*Population!$O$28+AA77*Population!$O$29+AB77*Population!$O$30+AC77*Population!$O$31+AD77*Population!$O$32+AE77*Population!$O$33+AF77*Population!$O$34+AG77*Population!$O$35+AH77*Population!$O$36+AI77*Population!$O$37+AJ77*Population!$O$36+AK77*Population!$O$37+AL77*Population!$O$38+AM77*Population!$O$39+AN77*Population!$O$40+AO77*Population!$O$41+AP77*Population!$O$42+AQ77*Population!$O$43</f>
        <v>2.5312903251389303</v>
      </c>
      <c r="L77" s="12">
        <f t="shared" si="36"/>
        <v>6.0004637975133883E-2</v>
      </c>
      <c r="M77" s="12">
        <f t="shared" si="37"/>
        <v>5.7575881086715848</v>
      </c>
      <c r="N77" s="12">
        <f t="shared" si="29"/>
        <v>0.25126646403242148</v>
      </c>
      <c r="O77" s="12">
        <f t="shared" si="32"/>
        <v>389.66473871562641</v>
      </c>
      <c r="P77" s="12">
        <f t="shared" si="38"/>
        <v>174.66763064218679</v>
      </c>
      <c r="Q77" s="12">
        <f t="shared" si="39"/>
        <v>145.58206403599752</v>
      </c>
      <c r="R77" s="12">
        <f t="shared" si="40"/>
        <v>0.14740737470521062</v>
      </c>
      <c r="S77" s="12">
        <f t="shared" si="30"/>
        <v>0.88215975071811514</v>
      </c>
      <c r="T77" s="12">
        <f>Population!$B$13*MIN(X76:Y76)</f>
        <v>5.9392097708688709</v>
      </c>
      <c r="U77" s="12">
        <f>W76*Population!$B$14</f>
        <v>1.047693525444803</v>
      </c>
      <c r="V77" s="12">
        <f>AM76*S76*Population!$B$12</f>
        <v>4.8394731773710991</v>
      </c>
      <c r="W77" s="12">
        <f t="shared" ref="W77:W103" si="43">W76+T77-V77-U77</f>
        <v>174.66763064218679</v>
      </c>
      <c r="X77" s="14">
        <f t="shared" si="41"/>
        <v>23.758548176295648</v>
      </c>
      <c r="Y77" s="13">
        <f t="shared" si="42"/>
        <v>23.758548176295648</v>
      </c>
      <c r="Z77" s="18">
        <f>(G77+Population!$B$11*Z76)*Population!M$28</f>
        <v>82.930570373208411</v>
      </c>
      <c r="AA77" s="18">
        <f>Z76*Population!$B$12*Population!$M$28+AA76*Population!$B$11*Population!$M$29</f>
        <v>82.784219099261236</v>
      </c>
      <c r="AB77" s="14">
        <f>(AA76*Population!$B$12*0.5*Population!$M$29)+(AB76*Population!$B$11*Population!M$30)</f>
        <v>41.144734496023588</v>
      </c>
      <c r="AC77" s="13">
        <f>(AA76*Population!$B$12*0.5*Population!$M$29)+(AC76*Population!$B$11*Population!M$30)</f>
        <v>41.144734496023588</v>
      </c>
      <c r="AD77" s="14">
        <f>(AB76*Population!$B$12*Population!M$30)+(AD76*Population!$B$11*Population!M$32)</f>
        <v>40.860780860616281</v>
      </c>
      <c r="AE77" s="13">
        <f>(AC76*Population!$B$12*Population!M$30)+(AE76*Population!$B$11*Population!M$32)</f>
        <v>40.860780860616281</v>
      </c>
      <c r="AF77" s="14">
        <f>(AD76*Population!$B$12*Population!M$32)+(AF76*Population!$B$11*Population!M$34)</f>
        <v>40.325779696608379</v>
      </c>
      <c r="AG77" s="13">
        <f>(AE76*Population!$B$12*Population!M$32)+(AG76*Population!$B$11*Population!M$34)</f>
        <v>40.325779696608379</v>
      </c>
      <c r="AH77" s="14">
        <f>(AF76*Population!$B$12*Population!M$34)+(AH76*Population!$B$11*Population!M$36)</f>
        <v>39.722789724878631</v>
      </c>
      <c r="AI77" s="13">
        <f>(AG76*Population!$B$12*Population!M$34)+(AI76*Population!$B$11*Population!M$36)</f>
        <v>39.722789724878631</v>
      </c>
      <c r="AJ77" s="14">
        <f>(AH76*Population!$B$12*Population!M$36)+(AJ76*Population!$B$11*Population!M$38)</f>
        <v>39.084278933184116</v>
      </c>
      <c r="AK77" s="13">
        <f>(AI76*Population!$B$12*Population!M$36)+(AK76*Population!$B$11*Population!M$38)</f>
        <v>39.084278933184116</v>
      </c>
      <c r="AL77" s="14">
        <f>(AJ76*Population!$B$12*Population!M$38)+(AL76*Population!$B$11*Population!M$40)</f>
        <v>38.432549603195035</v>
      </c>
      <c r="AM77" s="13">
        <f>(AK76*Population!$B$12*Population!M$38)+(AM76*Population!$B$11*Population!M$40)</f>
        <v>38.432549603195035</v>
      </c>
      <c r="AN77" s="15">
        <f>(AL76+AM76)*Population!$B$12*Population!$M$40+AN76*Population!$B$11*Population!$M$42</f>
        <v>73.348783297270359</v>
      </c>
      <c r="AO77" s="5">
        <f>AN76*Population!M$42*Population!$B$12+AO76*Population!$B$11*Population!M$43</f>
        <v>69.874216473630028</v>
      </c>
      <c r="AP77" s="5">
        <f>AO76*Population!M$43*Population!$B$12+AP76*Population!$B$11*Population!M$44</f>
        <v>53.495440377263591</v>
      </c>
      <c r="AQ77" s="5">
        <f>(AP76*Population!$B$12+AQ76)*Population!M$45</f>
        <v>145.4910788340429</v>
      </c>
    </row>
    <row r="78" spans="1:43">
      <c r="A78">
        <f>A77+Population!$B$2</f>
        <v>75</v>
      </c>
      <c r="B78" s="4">
        <f t="shared" si="33"/>
        <v>987</v>
      </c>
      <c r="C78" s="59">
        <f t="shared" si="31"/>
        <v>385</v>
      </c>
      <c r="D78" s="12">
        <f>AC77*Population!$P$31*Population!$C$2+AE77*Population!$P$33*Population!$C$2+AG77*Population!$P$35*Population!$C$2+AI77*Population!$P$37*Population!$C$2+AK77*Population!$P$39*Population!$C$2+AM76*Population!$P$41*Population!$C$2</f>
        <v>13.38118093682554</v>
      </c>
      <c r="E78" s="12">
        <f>IF(B77&gt;Population!$B$6*Population!$B$15,Population!$B$8,IF(Population!$J$6=1,D78,Population!$B$8*Population!$B$6*0.9/B77))</f>
        <v>11.880918319076509</v>
      </c>
      <c r="F78" s="12">
        <f>IF(B77&gt;Population!$B$6*0.75,Population!$B$8,E78)</f>
        <v>11.880918319076509</v>
      </c>
      <c r="G78" s="15">
        <f>IF(Population!$J$6=1,IF(E78&gt;H77,H77,E78),IF(E78&gt;W77,W77,E78))</f>
        <v>11.880918319076509</v>
      </c>
      <c r="H78" s="15">
        <f t="shared" si="34"/>
        <v>198</v>
      </c>
      <c r="I78" s="15">
        <f t="shared" si="35"/>
        <v>248</v>
      </c>
      <c r="J78" s="12">
        <f t="shared" si="28"/>
        <v>1.2525252525252526</v>
      </c>
      <c r="K78" s="12">
        <f>Z78*Population!$O$28+AA78*Population!$O$29+AB78*Population!$O$30+AC78*Population!$O$31+AD78*Population!$O$32+AE78*Population!$O$33+AF78*Population!$O$34+AG78*Population!$O$35+AH78*Population!$O$36+AI78*Population!$O$37+AJ78*Population!$O$36+AK78*Population!$O$37+AL78*Population!$O$38+AM78*Population!$O$39+AN78*Population!$O$40+AO78*Population!$O$41+AP78*Population!$O$42+AQ78*Population!$O$43</f>
        <v>2.5304681778758678</v>
      </c>
      <c r="L78" s="12">
        <f t="shared" si="36"/>
        <v>6.0004637975133883E-2</v>
      </c>
      <c r="M78" s="12">
        <f t="shared" si="37"/>
        <v>5.7583402620953681</v>
      </c>
      <c r="N78" s="12">
        <f t="shared" si="29"/>
        <v>0.25126646403242148</v>
      </c>
      <c r="O78" s="12">
        <f t="shared" si="32"/>
        <v>389.56823287444655</v>
      </c>
      <c r="P78" s="12">
        <f t="shared" si="38"/>
        <v>174.71588356277672</v>
      </c>
      <c r="Q78" s="12">
        <f t="shared" si="39"/>
        <v>145.4910788340429</v>
      </c>
      <c r="R78" s="12">
        <f t="shared" si="40"/>
        <v>0.14731204768401121</v>
      </c>
      <c r="S78" s="12">
        <f t="shared" si="30"/>
        <v>0.88240345233725614</v>
      </c>
      <c r="T78" s="12">
        <f>Population!$B$13*MIN(X77:Y77)</f>
        <v>5.9396370440739119</v>
      </c>
      <c r="U78" s="12">
        <f>W77*Population!$B$14</f>
        <v>1.0480057838531207</v>
      </c>
      <c r="V78" s="12">
        <f>AM77*S77*Population!$B$12</f>
        <v>4.8433783396308749</v>
      </c>
      <c r="W78" s="12">
        <f t="shared" si="43"/>
        <v>174.71588356277672</v>
      </c>
      <c r="X78" s="14">
        <f t="shared" si="41"/>
        <v>23.761224289765295</v>
      </c>
      <c r="Y78" s="13">
        <f t="shared" si="42"/>
        <v>23.761224289765295</v>
      </c>
      <c r="Z78" s="18">
        <f>(G78+Population!$B$11*Z77)*Population!M$28</f>
        <v>82.930580861927737</v>
      </c>
      <c r="AA78" s="18">
        <f>Z77*Population!$B$12*Population!$M$28+AA77*Population!$B$11*Population!$M$29</f>
        <v>82.784350923060046</v>
      </c>
      <c r="AB78" s="14">
        <f>(AA77*Population!$B$12*0.5*Population!$M$29)+(AB77*Population!$B$11*Population!M$30)</f>
        <v>41.145133958467895</v>
      </c>
      <c r="AC78" s="13">
        <f>(AA77*Population!$B$12*0.5*Population!$M$29)+(AC77*Population!$B$11*Population!M$30)</f>
        <v>41.145133958467895</v>
      </c>
      <c r="AD78" s="14">
        <f>(AB77*Population!$B$12*Population!M$30)+(AD77*Population!$B$11*Population!M$32)</f>
        <v>40.862366683255075</v>
      </c>
      <c r="AE78" s="13">
        <f>(AC77*Population!$B$12*Population!M$30)+(AE77*Population!$B$11*Population!M$32)</f>
        <v>40.862366683255075</v>
      </c>
      <c r="AF78" s="14">
        <f>(AD77*Population!$B$12*Population!M$32)+(AF77*Population!$B$11*Population!M$34)</f>
        <v>40.330280819143063</v>
      </c>
      <c r="AG78" s="13">
        <f>(AE77*Population!$B$12*Population!M$32)+(AG77*Population!$B$11*Population!M$34)</f>
        <v>40.330280819143063</v>
      </c>
      <c r="AH78" s="14">
        <f>(AF77*Population!$B$12*Population!M$34)+(AH77*Population!$B$11*Population!M$36)</f>
        <v>39.732498001604583</v>
      </c>
      <c r="AI78" s="13">
        <f>(AG77*Population!$B$12*Population!M$34)+(AI77*Population!$B$11*Population!M$36)</f>
        <v>39.732498001604583</v>
      </c>
      <c r="AJ78" s="14">
        <f>(AH77*Population!$B$12*Population!M$36)+(AJ77*Population!$B$11*Population!M$38)</f>
        <v>39.100277810628754</v>
      </c>
      <c r="AK78" s="13">
        <f>(AI77*Population!$B$12*Population!M$36)+(AK77*Population!$B$11*Population!M$38)</f>
        <v>39.100277810628754</v>
      </c>
      <c r="AL78" s="14">
        <f>(AJ77*Population!$B$12*Population!M$38)+(AL77*Population!$B$11*Population!M$40)</f>
        <v>38.451684537910545</v>
      </c>
      <c r="AM78" s="13">
        <f>(AK77*Population!$B$12*Population!M$38)+(AM77*Population!$B$11*Population!M$40)</f>
        <v>38.451684537910545</v>
      </c>
      <c r="AN78" s="15">
        <f>(AL77+AM77)*Population!$B$12*Population!$M$40+AN77*Population!$B$11*Population!$M$42</f>
        <v>73.374220846586397</v>
      </c>
      <c r="AO78" s="5">
        <f>AN77*Population!M$42*Population!$B$12+AO77*Population!$B$11*Population!M$43</f>
        <v>69.860396434791781</v>
      </c>
      <c r="AP78" s="5">
        <f>AO77*Population!M$43*Population!$B$12+AP77*Population!$B$11*Population!M$44</f>
        <v>53.44639039723166</v>
      </c>
      <c r="AQ78" s="5">
        <f>(AP77*Population!$B$12+AQ77)*Population!M$45</f>
        <v>145.39699106411908</v>
      </c>
    </row>
    <row r="79" spans="1:43">
      <c r="A79">
        <f>A78+Population!$B$2</f>
        <v>76</v>
      </c>
      <c r="B79" s="4">
        <f t="shared" si="33"/>
        <v>987</v>
      </c>
      <c r="C79" s="59">
        <f t="shared" si="31"/>
        <v>385</v>
      </c>
      <c r="D79" s="12">
        <f>AC78*Population!$P$31*Population!$C$2+AE78*Population!$P$33*Population!$C$2+AG78*Population!$P$35*Population!$C$2+AI78*Population!$P$37*Population!$C$2+AK78*Population!$P$39*Population!$C$2+AM77*Population!$P$41*Population!$C$2</f>
        <v>13.383606406854744</v>
      </c>
      <c r="E79" s="12">
        <f>IF(B78&gt;Population!$B$6*Population!$B$15,Population!$B$8,IF(Population!$J$6=1,D79,Population!$B$8*Population!$B$6*0.9/B78))</f>
        <v>11.880918319076509</v>
      </c>
      <c r="F79" s="12">
        <f>IF(B78&gt;Population!$B$6*0.75,Population!$B$8,E79)</f>
        <v>11.880918319076509</v>
      </c>
      <c r="G79" s="15">
        <f>IF(Population!$J$6=1,IF(E79&gt;H78,H78,E79),IF(E79&gt;W78,W78,E79))</f>
        <v>11.880918319076509</v>
      </c>
      <c r="H79" s="15">
        <f t="shared" si="34"/>
        <v>198</v>
      </c>
      <c r="I79" s="15">
        <f t="shared" si="35"/>
        <v>248</v>
      </c>
      <c r="J79" s="12">
        <f t="shared" si="28"/>
        <v>1.2525252525252526</v>
      </c>
      <c r="K79" s="12">
        <f>Z79*Population!$O$28+AA79*Population!$O$29+AB79*Population!$O$30+AC79*Population!$O$31+AD79*Population!$O$32+AE79*Population!$O$33+AF79*Population!$O$34+AG79*Population!$O$35+AH79*Population!$O$36+AI79*Population!$O$37+AJ79*Population!$O$36+AK79*Population!$O$37+AL79*Population!$O$38+AM79*Population!$O$39+AN79*Population!$O$40+AO79*Population!$O$41+AP79*Population!$O$42+AQ79*Population!$O$43</f>
        <v>2.5296879330258015</v>
      </c>
      <c r="L79" s="12">
        <f t="shared" si="36"/>
        <v>6.0004637975133883E-2</v>
      </c>
      <c r="M79" s="12">
        <f t="shared" si="37"/>
        <v>5.7590278433529818</v>
      </c>
      <c r="N79" s="12">
        <f t="shared" si="29"/>
        <v>0.25126646403242148</v>
      </c>
      <c r="O79" s="12">
        <f t="shared" si="32"/>
        <v>389.47846824215588</v>
      </c>
      <c r="P79" s="12">
        <f t="shared" si="38"/>
        <v>174.76076587892206</v>
      </c>
      <c r="Q79" s="12">
        <f t="shared" si="39"/>
        <v>145.39699106411908</v>
      </c>
      <c r="R79" s="12">
        <f t="shared" si="40"/>
        <v>0.14721479581463046</v>
      </c>
      <c r="S79" s="12">
        <f t="shared" si="30"/>
        <v>0.88263013070162655</v>
      </c>
      <c r="T79" s="12">
        <f>Population!$B$13*MIN(X78:Y78)</f>
        <v>5.9403060724413237</v>
      </c>
      <c r="U79" s="12">
        <f>W78*Population!$B$14</f>
        <v>1.0482953013766603</v>
      </c>
      <c r="V79" s="12">
        <f>AM78*S78*Population!$B$12</f>
        <v>4.8471284549193365</v>
      </c>
      <c r="W79" s="12">
        <f t="shared" si="43"/>
        <v>174.76076587892206</v>
      </c>
      <c r="X79" s="14">
        <f t="shared" si="41"/>
        <v>23.764503455441201</v>
      </c>
      <c r="Y79" s="13">
        <f t="shared" si="42"/>
        <v>23.764503455441201</v>
      </c>
      <c r="Z79" s="18">
        <f>(G79+Population!$B$11*Z78)*Population!M$28</f>
        <v>82.93058984860852</v>
      </c>
      <c r="AA79" s="18">
        <f>Z78*Population!$B$12*Population!$M$28+AA78*Population!$B$11*Population!$M$29</f>
        <v>82.784465387244566</v>
      </c>
      <c r="AB79" s="14">
        <f>(AA78*Population!$B$12*0.5*Population!$M$29)+(AB78*Population!$B$11*Population!M$30)</f>
        <v>41.145485442412003</v>
      </c>
      <c r="AC79" s="13">
        <f>(AA78*Population!$B$12*0.5*Population!$M$29)+(AC78*Population!$B$11*Population!M$30)</f>
        <v>41.145485442412003</v>
      </c>
      <c r="AD79" s="14">
        <f>(AB78*Population!$B$12*Population!M$30)+(AD78*Population!$B$11*Population!M$32)</f>
        <v>40.863781676091584</v>
      </c>
      <c r="AE79" s="13">
        <f>(AC78*Population!$B$12*Population!M$30)+(AE78*Population!$B$11*Population!M$32)</f>
        <v>40.863781676091584</v>
      </c>
      <c r="AF79" s="14">
        <f>(AD78*Population!$B$12*Population!M$32)+(AF78*Population!$B$11*Population!M$34)</f>
        <v>40.334357846803968</v>
      </c>
      <c r="AG79" s="13">
        <f>(AE78*Population!$B$12*Population!M$32)+(AG78*Population!$B$11*Population!M$34)</f>
        <v>40.334357846803968</v>
      </c>
      <c r="AH79" s="14">
        <f>(AF78*Population!$B$12*Population!M$34)+(AH78*Population!$B$11*Population!M$36)</f>
        <v>39.741445187517044</v>
      </c>
      <c r="AI79" s="13">
        <f>(AG78*Population!$B$12*Population!M$34)+(AI78*Population!$B$11*Population!M$36)</f>
        <v>39.741445187517044</v>
      </c>
      <c r="AJ79" s="14">
        <f>(AH78*Population!$B$12*Population!M$36)+(AJ78*Population!$B$11*Population!M$38)</f>
        <v>39.115349038405085</v>
      </c>
      <c r="AK79" s="13">
        <f>(AI78*Population!$B$12*Population!M$36)+(AK78*Population!$B$11*Population!M$38)</f>
        <v>39.115349038405085</v>
      </c>
      <c r="AL79" s="14">
        <f>(AJ78*Population!$B$12*Population!M$38)+(AL78*Population!$B$11*Population!M$40)</f>
        <v>38.470335585545556</v>
      </c>
      <c r="AM79" s="13">
        <f>(AK78*Population!$B$12*Population!M$38)+(AM78*Population!$B$11*Population!M$40)</f>
        <v>38.470335585545556</v>
      </c>
      <c r="AN79" s="15">
        <f>(AL78+AM78)*Population!$B$12*Population!$M$40+AN78*Population!$B$11*Population!$M$42</f>
        <v>73.401323011412487</v>
      </c>
      <c r="AO79" s="5">
        <f>AN78*Population!M$42*Population!$B$12+AO78*Population!$B$11*Population!M$43</f>
        <v>69.852244158469418</v>
      </c>
      <c r="AP79" s="5">
        <f>AO78*Population!M$43*Population!$B$12+AP78*Population!$B$11*Population!M$44</f>
        <v>53.404511583831521</v>
      </c>
      <c r="AQ79" s="5">
        <f>(AP78*Population!$B$12+AQ78)*Population!M$45</f>
        <v>145.30100346904027</v>
      </c>
    </row>
    <row r="80" spans="1:43">
      <c r="A80">
        <f>A79+Population!$B$2</f>
        <v>77</v>
      </c>
      <c r="B80" s="4">
        <f t="shared" si="33"/>
        <v>987</v>
      </c>
      <c r="C80" s="59">
        <f t="shared" si="31"/>
        <v>385</v>
      </c>
      <c r="D80" s="12">
        <f>AC79*Population!$P$31*Population!$C$2+AE79*Population!$P$33*Population!$C$2+AG79*Population!$P$35*Population!$C$2+AI79*Population!$P$37*Population!$C$2+AK79*Population!$P$39*Population!$C$2+AM78*Population!$P$41*Population!$C$2</f>
        <v>13.385873253538406</v>
      </c>
      <c r="E80" s="12">
        <f>IF(B79&gt;Population!$B$6*Population!$B$15,Population!$B$8,IF(Population!$J$6=1,D80,Population!$B$8*Population!$B$6*0.9/B79))</f>
        <v>11.880918319076509</v>
      </c>
      <c r="F80" s="12">
        <f>IF(B79&gt;Population!$B$6*0.75,Population!$B$8,E80)</f>
        <v>11.880918319076509</v>
      </c>
      <c r="G80" s="15">
        <f>IF(Population!$J$6=1,IF(E80&gt;H79,H79,E80),IF(E80&gt;W79,W79,E80))</f>
        <v>11.880918319076509</v>
      </c>
      <c r="H80" s="15">
        <f t="shared" si="34"/>
        <v>198</v>
      </c>
      <c r="I80" s="15">
        <f t="shared" si="35"/>
        <v>248</v>
      </c>
      <c r="J80" s="12">
        <f t="shared" si="28"/>
        <v>1.2525252525252526</v>
      </c>
      <c r="K80" s="12">
        <f>Z80*Population!$O$28+AA80*Population!$O$29+AB80*Population!$O$30+AC80*Population!$O$31+AD80*Population!$O$32+AE80*Population!$O$33+AF80*Population!$O$34+AG80*Population!$O$35+AH80*Population!$O$36+AI80*Population!$O$37+AJ80*Population!$O$36+AK80*Population!$O$37+AL80*Population!$O$38+AM80*Population!$O$39+AN80*Population!$O$40+AO80*Population!$O$41+AP80*Population!$O$42+AQ80*Population!$O$43</f>
        <v>2.5289518127206936</v>
      </c>
      <c r="L80" s="12">
        <f t="shared" si="36"/>
        <v>6.0004637975133883E-2</v>
      </c>
      <c r="M80" s="12">
        <f t="shared" si="37"/>
        <v>5.7596558100311155</v>
      </c>
      <c r="N80" s="12">
        <f t="shared" si="29"/>
        <v>0.25126646403242148</v>
      </c>
      <c r="O80" s="12">
        <f t="shared" si="32"/>
        <v>389.39479636955531</v>
      </c>
      <c r="P80" s="12">
        <f t="shared" si="38"/>
        <v>174.80260181522235</v>
      </c>
      <c r="Q80" s="12">
        <f t="shared" si="39"/>
        <v>145.30100346904027</v>
      </c>
      <c r="R80" s="12">
        <f t="shared" si="40"/>
        <v>0.14711670184905296</v>
      </c>
      <c r="S80" s="12">
        <f t="shared" si="30"/>
        <v>0.88284142330920379</v>
      </c>
      <c r="T80" s="12">
        <f>Population!$B$13*MIN(X79:Y79)</f>
        <v>5.9411258638603002</v>
      </c>
      <c r="U80" s="12">
        <f>W79*Population!$B$14</f>
        <v>1.0485645952735323</v>
      </c>
      <c r="V80" s="12">
        <f>AM79*S79*Population!$B$12</f>
        <v>4.8507253322865012</v>
      </c>
      <c r="W80" s="12">
        <f t="shared" si="43"/>
        <v>174.80260181522235</v>
      </c>
      <c r="X80" s="14">
        <f t="shared" si="41"/>
        <v>23.768128743694575</v>
      </c>
      <c r="Y80" s="13">
        <f t="shared" si="42"/>
        <v>23.768128743694575</v>
      </c>
      <c r="Z80" s="18">
        <f>(G80+Population!$B$11*Z79)*Population!M$28</f>
        <v>82.930597548350391</v>
      </c>
      <c r="AA80" s="18">
        <f>Z79*Population!$B$12*Population!$M$28+AA79*Population!$B$11*Population!$M$29</f>
        <v>82.784564760617798</v>
      </c>
      <c r="AB80" s="14">
        <f>(AA79*Population!$B$12*0.5*Population!$M$29)+(AB79*Population!$B$11*Population!M$30)</f>
        <v>41.145794601425507</v>
      </c>
      <c r="AC80" s="13">
        <f>(AA79*Population!$B$12*0.5*Population!$M$29)+(AC79*Population!$B$11*Population!M$30)</f>
        <v>41.145794601425507</v>
      </c>
      <c r="AD80" s="14">
        <f>(AB79*Population!$B$12*Population!M$30)+(AD79*Population!$B$11*Population!M$32)</f>
        <v>40.865043535387294</v>
      </c>
      <c r="AE80" s="13">
        <f>(AC79*Population!$B$12*Population!M$30)+(AE79*Population!$B$11*Population!M$32)</f>
        <v>40.865043535387294</v>
      </c>
      <c r="AF80" s="14">
        <f>(AD79*Population!$B$12*Population!M$32)+(AF79*Population!$B$11*Population!M$34)</f>
        <v>40.338047681511846</v>
      </c>
      <c r="AG80" s="13">
        <f>(AE79*Population!$B$12*Population!M$32)+(AG79*Population!$B$11*Population!M$34)</f>
        <v>40.338047681511846</v>
      </c>
      <c r="AH80" s="14">
        <f>(AF79*Population!$B$12*Population!M$34)+(AH79*Population!$B$11*Population!M$36)</f>
        <v>39.749680793754308</v>
      </c>
      <c r="AI80" s="13">
        <f>(AG79*Population!$B$12*Population!M$34)+(AI79*Population!$B$11*Population!M$36)</f>
        <v>39.749680793754308</v>
      </c>
      <c r="AJ80" s="14">
        <f>(AH79*Population!$B$12*Population!M$36)+(AJ79*Population!$B$11*Population!M$38)</f>
        <v>39.129518146037881</v>
      </c>
      <c r="AK80" s="13">
        <f>(AI79*Population!$B$12*Population!M$36)+(AK79*Population!$B$11*Population!M$38)</f>
        <v>39.129518146037881</v>
      </c>
      <c r="AL80" s="14">
        <f>(AJ79*Population!$B$12*Population!M$38)+(AL79*Population!$B$11*Population!M$40)</f>
        <v>38.488440402225599</v>
      </c>
      <c r="AM80" s="13">
        <f>(AK79*Population!$B$12*Population!M$38)+(AM79*Population!$B$11*Population!M$40)</f>
        <v>38.488440402225599</v>
      </c>
      <c r="AN80" s="15">
        <f>(AL79+AM79)*Population!$B$12*Population!$M$40+AN79*Population!$B$11*Population!$M$42</f>
        <v>73.429703657131597</v>
      </c>
      <c r="AO80" s="5">
        <f>AN79*Population!M$42*Population!$B$12+AO79*Population!$B$11*Population!M$43</f>
        <v>69.849150821357554</v>
      </c>
      <c r="AP80" s="5">
        <f>AO79*Population!M$43*Population!$B$12+AP79*Population!$B$11*Population!M$44</f>
        <v>53.369272762859808</v>
      </c>
      <c r="AQ80" s="5">
        <f>(AP79*Population!$B$12+AQ79)*Population!M$45</f>
        <v>145.20418472501527</v>
      </c>
    </row>
    <row r="81" spans="1:43">
      <c r="A81">
        <f>A80+Population!$B$2</f>
        <v>78</v>
      </c>
      <c r="B81" s="4">
        <f t="shared" si="33"/>
        <v>986</v>
      </c>
      <c r="C81" s="59">
        <f t="shared" si="31"/>
        <v>384</v>
      </c>
      <c r="D81" s="12">
        <f>AC80*Population!$P$31*Population!$C$2+AE80*Population!$P$33*Population!$C$2+AG80*Population!$P$35*Population!$C$2+AI80*Population!$P$37*Population!$C$2+AK80*Population!$P$39*Population!$C$2+AM79*Population!$P$41*Population!$C$2</f>
        <v>13.387989230370531</v>
      </c>
      <c r="E81" s="12">
        <f>IF(B80&gt;Population!$B$6*Population!$B$15,Population!$B$8,IF(Population!$J$6=1,D81,Population!$B$8*Population!$B$6*0.9/B80))</f>
        <v>11.880918319076509</v>
      </c>
      <c r="F81" s="12">
        <f>IF(B80&gt;Population!$B$6*0.75,Population!$B$8,E81)</f>
        <v>11.880918319076509</v>
      </c>
      <c r="G81" s="15">
        <f>IF(Population!$J$6=1,IF(E81&gt;H80,H80,E81),IF(E81&gt;W80,W80,E81))</f>
        <v>11.880918319076509</v>
      </c>
      <c r="H81" s="15">
        <f t="shared" si="34"/>
        <v>198</v>
      </c>
      <c r="I81" s="15">
        <f t="shared" si="35"/>
        <v>248</v>
      </c>
      <c r="J81" s="12">
        <f t="shared" si="28"/>
        <v>1.2525252525252526</v>
      </c>
      <c r="K81" s="12">
        <f>Z81*Population!$O$28+AA81*Population!$O$29+AB81*Population!$O$30+AC81*Population!$O$31+AD81*Population!$O$32+AE81*Population!$O$33+AF81*Population!$O$34+AG81*Population!$O$35+AH81*Population!$O$36+AI81*Population!$O$37+AJ81*Population!$O$36+AK81*Population!$O$37+AL81*Population!$O$38+AM81*Population!$O$39+AN81*Population!$O$40+AO81*Population!$O$41+AP81*Population!$O$42+AQ81*Population!$O$43</f>
        <v>2.5282614005635837</v>
      </c>
      <c r="L81" s="12">
        <f t="shared" si="36"/>
        <v>6.0004637975133883E-2</v>
      </c>
      <c r="M81" s="12">
        <f t="shared" si="37"/>
        <v>5.7602288132719881</v>
      </c>
      <c r="N81" s="12">
        <f t="shared" si="29"/>
        <v>0.25152129817444219</v>
      </c>
      <c r="O81" s="12">
        <f t="shared" si="32"/>
        <v>388.31670307824851</v>
      </c>
      <c r="P81" s="12">
        <f t="shared" si="38"/>
        <v>174.84164846087575</v>
      </c>
      <c r="Q81" s="12">
        <f t="shared" si="39"/>
        <v>145.20418472501527</v>
      </c>
      <c r="R81" s="12">
        <f t="shared" si="40"/>
        <v>0.14716782704894704</v>
      </c>
      <c r="S81" s="12">
        <f t="shared" si="30"/>
        <v>0.88303862859028159</v>
      </c>
      <c r="T81" s="12">
        <f>Population!$B$13*MIN(X80:Y80)</f>
        <v>5.9420321859236438</v>
      </c>
      <c r="U81" s="12">
        <f>W80*Population!$B$14</f>
        <v>1.048815610891334</v>
      </c>
      <c r="V81" s="12">
        <f>AM80*S80*Population!$B$12</f>
        <v>4.8541699293789016</v>
      </c>
      <c r="W81" s="12">
        <f t="shared" si="43"/>
        <v>174.84164846087575</v>
      </c>
      <c r="X81" s="14">
        <f t="shared" si="41"/>
        <v>23.771919944254961</v>
      </c>
      <c r="Y81" s="13">
        <f t="shared" si="42"/>
        <v>23.771919944254961</v>
      </c>
      <c r="Z81" s="18">
        <f>(G81+Population!$B$11*Z80)*Population!M$28</f>
        <v>82.930604145449621</v>
      </c>
      <c r="AA81" s="18">
        <f>Z80*Population!$B$12*Population!$M$28+AA80*Population!$B$11*Population!$M$29</f>
        <v>82.784651018146533</v>
      </c>
      <c r="AB81" s="14">
        <f>(AA80*Population!$B$12*0.5*Population!$M$29)+(AB80*Population!$B$11*Population!M$30)</f>
        <v>41.146066438827923</v>
      </c>
      <c r="AC81" s="13">
        <f>(AA80*Population!$B$12*0.5*Population!$M$29)+(AC80*Population!$B$11*Population!M$30)</f>
        <v>41.146066438827923</v>
      </c>
      <c r="AD81" s="14">
        <f>(AB80*Population!$B$12*Population!M$30)+(AD80*Population!$B$11*Population!M$32)</f>
        <v>40.866168221794112</v>
      </c>
      <c r="AE81" s="13">
        <f>(AC80*Population!$B$12*Population!M$30)+(AE80*Population!$B$11*Population!M$32)</f>
        <v>40.866168221794112</v>
      </c>
      <c r="AF81" s="14">
        <f>(AD80*Population!$B$12*Population!M$32)+(AF80*Population!$B$11*Population!M$34)</f>
        <v>40.341384418382596</v>
      </c>
      <c r="AG81" s="13">
        <f>(AE80*Population!$B$12*Population!M$32)+(AG80*Population!$B$11*Population!M$34)</f>
        <v>40.341384418382596</v>
      </c>
      <c r="AH81" s="14">
        <f>(AF80*Population!$B$12*Population!M$34)+(AH80*Population!$B$11*Population!M$36)</f>
        <v>39.757252438535019</v>
      </c>
      <c r="AI81" s="13">
        <f>(AG80*Population!$B$12*Population!M$34)+(AI80*Population!$B$11*Population!M$36)</f>
        <v>39.757252438535019</v>
      </c>
      <c r="AJ81" s="14">
        <f>(AH80*Population!$B$12*Population!M$36)+(AJ80*Population!$B$11*Population!M$38)</f>
        <v>39.142814033402175</v>
      </c>
      <c r="AK81" s="13">
        <f>(AI80*Population!$B$12*Population!M$36)+(AK80*Population!$B$11*Population!M$38)</f>
        <v>39.142814033402175</v>
      </c>
      <c r="AL81" s="14">
        <f>(AJ80*Population!$B$12*Population!M$38)+(AL80*Population!$B$11*Population!M$40)</f>
        <v>38.505949293016783</v>
      </c>
      <c r="AM81" s="13">
        <f>(AK80*Population!$B$12*Population!M$38)+(AM80*Population!$B$11*Population!M$40)</f>
        <v>38.505949293016783</v>
      </c>
      <c r="AN81" s="15">
        <f>(AL80+AM80)*Population!$B$12*Population!$M$40+AN80*Population!$B$11*Population!$M$42</f>
        <v>73.459016432430147</v>
      </c>
      <c r="AO81" s="5">
        <f>AN80*Population!M$42*Population!$B$12+AO80*Population!$B$11*Population!M$43</f>
        <v>69.850543596147673</v>
      </c>
      <c r="AP81" s="5">
        <f>AO80*Population!M$43*Population!$B$12+AP80*Population!$B$11*Population!M$44</f>
        <v>53.340155299311931</v>
      </c>
      <c r="AQ81" s="5">
        <f>(AP80*Population!$B$12+AQ80)*Population!M$45</f>
        <v>145.10747747026178</v>
      </c>
    </row>
    <row r="82" spans="1:43">
      <c r="A82">
        <f>A81+Population!$B$2</f>
        <v>79</v>
      </c>
      <c r="B82" s="4">
        <f t="shared" si="33"/>
        <v>986</v>
      </c>
      <c r="C82" s="59">
        <f t="shared" si="31"/>
        <v>384</v>
      </c>
      <c r="D82" s="12">
        <f>AC81*Population!$P$31*Population!$C$2+AE81*Population!$P$33*Population!$C$2+AG81*Population!$P$35*Population!$C$2+AI81*Population!$P$37*Population!$C$2+AK81*Population!$P$39*Population!$C$2+AM80*Population!$P$41*Population!$C$2</f>
        <v>13.389962022825772</v>
      </c>
      <c r="E82" s="12">
        <f>IF(B81&gt;Population!$B$6*Population!$B$15,Population!$B$8,IF(Population!$J$6=1,D82,Population!$B$8*Population!$B$6*0.9/B81))</f>
        <v>11.880918319076509</v>
      </c>
      <c r="F82" s="12">
        <f>IF(B81&gt;Population!$B$6*0.75,Population!$B$8,E82)</f>
        <v>11.880918319076509</v>
      </c>
      <c r="G82" s="15">
        <f>IF(Population!$J$6=1,IF(E82&gt;H81,H81,E82),IF(E82&gt;W81,W81,E82))</f>
        <v>11.880918319076509</v>
      </c>
      <c r="H82" s="15">
        <f t="shared" si="34"/>
        <v>198</v>
      </c>
      <c r="I82" s="15">
        <f t="shared" si="35"/>
        <v>248</v>
      </c>
      <c r="J82" s="12">
        <f t="shared" si="28"/>
        <v>1.2525252525252526</v>
      </c>
      <c r="K82" s="12">
        <f>Z82*Population!$O$28+AA82*Population!$O$29+AB82*Population!$O$30+AC82*Population!$O$31+AD82*Population!$O$32+AE82*Population!$O$33+AF82*Population!$O$34+AG82*Population!$O$35+AH82*Population!$O$36+AI82*Population!$O$37+AJ82*Population!$O$36+AK82*Population!$O$37+AL82*Population!$O$38+AM82*Population!$O$39+AN82*Population!$O$40+AO82*Population!$O$41+AP82*Population!$O$42+AQ82*Population!$O$43</f>
        <v>2.5276177087666931</v>
      </c>
      <c r="L82" s="12">
        <f t="shared" si="36"/>
        <v>6.0004637975133883E-2</v>
      </c>
      <c r="M82" s="12">
        <f t="shared" si="37"/>
        <v>5.7607512067148043</v>
      </c>
      <c r="N82" s="12">
        <f t="shared" si="29"/>
        <v>0.25152129817444219</v>
      </c>
      <c r="O82" s="12">
        <f t="shared" si="32"/>
        <v>388.24376878944366</v>
      </c>
      <c r="P82" s="12">
        <f t="shared" si="38"/>
        <v>174.87811560527817</v>
      </c>
      <c r="Q82" s="12">
        <f t="shared" si="39"/>
        <v>145.10747747026178</v>
      </c>
      <c r="R82" s="12">
        <f t="shared" si="40"/>
        <v>0.14707069611892781</v>
      </c>
      <c r="S82" s="12">
        <f t="shared" si="30"/>
        <v>0.88322280608726345</v>
      </c>
      <c r="T82" s="12">
        <f>Population!$B$13*MIN(X81:Y81)</f>
        <v>5.9429799860637402</v>
      </c>
      <c r="U82" s="12">
        <f>W81*Population!$B$14</f>
        <v>1.0490498907652546</v>
      </c>
      <c r="V82" s="12">
        <f>AM81*S81*Population!$B$12</f>
        <v>4.8574629508960658</v>
      </c>
      <c r="W82" s="12">
        <f t="shared" si="43"/>
        <v>174.87811560527817</v>
      </c>
      <c r="X82" s="14">
        <f t="shared" si="41"/>
        <v>23.775751814204767</v>
      </c>
      <c r="Y82" s="13">
        <f t="shared" si="42"/>
        <v>23.775751814204767</v>
      </c>
      <c r="Z82" s="18">
        <f>(G82+Population!$B$11*Z81)*Population!M$28</f>
        <v>82.930609797810305</v>
      </c>
      <c r="AA82" s="18">
        <f>Z81*Population!$B$12*Population!$M$28+AA81*Population!$B$11*Population!$M$29</f>
        <v>82.784725878595907</v>
      </c>
      <c r="AB82" s="14">
        <f>(AA81*Population!$B$12*0.5*Population!$M$29)+(AB81*Population!$B$11*Population!M$30)</f>
        <v>41.146305380129149</v>
      </c>
      <c r="AC82" s="13">
        <f>(AA81*Population!$B$12*0.5*Population!$M$29)+(AC81*Population!$B$11*Population!M$30)</f>
        <v>41.146305380129149</v>
      </c>
      <c r="AD82" s="14">
        <f>(AB81*Population!$B$12*Population!M$30)+(AD81*Population!$B$11*Population!M$32)</f>
        <v>40.867170116912035</v>
      </c>
      <c r="AE82" s="13">
        <f>(AC81*Population!$B$12*Population!M$30)+(AE81*Population!$B$11*Population!M$32)</f>
        <v>40.867170116912035</v>
      </c>
      <c r="AF82" s="14">
        <f>(AD81*Population!$B$12*Population!M$32)+(AF81*Population!$B$11*Population!M$34)</f>
        <v>40.344399503610653</v>
      </c>
      <c r="AG82" s="13">
        <f>(AE81*Population!$B$12*Population!M$32)+(AG81*Population!$B$11*Population!M$34)</f>
        <v>40.344399503610653</v>
      </c>
      <c r="AH82" s="14">
        <f>(AF81*Population!$B$12*Population!M$34)+(AH81*Population!$B$11*Population!M$36)</f>
        <v>39.764205720488214</v>
      </c>
      <c r="AI82" s="13">
        <f>(AG81*Population!$B$12*Population!M$34)+(AI81*Population!$B$11*Population!M$36)</f>
        <v>39.764205720488214</v>
      </c>
      <c r="AJ82" s="14">
        <f>(AH81*Population!$B$12*Population!M$36)+(AJ81*Population!$B$11*Population!M$38)</f>
        <v>39.155268213800184</v>
      </c>
      <c r="AK82" s="13">
        <f>(AI81*Population!$B$12*Population!M$36)+(AK81*Population!$B$11*Population!M$38)</f>
        <v>39.155268213800184</v>
      </c>
      <c r="AL82" s="14">
        <f>(AJ81*Population!$B$12*Population!M$38)+(AL81*Population!$B$11*Population!M$40)</f>
        <v>38.522823864671878</v>
      </c>
      <c r="AM82" s="13">
        <f>(AK81*Population!$B$12*Population!M$38)+(AM81*Population!$B$11*Population!M$40)</f>
        <v>38.522823864671878</v>
      </c>
      <c r="AN82" s="15">
        <f>(AL81+AM81)*Population!$B$12*Population!$M$40+AN81*Population!$B$11*Population!$M$42</f>
        <v>73.488952445788371</v>
      </c>
      <c r="AO82" s="5">
        <f>AN81*Population!M$42*Population!$B$12+AO81*Population!$B$11*Population!M$43</f>
        <v>69.855885927678372</v>
      </c>
      <c r="AP82" s="5">
        <f>AO81*Population!M$43*Population!$B$12+AP81*Population!$B$11*Population!M$44</f>
        <v>53.316655868088539</v>
      </c>
      <c r="AQ82" s="5">
        <f>(AP81*Population!$B$12+AQ81)*Population!M$45</f>
        <v>145.01170637326283</v>
      </c>
    </row>
    <row r="83" spans="1:43">
      <c r="A83">
        <f>A82+Population!$B$2</f>
        <v>80</v>
      </c>
      <c r="B83" s="4">
        <f t="shared" si="33"/>
        <v>986</v>
      </c>
      <c r="C83" s="59">
        <f t="shared" si="31"/>
        <v>384</v>
      </c>
      <c r="D83" s="12">
        <f>AC82*Population!$P$31*Population!$C$2+AE82*Population!$P$33*Population!$C$2+AG82*Population!$P$35*Population!$C$2+AI82*Population!$P$37*Population!$C$2+AK82*Population!$P$39*Population!$C$2+AM81*Population!$P$41*Population!$C$2</f>
        <v>13.391799202268203</v>
      </c>
      <c r="E83" s="12">
        <f>IF(B82&gt;Population!$B$6*Population!$B$15,Population!$B$8,IF(Population!$J$6=1,D83,Population!$B$8*Population!$B$6*0.9/B82))</f>
        <v>11.880918319076509</v>
      </c>
      <c r="F83" s="12">
        <f>IF(B82&gt;Population!$B$6*0.75,Population!$B$8,E83)</f>
        <v>11.880918319076509</v>
      </c>
      <c r="G83" s="15">
        <f>IF(Population!$J$6=1,IF(E83&gt;H82,H82,E83),IF(E83&gt;W82,W82,E83))</f>
        <v>11.880918319076509</v>
      </c>
      <c r="H83" s="15">
        <f t="shared" si="34"/>
        <v>198</v>
      </c>
      <c r="I83" s="15">
        <f t="shared" si="35"/>
        <v>248</v>
      </c>
      <c r="J83" s="12">
        <f t="shared" si="28"/>
        <v>1.2525252525252526</v>
      </c>
      <c r="K83" s="12">
        <f>Z83*Population!$O$28+AA83*Population!$O$29+AB83*Population!$O$30+AC83*Population!$O$31+AD83*Population!$O$32+AE83*Population!$O$33+AF83*Population!$O$34+AG83*Population!$O$35+AH83*Population!$O$36+AI83*Population!$O$37+AJ83*Population!$O$36+AK83*Population!$O$37+AL83*Population!$O$38+AM83*Population!$O$39+AN83*Population!$O$40+AO83*Population!$O$41+AP83*Population!$O$42+AQ83*Population!$O$43</f>
        <v>2.5270212416186508</v>
      </c>
      <c r="L83" s="12">
        <f t="shared" si="36"/>
        <v>6.0004637975133883E-2</v>
      </c>
      <c r="M83" s="12">
        <f t="shared" si="37"/>
        <v>5.7612270567796706</v>
      </c>
      <c r="N83" s="12">
        <f t="shared" si="29"/>
        <v>0.25152129817444219</v>
      </c>
      <c r="O83" s="12">
        <f t="shared" si="32"/>
        <v>388.17564072450767</v>
      </c>
      <c r="P83" s="12">
        <f t="shared" si="38"/>
        <v>174.91217963774616</v>
      </c>
      <c r="Q83" s="12">
        <f t="shared" si="39"/>
        <v>145.01170637326283</v>
      </c>
      <c r="R83" s="12">
        <f t="shared" si="40"/>
        <v>0.14697523952254879</v>
      </c>
      <c r="S83" s="12">
        <f t="shared" si="30"/>
        <v>0.88339484665528367</v>
      </c>
      <c r="T83" s="12">
        <f>Population!$B$13*MIN(X82:Y82)</f>
        <v>5.9439379535511918</v>
      </c>
      <c r="U83" s="12">
        <f>W82*Population!$B$14</f>
        <v>1.0492686936316691</v>
      </c>
      <c r="V83" s="12">
        <f>AM82*S82*Population!$B$12</f>
        <v>4.8606052274515568</v>
      </c>
      <c r="W83" s="12">
        <f t="shared" si="43"/>
        <v>174.91217963774616</v>
      </c>
      <c r="X83" s="14">
        <f t="shared" si="41"/>
        <v>23.779538468115931</v>
      </c>
      <c r="Y83" s="13">
        <f t="shared" si="42"/>
        <v>23.779538468115931</v>
      </c>
      <c r="Z83" s="18">
        <f>(G83+Population!$B$11*Z82)*Population!M$28</f>
        <v>82.930614640723888</v>
      </c>
      <c r="AA83" s="18">
        <f>Z82*Population!$B$12*Population!$M$28+AA82*Population!$B$11*Population!$M$29</f>
        <v>82.784790837410242</v>
      </c>
      <c r="AB83" s="14">
        <f>(AA82*Population!$B$12*0.5*Population!$M$29)+(AB82*Population!$B$11*Population!M$30)</f>
        <v>41.146515337749712</v>
      </c>
      <c r="AC83" s="13">
        <f>(AA82*Population!$B$12*0.5*Population!$M$29)+(AC82*Population!$B$11*Population!M$30)</f>
        <v>41.146515337749712</v>
      </c>
      <c r="AD83" s="14">
        <f>(AB82*Population!$B$12*Population!M$30)+(AD82*Population!$B$11*Population!M$32)</f>
        <v>40.86806216769223</v>
      </c>
      <c r="AE83" s="13">
        <f>(AC82*Population!$B$12*Population!M$30)+(AE82*Population!$B$11*Population!M$32)</f>
        <v>40.86806216769223</v>
      </c>
      <c r="AF83" s="14">
        <f>(AD82*Population!$B$12*Population!M$32)+(AF82*Population!$B$11*Population!M$34)</f>
        <v>40.347121891881855</v>
      </c>
      <c r="AG83" s="13">
        <f>(AE82*Population!$B$12*Population!M$32)+(AG82*Population!$B$11*Population!M$34)</f>
        <v>40.347121891881855</v>
      </c>
      <c r="AH83" s="14">
        <f>(AF82*Population!$B$12*Population!M$34)+(AH82*Population!$B$11*Population!M$36)</f>
        <v>39.770584132799002</v>
      </c>
      <c r="AI83" s="13">
        <f>(AG82*Population!$B$12*Population!M$34)+(AI82*Population!$B$11*Population!M$36)</f>
        <v>39.770584132799002</v>
      </c>
      <c r="AJ83" s="14">
        <f>(AH82*Population!$B$12*Population!M$36)+(AJ82*Population!$B$11*Population!M$38)</f>
        <v>39.166914148354714</v>
      </c>
      <c r="AK83" s="13">
        <f>(AI82*Population!$B$12*Population!M$36)+(AK82*Population!$B$11*Population!M$38)</f>
        <v>39.166914148354714</v>
      </c>
      <c r="AL83" s="14">
        <f>(AJ82*Population!$B$12*Population!M$38)+(AL82*Population!$B$11*Population!M$40)</f>
        <v>38.53903576513428</v>
      </c>
      <c r="AM83" s="13">
        <f>(AK82*Population!$B$12*Population!M$38)+(AM82*Population!$B$11*Population!M$40)</f>
        <v>38.53903576513428</v>
      </c>
      <c r="AN83" s="15">
        <f>(AL82+AM82)*Population!$B$12*Population!$M$40+AN82*Population!$B$11*Population!$M$42</f>
        <v>73.519237904148838</v>
      </c>
      <c r="AO83" s="5">
        <f>AN82*Population!M$42*Population!$B$12+AO82*Population!$B$11*Population!M$43</f>
        <v>69.864677438396086</v>
      </c>
      <c r="AP83" s="5">
        <f>AO82*Population!M$43*Population!$B$12+AP82*Population!$B$11*Population!M$44</f>
        <v>53.298288748071279</v>
      </c>
      <c r="AQ83" s="5">
        <f>(AP82*Population!$B$12+AQ82)*Population!M$45</f>
        <v>144.91758616923312</v>
      </c>
    </row>
    <row r="84" spans="1:43">
      <c r="A84">
        <f>A83+Population!$B$2</f>
        <v>81</v>
      </c>
      <c r="B84" s="4">
        <f t="shared" si="33"/>
        <v>986</v>
      </c>
      <c r="C84" s="59">
        <f t="shared" si="31"/>
        <v>384</v>
      </c>
      <c r="D84" s="12">
        <f>AC83*Population!$P$31*Population!$C$2+AE83*Population!$P$33*Population!$C$2+AG83*Population!$P$35*Population!$C$2+AI83*Population!$P$37*Population!$C$2+AK83*Population!$P$39*Population!$C$2+AM82*Population!$P$41*Population!$C$2</f>
        <v>13.3935081873596</v>
      </c>
      <c r="E84" s="12">
        <f>IF(B83&gt;Population!$B$6*Population!$B$15,Population!$B$8,IF(Population!$J$6=1,D84,Population!$B$8*Population!$B$6*0.9/B83))</f>
        <v>11.880918319076509</v>
      </c>
      <c r="F84" s="12">
        <f>IF(B83&gt;Population!$B$6*0.75,Population!$B$8,E84)</f>
        <v>11.880918319076509</v>
      </c>
      <c r="G84" s="15">
        <f>IF(Population!$J$6=1,IF(E84&gt;H83,H83,E84),IF(E84&gt;W83,W83,E84))</f>
        <v>11.880918319076509</v>
      </c>
      <c r="H84" s="15">
        <f t="shared" si="34"/>
        <v>198</v>
      </c>
      <c r="I84" s="15">
        <f t="shared" si="35"/>
        <v>248</v>
      </c>
      <c r="J84" s="12">
        <f t="shared" si="28"/>
        <v>1.2525252525252526</v>
      </c>
      <c r="K84" s="12">
        <f>Z84*Population!$O$28+AA84*Population!$O$29+AB84*Population!$O$30+AC84*Population!$O$31+AD84*Population!$O$32+AE84*Population!$O$33+AF84*Population!$O$34+AG84*Population!$O$35+AH84*Population!$O$36+AI84*Population!$O$37+AJ84*Population!$O$36+AK84*Population!$O$37+AL84*Population!$O$38+AM84*Population!$O$39+AN84*Population!$O$40+AO84*Population!$O$41+AP84*Population!$O$42+AQ84*Population!$O$43</f>
        <v>2.5264720551871545</v>
      </c>
      <c r="L84" s="12">
        <f t="shared" si="36"/>
        <v>6.0004637975133883E-2</v>
      </c>
      <c r="M84" s="12">
        <f t="shared" si="37"/>
        <v>5.7616601539611434</v>
      </c>
      <c r="N84" s="12">
        <f t="shared" si="29"/>
        <v>0.25152129817444219</v>
      </c>
      <c r="O84" s="12">
        <f t="shared" si="32"/>
        <v>388.11201352895506</v>
      </c>
      <c r="P84" s="12">
        <f t="shared" si="38"/>
        <v>174.94399323552247</v>
      </c>
      <c r="Q84" s="12">
        <f t="shared" si="39"/>
        <v>144.91758616923312</v>
      </c>
      <c r="R84" s="12">
        <f t="shared" si="40"/>
        <v>0.14688207870360229</v>
      </c>
      <c r="S84" s="12">
        <f t="shared" si="30"/>
        <v>0.8835555213915276</v>
      </c>
      <c r="T84" s="12">
        <f>Population!$B$13*MIN(X83:Y83)</f>
        <v>5.9448846170289826</v>
      </c>
      <c r="U84" s="12">
        <f>W83*Population!$B$14</f>
        <v>1.0494730778264769</v>
      </c>
      <c r="V84" s="12">
        <f>AM83*S83*Population!$B$12</f>
        <v>4.8635979414261845</v>
      </c>
      <c r="W84" s="12">
        <f t="shared" si="43"/>
        <v>174.94399323552247</v>
      </c>
      <c r="X84" s="14">
        <f t="shared" si="41"/>
        <v>23.783222172287878</v>
      </c>
      <c r="Y84" s="13">
        <f t="shared" si="42"/>
        <v>23.783222172287878</v>
      </c>
      <c r="Z84" s="18">
        <f>(G84+Population!$B$11*Z83)*Population!M$28</f>
        <v>82.930618790107332</v>
      </c>
      <c r="AA84" s="18">
        <f>Z83*Population!$B$12*Population!$M$28+AA83*Population!$B$11*Population!$M$29</f>
        <v>82.784847195430103</v>
      </c>
      <c r="AB84" s="14">
        <f>(AA83*Population!$B$12*0.5*Population!$M$29)+(AB83*Population!$B$11*Population!M$30)</f>
        <v>41.146699768790427</v>
      </c>
      <c r="AC84" s="13">
        <f>(AA83*Population!$B$12*0.5*Population!$M$29)+(AC83*Population!$B$11*Population!M$30)</f>
        <v>41.146699768790427</v>
      </c>
      <c r="AD84" s="14">
        <f>(AB83*Population!$B$12*Population!M$30)+(AD83*Population!$B$11*Population!M$32)</f>
        <v>40.868856019330195</v>
      </c>
      <c r="AE84" s="13">
        <f>(AC83*Population!$B$12*Population!M$30)+(AE83*Population!$B$11*Population!M$32)</f>
        <v>40.868856019330195</v>
      </c>
      <c r="AF84" s="14">
        <f>(AD83*Population!$B$12*Population!M$32)+(AF83*Population!$B$11*Population!M$34)</f>
        <v>40.34957820164901</v>
      </c>
      <c r="AG84" s="13">
        <f>(AE83*Population!$B$12*Population!M$32)+(AG83*Population!$B$11*Population!M$34)</f>
        <v>40.34957820164901</v>
      </c>
      <c r="AH84" s="14">
        <f>(AF83*Population!$B$12*Population!M$34)+(AH83*Population!$B$11*Population!M$36)</f>
        <v>39.776429012204801</v>
      </c>
      <c r="AI84" s="13">
        <f>(AG83*Population!$B$12*Population!M$34)+(AI83*Population!$B$11*Population!M$36)</f>
        <v>39.776429012204801</v>
      </c>
      <c r="AJ84" s="14">
        <f>(AH83*Population!$B$12*Population!M$36)+(AJ83*Population!$B$11*Population!M$38)</f>
        <v>39.177786664343323</v>
      </c>
      <c r="AK84" s="13">
        <f>(AI83*Population!$B$12*Population!M$36)+(AK83*Population!$B$11*Population!M$38)</f>
        <v>39.177786664343323</v>
      </c>
      <c r="AL84" s="14">
        <f>(AJ83*Population!$B$12*Population!M$38)+(AL83*Population!$B$11*Population!M$40)</f>
        <v>38.554565510283034</v>
      </c>
      <c r="AM84" s="13">
        <f>(AK83*Population!$B$12*Population!M$38)+(AM83*Population!$B$11*Population!M$40)</f>
        <v>38.554565510283034</v>
      </c>
      <c r="AN84" s="15">
        <f>(AL83+AM83)*Population!$B$12*Population!$M$40+AN83*Population!$B$11*Population!$M$42</f>
        <v>73.549631744141863</v>
      </c>
      <c r="AO84" s="5">
        <f>AN83*Population!M$42*Population!$B$12+AO83*Population!$B$11*Population!M$43</f>
        <v>69.876453513021431</v>
      </c>
      <c r="AP84" s="5">
        <f>AO83*Population!M$43*Population!$B$12+AP83*Population!$B$11*Population!M$44</f>
        <v>53.284587675725717</v>
      </c>
      <c r="AQ84" s="5">
        <f>(AP83*Population!$B$12+AQ83)*Population!M$45</f>
        <v>144.82572960175185</v>
      </c>
    </row>
    <row r="85" spans="1:43">
      <c r="A85">
        <f>A84+Population!$B$2</f>
        <v>82</v>
      </c>
      <c r="B85" s="4">
        <f t="shared" si="33"/>
        <v>987</v>
      </c>
      <c r="C85" s="59">
        <f t="shared" si="31"/>
        <v>385</v>
      </c>
      <c r="D85" s="12">
        <f>AC84*Population!$P$31*Population!$C$2+AE84*Population!$P$33*Population!$C$2+AG84*Population!$P$35*Population!$C$2+AI84*Population!$P$37*Population!$C$2+AK84*Population!$P$39*Population!$C$2+AM83*Population!$P$41*Population!$C$2</f>
        <v>13.395096212200528</v>
      </c>
      <c r="E85" s="12">
        <f>IF(B84&gt;Population!$B$6*Population!$B$15,Population!$B$8,IF(Population!$J$6=1,D85,Population!$B$8*Population!$B$6*0.9/B84))</f>
        <v>11.880918319076509</v>
      </c>
      <c r="F85" s="12">
        <f>IF(B84&gt;Population!$B$6*0.75,Population!$B$8,E85)</f>
        <v>11.880918319076509</v>
      </c>
      <c r="G85" s="15">
        <f>IF(Population!$J$6=1,IF(E85&gt;H84,H84,E85),IF(E85&gt;W84,W84,E85))</f>
        <v>11.880918319076509</v>
      </c>
      <c r="H85" s="15">
        <f t="shared" si="34"/>
        <v>198</v>
      </c>
      <c r="I85" s="15">
        <f t="shared" si="35"/>
        <v>248</v>
      </c>
      <c r="J85" s="12">
        <f t="shared" si="28"/>
        <v>1.2525252525252526</v>
      </c>
      <c r="K85" s="12">
        <f>Z85*Population!$O$28+AA85*Population!$O$29+AB85*Population!$O$30+AC85*Population!$O$31+AD85*Population!$O$32+AE85*Population!$O$33+AF85*Population!$O$34+AG85*Population!$O$35+AH85*Population!$O$36+AI85*Population!$O$37+AJ85*Population!$O$36+AK85*Population!$O$37+AL85*Population!$O$38+AM85*Population!$O$39+AN85*Population!$O$40+AO85*Population!$O$41+AP85*Population!$O$42+AQ85*Population!$O$43</f>
        <v>2.5259698132101351</v>
      </c>
      <c r="L85" s="12">
        <f t="shared" si="36"/>
        <v>6.0004637975133883E-2</v>
      </c>
      <c r="M85" s="12">
        <f t="shared" si="37"/>
        <v>5.7620540248451579</v>
      </c>
      <c r="N85" s="12">
        <f t="shared" si="29"/>
        <v>0.25126646403242148</v>
      </c>
      <c r="O85" s="12">
        <f t="shared" si="32"/>
        <v>389.05261585634076</v>
      </c>
      <c r="P85" s="12">
        <f t="shared" si="38"/>
        <v>174.97369207182962</v>
      </c>
      <c r="Q85" s="12">
        <f t="shared" si="39"/>
        <v>144.82572960175185</v>
      </c>
      <c r="R85" s="12">
        <f t="shared" si="40"/>
        <v>0.14664301440183056</v>
      </c>
      <c r="S85" s="12">
        <f t="shared" si="30"/>
        <v>0.883705515514291</v>
      </c>
      <c r="T85" s="12">
        <f>Population!$B$13*MIN(X84:Y84)</f>
        <v>5.9458055430719696</v>
      </c>
      <c r="U85" s="12">
        <f>W84*Population!$B$14</f>
        <v>1.049663959413135</v>
      </c>
      <c r="V85" s="12">
        <f>AM84*S84*Population!$B$12</f>
        <v>4.8664427473517051</v>
      </c>
      <c r="W85" s="12">
        <f t="shared" si="43"/>
        <v>174.97369207182962</v>
      </c>
      <c r="X85" s="14">
        <f t="shared" si="41"/>
        <v>23.786765297512375</v>
      </c>
      <c r="Y85" s="13">
        <f t="shared" si="42"/>
        <v>23.786765297512375</v>
      </c>
      <c r="Z85" s="18">
        <f>(G85+Population!$B$11*Z84)*Population!M$28</f>
        <v>82.930622345277726</v>
      </c>
      <c r="AA85" s="18">
        <f>Z84*Population!$B$12*Population!$M$28+AA84*Population!$B$11*Population!$M$29</f>
        <v>82.784896083963631</v>
      </c>
      <c r="AB85" s="14">
        <f>(AA84*Population!$B$12*0.5*Population!$M$29)+(AB84*Population!$B$11*Population!M$30)</f>
        <v>41.146861726552892</v>
      </c>
      <c r="AC85" s="13">
        <f>(AA84*Population!$B$12*0.5*Population!$M$29)+(AC84*Population!$B$11*Population!M$30)</f>
        <v>41.146861726552892</v>
      </c>
      <c r="AD85" s="14">
        <f>(AB84*Population!$B$12*Population!M$30)+(AD84*Population!$B$11*Population!M$32)</f>
        <v>40.869562137310496</v>
      </c>
      <c r="AE85" s="13">
        <f>(AC84*Population!$B$12*Population!M$30)+(AE84*Population!$B$11*Population!M$32)</f>
        <v>40.869562137310496</v>
      </c>
      <c r="AF85" s="14">
        <f>(AD84*Population!$B$12*Population!M$32)+(AF84*Population!$B$11*Population!M$34)</f>
        <v>40.3517928669364</v>
      </c>
      <c r="AG85" s="13">
        <f>(AE84*Population!$B$12*Population!M$32)+(AG84*Population!$B$11*Population!M$34)</f>
        <v>40.3517928669364</v>
      </c>
      <c r="AH85" s="14">
        <f>(AF84*Population!$B$12*Population!M$34)+(AH84*Population!$B$11*Population!M$36)</f>
        <v>39.781779517501434</v>
      </c>
      <c r="AI85" s="13">
        <f>(AG84*Population!$B$12*Population!M$34)+(AI84*Population!$B$11*Population!M$36)</f>
        <v>39.781779517501434</v>
      </c>
      <c r="AJ85" s="14">
        <f>(AH84*Population!$B$12*Population!M$36)+(AJ84*Population!$B$11*Population!M$38)</f>
        <v>39.187921450312579</v>
      </c>
      <c r="AK85" s="13">
        <f>(AI84*Population!$B$12*Population!M$36)+(AK84*Population!$B$11*Population!M$38)</f>
        <v>39.187921450312579</v>
      </c>
      <c r="AL85" s="14">
        <f>(AJ84*Population!$B$12*Population!M$38)+(AL84*Population!$B$11*Population!M$40)</f>
        <v>38.569401397281077</v>
      </c>
      <c r="AM85" s="13">
        <f>(AK84*Population!$B$12*Population!M$38)+(AM84*Population!$B$11*Population!M$40)</f>
        <v>38.569401397281077</v>
      </c>
      <c r="AN85" s="15">
        <f>(AL84+AM84)*Population!$B$12*Population!$M$40+AN84*Population!$B$11*Population!$M$42</f>
        <v>73.579923281855372</v>
      </c>
      <c r="AO85" s="5">
        <f>AN84*Population!M$42*Population!$B$12+AO84*Population!$B$11*Population!M$43</f>
        <v>69.890784609186994</v>
      </c>
      <c r="AP85" s="5">
        <f>AO84*Population!M$43*Population!$B$12+AP84*Population!$B$11*Population!M$44</f>
        <v>53.27510729473434</v>
      </c>
      <c r="AQ85" s="5">
        <f>(AP84*Population!$B$12+AQ84)*Population!M$45</f>
        <v>144.73665521460677</v>
      </c>
    </row>
    <row r="86" spans="1:43">
      <c r="A86">
        <f>A85+Population!$B$2</f>
        <v>83</v>
      </c>
      <c r="B86" s="4">
        <f t="shared" si="33"/>
        <v>987</v>
      </c>
      <c r="C86" s="59">
        <f t="shared" si="31"/>
        <v>385</v>
      </c>
      <c r="D86" s="12">
        <f>AC85*Population!$P$31*Population!$C$2+AE85*Population!$P$33*Population!$C$2+AG85*Population!$P$35*Population!$C$2+AI85*Population!$P$37*Population!$C$2+AK85*Population!$P$39*Population!$C$2+AM84*Population!$P$41*Population!$C$2</f>
        <v>13.39657030048976</v>
      </c>
      <c r="E86" s="12">
        <f>IF(B85&gt;Population!$B$6*Population!$B$15,Population!$B$8,IF(Population!$J$6=1,D86,Population!$B$8*Population!$B$6*0.9/B85))</f>
        <v>11.880918319076509</v>
      </c>
      <c r="F86" s="12">
        <f>IF(B85&gt;Population!$B$6*0.75,Population!$B$8,E86)</f>
        <v>11.880918319076509</v>
      </c>
      <c r="G86" s="15">
        <f>IF(Population!$J$6=1,IF(E86&gt;H85,H85,E86),IF(E86&gt;W85,W85,E86))</f>
        <v>11.880918319076509</v>
      </c>
      <c r="H86" s="15">
        <f t="shared" si="34"/>
        <v>198</v>
      </c>
      <c r="I86" s="15">
        <f t="shared" si="35"/>
        <v>248</v>
      </c>
      <c r="J86" s="12">
        <f t="shared" si="28"/>
        <v>1.2525252525252526</v>
      </c>
      <c r="K86" s="12">
        <f>Z86*Population!$O$28+AA86*Population!$O$29+AB86*Population!$O$30+AC86*Population!$O$31+AD86*Population!$O$32+AE86*Population!$O$33+AF86*Population!$O$34+AG86*Population!$O$35+AH86*Population!$O$36+AI86*Population!$O$37+AJ86*Population!$O$36+AK86*Population!$O$37+AL86*Population!$O$38+AM86*Population!$O$39+AN86*Population!$O$40+AO86*Population!$O$41+AP86*Population!$O$42+AQ86*Population!$O$43</f>
        <v>2.5255138391699363</v>
      </c>
      <c r="L86" s="12">
        <f t="shared" si="36"/>
        <v>6.0004637975133883E-2</v>
      </c>
      <c r="M86" s="12">
        <f t="shared" si="37"/>
        <v>5.7624119446045805</v>
      </c>
      <c r="N86" s="12">
        <f t="shared" si="29"/>
        <v>0.25126646403242148</v>
      </c>
      <c r="O86" s="12">
        <f t="shared" si="32"/>
        <v>388.99720115383565</v>
      </c>
      <c r="P86" s="12">
        <f t="shared" si="38"/>
        <v>175.00139942308218</v>
      </c>
      <c r="Q86" s="12">
        <f t="shared" si="39"/>
        <v>144.73665521460677</v>
      </c>
      <c r="R86" s="12">
        <f t="shared" si="40"/>
        <v>0.14655602324885775</v>
      </c>
      <c r="S86" s="12">
        <f t="shared" si="30"/>
        <v>0.88384545163172812</v>
      </c>
      <c r="T86" s="12">
        <f>Population!$B$13*MIN(X85:Y85)</f>
        <v>5.9466913243780937</v>
      </c>
      <c r="U86" s="12">
        <f>W85*Population!$B$14</f>
        <v>1.0498421524309778</v>
      </c>
      <c r="V86" s="12">
        <f>AM85*S85*Population!$B$12</f>
        <v>4.8691418206945549</v>
      </c>
      <c r="W86" s="12">
        <f t="shared" si="43"/>
        <v>175.00139942308218</v>
      </c>
      <c r="X86" s="14">
        <f t="shared" si="41"/>
        <v>23.79014453765879</v>
      </c>
      <c r="Y86" s="13">
        <f t="shared" si="42"/>
        <v>23.79014453765879</v>
      </c>
      <c r="Z86" s="18">
        <f>(G86+Population!$B$11*Z85)*Population!M$28</f>
        <v>82.930625391329443</v>
      </c>
      <c r="AA86" s="18">
        <f>Z85*Population!$B$12*Population!$M$28+AA85*Population!$B$11*Population!$M$29</f>
        <v>82.784938486667727</v>
      </c>
      <c r="AB86" s="14">
        <f>(AA85*Population!$B$12*0.5*Population!$M$29)+(AB85*Population!$B$11*Population!M$30)</f>
        <v>41.147003906448191</v>
      </c>
      <c r="AC86" s="13">
        <f>(AA85*Population!$B$12*0.5*Population!$M$29)+(AC85*Population!$B$11*Population!M$30)</f>
        <v>41.147003906448191</v>
      </c>
      <c r="AD86" s="14">
        <f>(AB85*Population!$B$12*Population!M$30)+(AD85*Population!$B$11*Population!M$32)</f>
        <v>40.870189919269905</v>
      </c>
      <c r="AE86" s="13">
        <f>(AC85*Population!$B$12*Population!M$30)+(AE85*Population!$B$11*Population!M$32)</f>
        <v>40.870189919269905</v>
      </c>
      <c r="AF86" s="14">
        <f>(AD85*Population!$B$12*Population!M$32)+(AF85*Population!$B$11*Population!M$34)</f>
        <v>40.353788284626425</v>
      </c>
      <c r="AG86" s="13">
        <f>(AE85*Population!$B$12*Population!M$32)+(AG85*Population!$B$11*Population!M$34)</f>
        <v>40.353788284626425</v>
      </c>
      <c r="AH86" s="14">
        <f>(AF85*Population!$B$12*Population!M$34)+(AH85*Population!$B$11*Population!M$36)</f>
        <v>39.786672632799842</v>
      </c>
      <c r="AI86" s="13">
        <f>(AG85*Population!$B$12*Population!M$34)+(AI85*Population!$B$11*Population!M$36)</f>
        <v>39.786672632799842</v>
      </c>
      <c r="AJ86" s="14">
        <f>(AH85*Population!$B$12*Population!M$36)+(AJ85*Population!$B$11*Population!M$38)</f>
        <v>39.197354621085104</v>
      </c>
      <c r="AK86" s="13">
        <f>(AI85*Population!$B$12*Population!M$36)+(AK85*Population!$B$11*Population!M$38)</f>
        <v>39.197354621085104</v>
      </c>
      <c r="AL86" s="14">
        <f>(AJ85*Population!$B$12*Population!M$38)+(AL85*Population!$B$11*Population!M$40)</f>
        <v>38.583538502959676</v>
      </c>
      <c r="AM86" s="13">
        <f>(AK85*Population!$B$12*Population!M$38)+(AM85*Population!$B$11*Population!M$40)</f>
        <v>38.583538502959676</v>
      </c>
      <c r="AN86" s="15">
        <f>(AL85+AM85)*Population!$B$12*Population!$M$40+AN85*Population!$B$11*Population!$M$42</f>
        <v>73.609929903081166</v>
      </c>
      <c r="AO86" s="5">
        <f>AN85*Population!M$42*Population!$B$12+AO85*Population!$B$11*Population!M$43</f>
        <v>69.907275337526329</v>
      </c>
      <c r="AP86" s="5">
        <f>AO85*Population!M$43*Population!$B$12+AP85*Population!$B$11*Population!M$44</f>
        <v>53.269424237999516</v>
      </c>
      <c r="AQ86" s="5">
        <f>(AP85*Population!$B$12+AQ85)*Population!M$45</f>
        <v>144.6507949466226</v>
      </c>
    </row>
    <row r="87" spans="1:43">
      <c r="A87">
        <f>A86+Population!$B$2</f>
        <v>84</v>
      </c>
      <c r="B87" s="4">
        <f t="shared" si="33"/>
        <v>987</v>
      </c>
      <c r="C87" s="59">
        <f t="shared" si="31"/>
        <v>385</v>
      </c>
      <c r="D87" s="12">
        <f>AC86*Population!$P$31*Population!$C$2+AE86*Population!$P$33*Population!$C$2+AG86*Population!$P$35*Population!$C$2+AI86*Population!$P$37*Population!$C$2+AK86*Population!$P$39*Population!$C$2+AM85*Population!$P$41*Population!$C$2</f>
        <v>13.397937245039262</v>
      </c>
      <c r="E87" s="12">
        <f>IF(B86&gt;Population!$B$6*Population!$B$15,Population!$B$8,IF(Population!$J$6=1,D87,Population!$B$8*Population!$B$6*0.9/B86))</f>
        <v>11.880918319076509</v>
      </c>
      <c r="F87" s="12">
        <f>IF(B86&gt;Population!$B$6*0.75,Population!$B$8,E87)</f>
        <v>11.880918319076509</v>
      </c>
      <c r="G87" s="15">
        <f>IF(Population!$J$6=1,IF(E87&gt;H86,H86,E87),IF(E87&gt;W86,W86,E87))</f>
        <v>11.880918319076509</v>
      </c>
      <c r="H87" s="15">
        <f t="shared" si="34"/>
        <v>198</v>
      </c>
      <c r="I87" s="15">
        <f t="shared" si="35"/>
        <v>248</v>
      </c>
      <c r="J87" s="12">
        <f t="shared" si="28"/>
        <v>1.2525252525252526</v>
      </c>
      <c r="K87" s="12">
        <f>Z87*Population!$O$28+AA87*Population!$O$29+AB87*Population!$O$30+AC87*Population!$O$31+AD87*Population!$O$32+AE87*Population!$O$33+AF87*Population!$O$34+AG87*Population!$O$35+AH87*Population!$O$36+AI87*Population!$O$37+AJ87*Population!$O$36+AK87*Population!$O$37+AL87*Population!$O$38+AM87*Population!$O$39+AN87*Population!$O$40+AO87*Population!$O$41+AP87*Population!$O$42+AQ87*Population!$O$43</f>
        <v>2.525103164581306</v>
      </c>
      <c r="L87" s="12">
        <f t="shared" si="36"/>
        <v>6.0004637975133883E-2</v>
      </c>
      <c r="M87" s="12">
        <f t="shared" si="37"/>
        <v>5.7627369497657961</v>
      </c>
      <c r="N87" s="12">
        <f t="shared" si="29"/>
        <v>0.25126646403242148</v>
      </c>
      <c r="O87" s="12">
        <f t="shared" si="32"/>
        <v>388.94554139628281</v>
      </c>
      <c r="P87" s="12">
        <f t="shared" si="38"/>
        <v>175.0272293018586</v>
      </c>
      <c r="Q87" s="12">
        <f t="shared" si="39"/>
        <v>144.6507949466226</v>
      </c>
      <c r="R87" s="12">
        <f t="shared" si="40"/>
        <v>0.14647264588608053</v>
      </c>
      <c r="S87" s="12">
        <f t="shared" si="30"/>
        <v>0.88397590556494243</v>
      </c>
      <c r="T87" s="12">
        <f>Population!$B$13*MIN(X86:Y86)</f>
        <v>5.9475361344146975</v>
      </c>
      <c r="U87" s="12">
        <f>W86*Population!$B$14</f>
        <v>1.050008396538493</v>
      </c>
      <c r="V87" s="12">
        <f>AM86*S86*Population!$B$12</f>
        <v>4.8716978590997941</v>
      </c>
      <c r="W87" s="12">
        <f t="shared" si="43"/>
        <v>175.0272293018586</v>
      </c>
      <c r="X87" s="14">
        <f t="shared" si="41"/>
        <v>23.793346754228423</v>
      </c>
      <c r="Y87" s="13">
        <f t="shared" si="42"/>
        <v>23.793346754228423</v>
      </c>
      <c r="Z87" s="18">
        <f>(G87+Population!$B$11*Z86)*Population!M$28</f>
        <v>82.930628001170874</v>
      </c>
      <c r="AA87" s="18">
        <f>Z86*Population!$B$12*Population!$M$28+AA86*Population!$B$11*Population!$M$29</f>
        <v>82.784975258638568</v>
      </c>
      <c r="AB87" s="14">
        <f>(AA86*Population!$B$12*0.5*Population!$M$29)+(AB86*Population!$B$11*Population!M$30)</f>
        <v>41.147128686872321</v>
      </c>
      <c r="AC87" s="13">
        <f>(AA86*Population!$B$12*0.5*Population!$M$29)+(AC86*Population!$B$11*Population!M$30)</f>
        <v>41.147128686872321</v>
      </c>
      <c r="AD87" s="14">
        <f>(AB86*Population!$B$12*Population!M$30)+(AD86*Population!$B$11*Population!M$32)</f>
        <v>40.870747797340911</v>
      </c>
      <c r="AE87" s="13">
        <f>(AC86*Population!$B$12*Population!M$30)+(AE86*Population!$B$11*Population!M$32)</f>
        <v>40.870747797340911</v>
      </c>
      <c r="AF87" s="14">
        <f>(AD86*Population!$B$12*Population!M$32)+(AF86*Population!$B$11*Population!M$34)</f>
        <v>40.355584956428075</v>
      </c>
      <c r="AG87" s="13">
        <f>(AE86*Population!$B$12*Population!M$32)+(AG86*Population!$B$11*Population!M$34)</f>
        <v>40.355584956428075</v>
      </c>
      <c r="AH87" s="14">
        <f>(AF86*Population!$B$12*Population!M$34)+(AH86*Population!$B$11*Population!M$36)</f>
        <v>39.791143191312734</v>
      </c>
      <c r="AI87" s="13">
        <f>(AG86*Population!$B$12*Population!M$34)+(AI86*Population!$B$11*Population!M$36)</f>
        <v>39.791143191312734</v>
      </c>
      <c r="AJ87" s="14">
        <f>(AH86*Population!$B$12*Population!M$36)+(AJ86*Population!$B$11*Population!M$38)</f>
        <v>39.206122346088655</v>
      </c>
      <c r="AK87" s="13">
        <f>(AI86*Population!$B$12*Population!M$36)+(AK86*Population!$B$11*Population!M$38)</f>
        <v>39.206122346088655</v>
      </c>
      <c r="AL87" s="14">
        <f>(AJ86*Population!$B$12*Population!M$38)+(AL86*Population!$B$11*Population!M$40)</f>
        <v>38.596977764916659</v>
      </c>
      <c r="AM87" s="13">
        <f>(AK86*Population!$B$12*Population!M$38)+(AM86*Population!$B$11*Population!M$40)</f>
        <v>38.596977764916659</v>
      </c>
      <c r="AN87" s="15">
        <f>(AL86+AM86)*Population!$B$12*Population!$M$40+AN86*Population!$B$11*Population!$M$42</f>
        <v>73.639494812253005</v>
      </c>
      <c r="AO87" s="5">
        <f>AN86*Population!M$42*Population!$B$12+AO86*Population!$B$11*Population!M$43</f>
        <v>69.925563351322779</v>
      </c>
      <c r="AP87" s="5">
        <f>AO86*Population!M$43*Population!$B$12+AP86*Population!$B$11*Population!M$44</f>
        <v>53.267137877757712</v>
      </c>
      <c r="AQ87" s="5">
        <f>(AP86*Population!$B$12+AQ86)*Population!M$45</f>
        <v>144.56850148956147</v>
      </c>
    </row>
    <row r="88" spans="1:43">
      <c r="A88">
        <f>A87+Population!$B$2</f>
        <v>85</v>
      </c>
      <c r="B88" s="4">
        <f t="shared" si="33"/>
        <v>987</v>
      </c>
      <c r="C88" s="59">
        <f t="shared" si="31"/>
        <v>385</v>
      </c>
      <c r="D88" s="12">
        <f>AC87*Population!$P$31*Population!$C$2+AE87*Population!$P$33*Population!$C$2+AG87*Population!$P$35*Population!$C$2+AI87*Population!$P$37*Population!$C$2+AK87*Population!$P$39*Population!$C$2+AM86*Population!$P$41*Population!$C$2</f>
        <v>13.399203592032061</v>
      </c>
      <c r="E88" s="12">
        <f>IF(B87&gt;Population!$B$6*Population!$B$15,Population!$B$8,IF(Population!$J$6=1,D88,Population!$B$8*Population!$B$6*0.9/B87))</f>
        <v>11.880918319076509</v>
      </c>
      <c r="F88" s="12">
        <f>IF(B87&gt;Population!$B$6*0.75,Population!$B$8,E88)</f>
        <v>11.880918319076509</v>
      </c>
      <c r="G88" s="15">
        <f>IF(Population!$J$6=1,IF(E88&gt;H87,H87,E88),IF(E88&gt;W87,W87,E88))</f>
        <v>11.880918319076509</v>
      </c>
      <c r="H88" s="15">
        <f t="shared" si="34"/>
        <v>198</v>
      </c>
      <c r="I88" s="15">
        <f t="shared" si="35"/>
        <v>248</v>
      </c>
      <c r="J88" s="12">
        <f t="shared" si="28"/>
        <v>1.2525252525252526</v>
      </c>
      <c r="K88" s="12">
        <f>Z88*Population!$O$28+AA88*Population!$O$29+AB88*Population!$O$30+AC88*Population!$O$31+AD88*Population!$O$32+AE88*Population!$O$33+AF88*Population!$O$34+AG88*Population!$O$35+AH88*Population!$O$36+AI88*Population!$O$37+AJ88*Population!$O$36+AK88*Population!$O$37+AL88*Population!$O$38+AM88*Population!$O$39+AN88*Population!$O$40+AO88*Population!$O$41+AP88*Population!$O$42+AQ88*Population!$O$43</f>
        <v>2.5247365735553498</v>
      </c>
      <c r="L88" s="12">
        <f t="shared" si="36"/>
        <v>6.0004637975133883E-2</v>
      </c>
      <c r="M88" s="12">
        <f t="shared" si="37"/>
        <v>5.7630318510718288</v>
      </c>
      <c r="N88" s="12">
        <f t="shared" si="29"/>
        <v>0.25126646403242148</v>
      </c>
      <c r="O88" s="12">
        <f t="shared" si="32"/>
        <v>388.8974228770229</v>
      </c>
      <c r="P88" s="12">
        <f t="shared" si="38"/>
        <v>175.05128856148855</v>
      </c>
      <c r="Q88" s="12">
        <f t="shared" si="39"/>
        <v>144.56850148956147</v>
      </c>
      <c r="R88" s="12">
        <f t="shared" si="40"/>
        <v>0.14639316654108195</v>
      </c>
      <c r="S88" s="12">
        <f t="shared" si="30"/>
        <v>0.88409741697721489</v>
      </c>
      <c r="T88" s="12">
        <f>Population!$B$13*MIN(X87:Y87)</f>
        <v>5.9483366885571058</v>
      </c>
      <c r="U88" s="12">
        <f>W87*Population!$B$14</f>
        <v>1.0501633758111517</v>
      </c>
      <c r="V88" s="12">
        <f>AM87*S87*Population!$B$12</f>
        <v>4.8741140531160214</v>
      </c>
      <c r="W88" s="12">
        <f t="shared" si="43"/>
        <v>175.05128856148855</v>
      </c>
      <c r="X88" s="14">
        <f t="shared" si="41"/>
        <v>23.796365988208805</v>
      </c>
      <c r="Y88" s="13">
        <f t="shared" si="42"/>
        <v>23.796365988208805</v>
      </c>
      <c r="Z88" s="18">
        <f>(G88+Population!$B$11*Z87)*Population!M$28</f>
        <v>82.930630237269597</v>
      </c>
      <c r="AA88" s="18">
        <f>Z87*Population!$B$12*Population!$M$28+AA87*Population!$B$11*Population!$M$29</f>
        <v>82.785007143062089</v>
      </c>
      <c r="AB88" s="14">
        <f>(AA87*Population!$B$12*0.5*Population!$M$29)+(AB87*Population!$B$11*Population!M$30)</f>
        <v>41.147238165572162</v>
      </c>
      <c r="AC88" s="13">
        <f>(AA87*Population!$B$12*0.5*Population!$M$29)+(AC87*Population!$B$11*Population!M$30)</f>
        <v>41.147238165572162</v>
      </c>
      <c r="AD88" s="14">
        <f>(AB87*Population!$B$12*Population!M$30)+(AD87*Population!$B$11*Population!M$32)</f>
        <v>40.871243331624861</v>
      </c>
      <c r="AE88" s="13">
        <f>(AC87*Population!$B$12*Population!M$30)+(AE87*Population!$B$11*Population!M$32)</f>
        <v>40.871243331624861</v>
      </c>
      <c r="AF88" s="14">
        <f>(AD87*Population!$B$12*Population!M$32)+(AF87*Population!$B$11*Population!M$34)</f>
        <v>40.357201624937204</v>
      </c>
      <c r="AG88" s="13">
        <f>(AE87*Population!$B$12*Population!M$32)+(AG87*Population!$B$11*Population!M$34)</f>
        <v>40.357201624937204</v>
      </c>
      <c r="AH88" s="14">
        <f>(AF87*Population!$B$12*Population!M$34)+(AH87*Population!$B$11*Population!M$36)</f>
        <v>39.795223915946323</v>
      </c>
      <c r="AI88" s="13">
        <f>(AG87*Population!$B$12*Population!M$34)+(AI87*Population!$B$11*Population!M$36)</f>
        <v>39.795223915946323</v>
      </c>
      <c r="AJ88" s="14">
        <f>(AH87*Population!$B$12*Population!M$36)+(AJ87*Population!$B$11*Population!M$38)</f>
        <v>39.214260534784351</v>
      </c>
      <c r="AK88" s="13">
        <f>(AI87*Population!$B$12*Population!M$36)+(AK87*Population!$B$11*Population!M$38)</f>
        <v>39.214260534784351</v>
      </c>
      <c r="AL88" s="14">
        <f>(AJ87*Population!$B$12*Population!M$38)+(AL87*Population!$B$11*Population!M$40)</f>
        <v>38.609725142404614</v>
      </c>
      <c r="AM88" s="13">
        <f>(AK87*Population!$B$12*Population!M$38)+(AM87*Population!$B$11*Population!M$40)</f>
        <v>38.609725142404614</v>
      </c>
      <c r="AN88" s="15">
        <f>(AL87+AM87)*Population!$B$12*Population!$M$40+AN87*Population!$B$11*Population!$M$42</f>
        <v>73.668484854914439</v>
      </c>
      <c r="AO88" s="5">
        <f>AN87*Population!M$42*Population!$B$12+AO87*Population!$B$11*Population!M$43</f>
        <v>69.945318082431186</v>
      </c>
      <c r="AP88" s="5">
        <f>AO87*Population!M$43*Population!$B$12+AP87*Population!$B$11*Population!M$44</f>
        <v>53.267870778580864</v>
      </c>
      <c r="AQ88" s="5">
        <f>(AP87*Population!$B$12+AQ87)*Population!M$45</f>
        <v>144.49005537604788</v>
      </c>
    </row>
    <row r="89" spans="1:43">
      <c r="A89">
        <f>A88+Population!$B$2</f>
        <v>86</v>
      </c>
      <c r="B89" s="4">
        <f t="shared" si="33"/>
        <v>987</v>
      </c>
      <c r="C89" s="59">
        <f t="shared" si="31"/>
        <v>385</v>
      </c>
      <c r="D89" s="12">
        <f>AC88*Population!$P$31*Population!$C$2+AE88*Population!$P$33*Population!$C$2+AG88*Population!$P$35*Population!$C$2+AI88*Population!$P$37*Population!$C$2+AK88*Population!$P$39*Population!$C$2+AM87*Population!$P$41*Population!$C$2</f>
        <v>13.400375629458933</v>
      </c>
      <c r="E89" s="12">
        <f>IF(B88&gt;Population!$B$6*Population!$B$15,Population!$B$8,IF(Population!$J$6=1,D89,Population!$B$8*Population!$B$6*0.9/B88))</f>
        <v>11.880918319076509</v>
      </c>
      <c r="F89" s="12">
        <f>IF(B88&gt;Population!$B$6*0.75,Population!$B$8,E89)</f>
        <v>11.880918319076509</v>
      </c>
      <c r="G89" s="15">
        <f>IF(Population!$J$6=1,IF(E89&gt;H88,H88,E89),IF(E89&gt;W88,W88,E89))</f>
        <v>11.880918319076509</v>
      </c>
      <c r="H89" s="15">
        <f t="shared" si="34"/>
        <v>198</v>
      </c>
      <c r="I89" s="15">
        <f t="shared" si="35"/>
        <v>248</v>
      </c>
      <c r="J89" s="12">
        <f t="shared" si="28"/>
        <v>1.2525252525252526</v>
      </c>
      <c r="K89" s="12">
        <f>Z89*Population!$O$28+AA89*Population!$O$29+AB89*Population!$O$30+AC89*Population!$O$31+AD89*Population!$O$32+AE89*Population!$O$33+AF89*Population!$O$34+AG89*Population!$O$35+AH89*Population!$O$36+AI89*Population!$O$37+AJ89*Population!$O$36+AK89*Population!$O$37+AL89*Population!$O$38+AM89*Population!$O$39+AN89*Population!$O$40+AO89*Population!$O$41+AP89*Population!$O$42+AQ89*Population!$O$43</f>
        <v>2.5244126437282972</v>
      </c>
      <c r="L89" s="12">
        <f t="shared" si="36"/>
        <v>6.0004637975133883E-2</v>
      </c>
      <c r="M89" s="12">
        <f t="shared" si="37"/>
        <v>5.763299246296576</v>
      </c>
      <c r="N89" s="12">
        <f t="shared" si="29"/>
        <v>0.25126646403242148</v>
      </c>
      <c r="O89" s="12">
        <f t="shared" si="32"/>
        <v>388.85264342239924</v>
      </c>
      <c r="P89" s="12">
        <f t="shared" si="38"/>
        <v>175.07367828880038</v>
      </c>
      <c r="Q89" s="12">
        <f t="shared" si="39"/>
        <v>144.49005537604788</v>
      </c>
      <c r="R89" s="12">
        <f t="shared" si="40"/>
        <v>0.14631780321262072</v>
      </c>
      <c r="S89" s="12">
        <f t="shared" si="30"/>
        <v>0.88421049640808269</v>
      </c>
      <c r="T89" s="12">
        <f>Population!$B$13*MIN(X88:Y88)</f>
        <v>5.9490914970522013</v>
      </c>
      <c r="U89" s="12">
        <f>W88*Population!$B$14</f>
        <v>1.0503077313689313</v>
      </c>
      <c r="V89" s="12">
        <f>AM88*S88*Population!$B$12</f>
        <v>4.8763940383714504</v>
      </c>
      <c r="W89" s="12">
        <f t="shared" si="43"/>
        <v>175.07367828880038</v>
      </c>
      <c r="X89" s="14">
        <f t="shared" si="41"/>
        <v>23.799201310387417</v>
      </c>
      <c r="Y89" s="13">
        <f t="shared" si="42"/>
        <v>23.799201310387417</v>
      </c>
      <c r="Z89" s="18">
        <f>(G89+Population!$B$11*Z88)*Population!M$28</f>
        <v>82.930632153147499</v>
      </c>
      <c r="AA89" s="18">
        <f>Z88*Population!$B$12*Population!$M$28+AA88*Population!$B$11*Population!$M$29</f>
        <v>82.785034785731824</v>
      </c>
      <c r="AB89" s="14">
        <f>(AA88*Population!$B$12*0.5*Population!$M$29)+(AB88*Population!$B$11*Population!M$30)</f>
        <v>41.147334191975666</v>
      </c>
      <c r="AC89" s="13">
        <f>(AA88*Population!$B$12*0.5*Population!$M$29)+(AC88*Population!$B$11*Population!M$30)</f>
        <v>41.147334191975666</v>
      </c>
      <c r="AD89" s="14">
        <f>(AB88*Population!$B$12*Population!M$30)+(AD88*Population!$B$11*Population!M$32)</f>
        <v>40.871683295425626</v>
      </c>
      <c r="AE89" s="13">
        <f>(AC88*Population!$B$12*Population!M$30)+(AE88*Population!$B$11*Population!M$32)</f>
        <v>40.871683295425626</v>
      </c>
      <c r="AF89" s="14">
        <f>(AD88*Population!$B$12*Population!M$32)+(AF88*Population!$B$11*Population!M$34)</f>
        <v>40.358655403376254</v>
      </c>
      <c r="AG89" s="13">
        <f>(AE88*Population!$B$12*Population!M$32)+(AG88*Population!$B$11*Population!M$34)</f>
        <v>40.358655403376254</v>
      </c>
      <c r="AH89" s="14">
        <f>(AF88*Population!$B$12*Population!M$34)+(AH88*Population!$B$11*Population!M$36)</f>
        <v>39.798945473426222</v>
      </c>
      <c r="AI89" s="13">
        <f>(AG88*Population!$B$12*Population!M$34)+(AI88*Population!$B$11*Population!M$36)</f>
        <v>39.798945473426222</v>
      </c>
      <c r="AJ89" s="14">
        <f>(AH88*Population!$B$12*Population!M$36)+(AJ88*Population!$B$11*Population!M$38)</f>
        <v>39.221804573339014</v>
      </c>
      <c r="AK89" s="13">
        <f>(AI88*Population!$B$12*Population!M$36)+(AK88*Population!$B$11*Population!M$38)</f>
        <v>39.221804573339014</v>
      </c>
      <c r="AL89" s="14">
        <f>(AJ88*Population!$B$12*Population!M$38)+(AL88*Population!$B$11*Population!M$40)</f>
        <v>38.621790853620674</v>
      </c>
      <c r="AM89" s="13">
        <f>(AK88*Population!$B$12*Population!M$38)+(AM88*Population!$B$11*Population!M$40)</f>
        <v>38.621790853620674</v>
      </c>
      <c r="AN89" s="15">
        <f>(AL88+AM88)*Population!$B$12*Population!$M$40+AN88*Population!$B$11*Population!$M$42</f>
        <v>73.696788425508615</v>
      </c>
      <c r="AO89" s="5">
        <f>AN88*Population!M$42*Population!$B$12+AO88*Population!$B$11*Population!M$43</f>
        <v>69.966239356816814</v>
      </c>
      <c r="AP89" s="5">
        <f>AO88*Population!M$43*Population!$B$12+AP88*Population!$B$11*Population!M$44</f>
        <v>53.271268886773619</v>
      </c>
      <c r="AQ89" s="5">
        <f>(AP88*Population!$B$12+AQ88)*Population!M$45</f>
        <v>144.41567177085665</v>
      </c>
    </row>
    <row r="90" spans="1:43">
      <c r="A90">
        <f>A89+Population!$B$2</f>
        <v>87</v>
      </c>
      <c r="B90" s="4">
        <f t="shared" si="33"/>
        <v>987</v>
      </c>
      <c r="C90" s="59">
        <f t="shared" si="31"/>
        <v>385</v>
      </c>
      <c r="D90" s="12">
        <f>AC89*Population!$P$31*Population!$C$2+AE89*Population!$P$33*Population!$C$2+AG89*Population!$P$35*Population!$C$2+AI89*Population!$P$37*Population!$C$2+AK89*Population!$P$39*Population!$C$2+AM88*Population!$P$41*Population!$C$2</f>
        <v>13.401459379216346</v>
      </c>
      <c r="E90" s="12">
        <f>IF(B89&gt;Population!$B$6*Population!$B$15,Population!$B$8,IF(Population!$J$6=1,D90,Population!$B$8*Population!$B$6*0.9/B89))</f>
        <v>11.880918319076509</v>
      </c>
      <c r="F90" s="12">
        <f>IF(B89&gt;Population!$B$6*0.75,Population!$B$8,E90)</f>
        <v>11.880918319076509</v>
      </c>
      <c r="G90" s="15">
        <f>IF(Population!$J$6=1,IF(E90&gt;H89,H89,E90),IF(E90&gt;W89,W89,E90))</f>
        <v>11.880918319076509</v>
      </c>
      <c r="H90" s="15">
        <f t="shared" si="34"/>
        <v>198</v>
      </c>
      <c r="I90" s="15">
        <f t="shared" si="35"/>
        <v>248</v>
      </c>
      <c r="J90" s="12">
        <f t="shared" si="28"/>
        <v>1.2525252525252526</v>
      </c>
      <c r="K90" s="12">
        <f>Z90*Population!$O$28+AA90*Population!$O$29+AB90*Population!$O$30+AC90*Population!$O$31+AD90*Population!$O$32+AE90*Population!$O$33+AF90*Population!$O$34+AG90*Population!$O$35+AH90*Population!$O$36+AI90*Population!$O$37+AJ90*Population!$O$36+AK90*Population!$O$37+AL90*Population!$O$38+AM90*Population!$O$39+AN90*Population!$O$40+AO90*Population!$O$41+AP90*Population!$O$42+AQ90*Population!$O$43</f>
        <v>2.5241297836663144</v>
      </c>
      <c r="L90" s="12">
        <f t="shared" si="36"/>
        <v>6.0004637975133883E-2</v>
      </c>
      <c r="M90" s="12">
        <f t="shared" si="37"/>
        <v>5.7635415328906268</v>
      </c>
      <c r="N90" s="12">
        <f t="shared" si="29"/>
        <v>0.25126646403242148</v>
      </c>
      <c r="O90" s="12">
        <f t="shared" si="32"/>
        <v>388.81101058177092</v>
      </c>
      <c r="P90" s="12">
        <f t="shared" si="38"/>
        <v>175.09449470911454</v>
      </c>
      <c r="Q90" s="12">
        <f t="shared" si="39"/>
        <v>144.41567177085665</v>
      </c>
      <c r="R90" s="12">
        <f t="shared" si="40"/>
        <v>0.14624671422978211</v>
      </c>
      <c r="S90" s="12">
        <f t="shared" si="30"/>
        <v>0.8843156298440128</v>
      </c>
      <c r="T90" s="12">
        <f>Population!$B$13*MIN(X89:Y89)</f>
        <v>5.9498003275968543</v>
      </c>
      <c r="U90" s="12">
        <f>W89*Population!$B$14</f>
        <v>1.0504420697328023</v>
      </c>
      <c r="V90" s="12">
        <f>AM89*S89*Population!$B$12</f>
        <v>4.8785418375498688</v>
      </c>
      <c r="W90" s="12">
        <f t="shared" si="43"/>
        <v>175.09449470911454</v>
      </c>
      <c r="X90" s="14">
        <f t="shared" si="41"/>
        <v>23.801855274319337</v>
      </c>
      <c r="Y90" s="13">
        <f t="shared" si="42"/>
        <v>23.801855274319337</v>
      </c>
      <c r="Z90" s="18">
        <f>(G90+Population!$B$11*Z89)*Population!M$28</f>
        <v>82.930633794661816</v>
      </c>
      <c r="AA90" s="18">
        <f>Z89*Population!$B$12*Population!$M$28+AA89*Population!$B$11*Population!$M$29</f>
        <v>82.78505874770336</v>
      </c>
      <c r="AB90" s="14">
        <f>(AA89*Population!$B$12*0.5*Population!$M$29)+(AB89*Population!$B$11*Population!M$30)</f>
        <v>41.147418395913832</v>
      </c>
      <c r="AC90" s="13">
        <f>(AA89*Population!$B$12*0.5*Population!$M$29)+(AC89*Population!$B$11*Population!M$30)</f>
        <v>41.147418395913832</v>
      </c>
      <c r="AD90" s="14">
        <f>(AB89*Population!$B$12*Population!M$30)+(AD89*Population!$B$11*Population!M$32)</f>
        <v>40.872073752851605</v>
      </c>
      <c r="AE90" s="13">
        <f>(AC89*Population!$B$12*Population!M$30)+(AE89*Population!$B$11*Population!M$32)</f>
        <v>40.872073752851605</v>
      </c>
      <c r="AF90" s="14">
        <f>(AD89*Population!$B$12*Population!M$32)+(AF89*Population!$B$11*Population!M$34)</f>
        <v>40.359961898750825</v>
      </c>
      <c r="AG90" s="13">
        <f>(AE89*Population!$B$12*Population!M$32)+(AG89*Population!$B$11*Population!M$34)</f>
        <v>40.359961898750825</v>
      </c>
      <c r="AH90" s="14">
        <f>(AF89*Population!$B$12*Population!M$34)+(AH89*Population!$B$11*Population!M$36)</f>
        <v>39.802336539100743</v>
      </c>
      <c r="AI90" s="13">
        <f>(AG89*Population!$B$12*Population!M$34)+(AI89*Population!$B$11*Population!M$36)</f>
        <v>39.802336539100743</v>
      </c>
      <c r="AJ90" s="14">
        <f>(AH89*Population!$B$12*Population!M$36)+(AJ89*Population!$B$11*Population!M$38)</f>
        <v>39.228789107066632</v>
      </c>
      <c r="AK90" s="13">
        <f>(AI89*Population!$B$12*Population!M$36)+(AK89*Population!$B$11*Population!M$38)</f>
        <v>39.228789107066632</v>
      </c>
      <c r="AL90" s="14">
        <f>(AJ89*Population!$B$12*Population!M$38)+(AL89*Population!$B$11*Population!M$40)</f>
        <v>38.633188685664074</v>
      </c>
      <c r="AM90" s="13">
        <f>(AK89*Population!$B$12*Population!M$38)+(AM89*Population!$B$11*Population!M$40)</f>
        <v>38.633188685664074</v>
      </c>
      <c r="AN90" s="15">
        <f>(AL89+AM89)*Population!$B$12*Population!$M$40+AN89*Population!$B$11*Population!$M$42</f>
        <v>73.724313469557941</v>
      </c>
      <c r="AO90" s="5">
        <f>AN89*Population!M$42*Population!$B$12+AO89*Population!$B$11*Population!M$43</f>
        <v>69.988055919757571</v>
      </c>
      <c r="AP90" s="5">
        <f>AO89*Population!M$43*Population!$B$12+AP89*Population!$B$11*Population!M$44</f>
        <v>53.277001488166121</v>
      </c>
      <c r="AQ90" s="5">
        <f>(AP89*Population!$B$12+AQ89)*Population!M$45</f>
        <v>144.34550694479495</v>
      </c>
    </row>
    <row r="91" spans="1:43">
      <c r="A91">
        <f>A90+Population!$B$2</f>
        <v>88</v>
      </c>
      <c r="B91" s="4">
        <f t="shared" si="33"/>
        <v>987</v>
      </c>
      <c r="C91" s="59">
        <f t="shared" si="31"/>
        <v>385</v>
      </c>
      <c r="D91" s="12">
        <f>AC90*Population!$P$31*Population!$C$2+AE90*Population!$P$33*Population!$C$2+AG90*Population!$P$35*Population!$C$2+AI90*Population!$P$37*Population!$C$2+AK90*Population!$P$39*Population!$C$2+AM89*Population!$P$41*Population!$C$2</f>
        <v>13.402460592392776</v>
      </c>
      <c r="E91" s="12">
        <f>IF(B90&gt;Population!$B$6*Population!$B$15,Population!$B$8,IF(Population!$J$6=1,D91,Population!$B$8*Population!$B$6*0.9/B90))</f>
        <v>11.880918319076509</v>
      </c>
      <c r="F91" s="12">
        <f>IF(B90&gt;Population!$B$6*0.75,Population!$B$8,E91)</f>
        <v>11.880918319076509</v>
      </c>
      <c r="G91" s="15">
        <f>IF(Population!$J$6=1,IF(E91&gt;H90,H90,E91),IF(E91&gt;W90,W90,E91))</f>
        <v>11.880918319076509</v>
      </c>
      <c r="H91" s="15">
        <f t="shared" si="34"/>
        <v>198</v>
      </c>
      <c r="I91" s="15">
        <f t="shared" si="35"/>
        <v>248</v>
      </c>
      <c r="J91" s="12">
        <f t="shared" si="28"/>
        <v>1.2525252525252526</v>
      </c>
      <c r="K91" s="12">
        <f>Z91*Population!$O$28+AA91*Population!$O$29+AB91*Population!$O$30+AC91*Population!$O$31+AD91*Population!$O$32+AE91*Population!$O$33+AF91*Population!$O$34+AG91*Population!$O$35+AH91*Population!$O$36+AI91*Population!$O$37+AJ91*Population!$O$36+AK91*Population!$O$37+AL91*Population!$O$38+AM91*Population!$O$39+AN91*Population!$O$40+AO91*Population!$O$41+AP91*Population!$O$42+AQ91*Population!$O$43</f>
        <v>2.5238862668759321</v>
      </c>
      <c r="L91" s="12">
        <f t="shared" si="36"/>
        <v>6.0004637975133883E-2</v>
      </c>
      <c r="M91" s="12">
        <f t="shared" si="37"/>
        <v>5.7637609203615581</v>
      </c>
      <c r="N91" s="12">
        <f t="shared" si="29"/>
        <v>0.25126646403242148</v>
      </c>
      <c r="O91" s="12">
        <f t="shared" si="32"/>
        <v>388.7723404769622</v>
      </c>
      <c r="P91" s="12">
        <f t="shared" si="38"/>
        <v>175.1138297615189</v>
      </c>
      <c r="Q91" s="12">
        <f t="shared" si="39"/>
        <v>144.34550694479495</v>
      </c>
      <c r="R91" s="12">
        <f t="shared" si="40"/>
        <v>0.14618000447396026</v>
      </c>
      <c r="S91" s="12">
        <f t="shared" si="30"/>
        <v>0.88441328162383281</v>
      </c>
      <c r="T91" s="12">
        <f>Population!$B$13*MIN(X90:Y90)</f>
        <v>5.9504638185798342</v>
      </c>
      <c r="U91" s="12">
        <f>W90*Population!$B$14</f>
        <v>1.0505669682546872</v>
      </c>
      <c r="V91" s="12">
        <f>AM90*S90*Population!$B$12</f>
        <v>4.8805617979208016</v>
      </c>
      <c r="W91" s="12">
        <f t="shared" si="43"/>
        <v>175.1138297615189</v>
      </c>
      <c r="X91" s="14">
        <f t="shared" si="41"/>
        <v>23.804332802807949</v>
      </c>
      <c r="Y91" s="13">
        <f t="shared" si="42"/>
        <v>23.804332802807949</v>
      </c>
      <c r="Z91" s="18">
        <f>(G91+Population!$B$11*Z90)*Population!M$28</f>
        <v>82.930635201102845</v>
      </c>
      <c r="AA91" s="18">
        <f>Z90*Population!$B$12*Population!$M$28+AA90*Population!$B$11*Population!$M$29</f>
        <v>82.785079516321701</v>
      </c>
      <c r="AB91" s="14">
        <f>(AA90*Population!$B$12*0.5*Population!$M$29)+(AB90*Population!$B$11*Population!M$30)</f>
        <v>41.147492213119676</v>
      </c>
      <c r="AC91" s="13">
        <f>(AA90*Population!$B$12*0.5*Population!$M$29)+(AC90*Population!$B$11*Population!M$30)</f>
        <v>41.147492213119676</v>
      </c>
      <c r="AD91" s="14">
        <f>(AB90*Population!$B$12*Population!M$30)+(AD90*Population!$B$11*Population!M$32)</f>
        <v>40.872420129367626</v>
      </c>
      <c r="AE91" s="13">
        <f>(AC90*Population!$B$12*Population!M$30)+(AE90*Population!$B$11*Population!M$32)</f>
        <v>40.872420129367626</v>
      </c>
      <c r="AF91" s="14">
        <f>(AD90*Population!$B$12*Population!M$32)+(AF90*Population!$B$11*Population!M$34)</f>
        <v>40.361135328285215</v>
      </c>
      <c r="AG91" s="13">
        <f>(AE90*Population!$B$12*Population!M$32)+(AG90*Population!$B$11*Population!M$34)</f>
        <v>40.361135328285215</v>
      </c>
      <c r="AH91" s="14">
        <f>(AF90*Population!$B$12*Population!M$34)+(AH90*Population!$B$11*Population!M$36)</f>
        <v>39.805423869939894</v>
      </c>
      <c r="AI91" s="13">
        <f>(AG90*Population!$B$12*Population!M$34)+(AI90*Population!$B$11*Population!M$36)</f>
        <v>39.805423869939894</v>
      </c>
      <c r="AJ91" s="14">
        <f>(AH90*Population!$B$12*Population!M$36)+(AJ90*Population!$B$11*Population!M$38)</f>
        <v>39.235247863547436</v>
      </c>
      <c r="AK91" s="13">
        <f>(AI90*Population!$B$12*Population!M$36)+(AK90*Population!$B$11*Population!M$38)</f>
        <v>39.235247863547436</v>
      </c>
      <c r="AL91" s="14">
        <f>(AJ90*Population!$B$12*Population!M$38)+(AL90*Population!$B$11*Population!M$40)</f>
        <v>38.643935373186665</v>
      </c>
      <c r="AM91" s="13">
        <f>(AK90*Population!$B$12*Population!M$38)+(AM90*Population!$B$11*Population!M$40)</f>
        <v>38.643935373186665</v>
      </c>
      <c r="AN91" s="15">
        <f>(AL90+AM90)*Population!$B$12*Population!$M$40+AN90*Population!$B$11*Population!$M$42</f>
        <v>73.750985586885307</v>
      </c>
      <c r="AO91" s="5">
        <f>AN90*Population!M$42*Population!$B$12+AO90*Population!$B$11*Population!M$43</f>
        <v>70.010523897562805</v>
      </c>
      <c r="AP91" s="5">
        <f>AO90*Population!M$43*Population!$B$12+AP90*Population!$B$11*Population!M$44</f>
        <v>53.284760964606164</v>
      </c>
      <c r="AQ91" s="5">
        <f>(AP90*Population!$B$12+AQ90)*Population!M$45</f>
        <v>144.27966441579878</v>
      </c>
    </row>
    <row r="92" spans="1:43">
      <c r="A92">
        <f>A91+Population!$B$2</f>
        <v>89</v>
      </c>
      <c r="B92" s="4">
        <f t="shared" si="33"/>
        <v>987</v>
      </c>
      <c r="C92" s="59">
        <f t="shared" si="31"/>
        <v>385</v>
      </c>
      <c r="D92" s="12">
        <f>AC91*Population!$P$31*Population!$C$2+AE91*Population!$P$33*Population!$C$2+AG91*Population!$P$35*Population!$C$2+AI91*Population!$P$37*Population!$C$2+AK91*Population!$P$39*Population!$C$2+AM90*Population!$P$41*Population!$C$2</f>
        <v>13.40338474731273</v>
      </c>
      <c r="E92" s="12">
        <f>IF(B91&gt;Population!$B$6*Population!$B$15,Population!$B$8,IF(Population!$J$6=1,D92,Population!$B$8*Population!$B$6*0.9/B91))</f>
        <v>11.880918319076509</v>
      </c>
      <c r="F92" s="12">
        <f>IF(B91&gt;Population!$B$6*0.75,Population!$B$8,E92)</f>
        <v>11.880918319076509</v>
      </c>
      <c r="G92" s="15">
        <f>IF(Population!$J$6=1,IF(E92&gt;H91,H91,E92),IF(E92&gt;W91,W91,E92))</f>
        <v>11.880918319076509</v>
      </c>
      <c r="H92" s="15">
        <f t="shared" si="34"/>
        <v>198</v>
      </c>
      <c r="I92" s="15">
        <f t="shared" si="35"/>
        <v>248</v>
      </c>
      <c r="J92" s="12">
        <f t="shared" si="28"/>
        <v>1.2525252525252526</v>
      </c>
      <c r="K92" s="12">
        <f>Z92*Population!$O$28+AA92*Population!$O$29+AB92*Population!$O$30+AC92*Population!$O$31+AD92*Population!$O$32+AE92*Population!$O$33+AF92*Population!$O$34+AG92*Population!$O$35+AH92*Population!$O$36+AI92*Population!$O$37+AJ92*Population!$O$36+AK92*Population!$O$37+AL92*Population!$O$38+AM92*Population!$O$39+AN92*Population!$O$40+AO92*Population!$O$41+AP92*Population!$O$42+AQ92*Population!$O$43</f>
        <v>2.5236802625642856</v>
      </c>
      <c r="L92" s="12">
        <f t="shared" si="36"/>
        <v>6.0004637975133883E-2</v>
      </c>
      <c r="M92" s="12">
        <f t="shared" si="37"/>
        <v>5.7639594423113802</v>
      </c>
      <c r="N92" s="12">
        <f t="shared" si="29"/>
        <v>0.25126646403242148</v>
      </c>
      <c r="O92" s="12">
        <f t="shared" si="32"/>
        <v>388.73645708934197</v>
      </c>
      <c r="P92" s="12">
        <f t="shared" si="38"/>
        <v>175.13177145532902</v>
      </c>
      <c r="Q92" s="12">
        <f t="shared" si="39"/>
        <v>144.27966441579878</v>
      </c>
      <c r="R92" s="12">
        <f t="shared" si="40"/>
        <v>0.14611773125304137</v>
      </c>
      <c r="S92" s="12">
        <f t="shared" si="30"/>
        <v>0.88450389623903547</v>
      </c>
      <c r="T92" s="12">
        <f>Population!$B$13*MIN(X91:Y91)</f>
        <v>5.9510832007019872</v>
      </c>
      <c r="U92" s="12">
        <f>W91*Population!$B$14</f>
        <v>1.0506829785691134</v>
      </c>
      <c r="V92" s="12">
        <f>AM91*S91*Population!$B$12</f>
        <v>4.8824585283227613</v>
      </c>
      <c r="W92" s="12">
        <f t="shared" si="43"/>
        <v>175.13177145532902</v>
      </c>
      <c r="X92" s="14">
        <f t="shared" si="41"/>
        <v>23.806640386535207</v>
      </c>
      <c r="Y92" s="13">
        <f t="shared" si="42"/>
        <v>23.806640386535207</v>
      </c>
      <c r="Z92" s="18">
        <f>(G92+Population!$B$11*Z91)*Population!M$28</f>
        <v>82.930636406134298</v>
      </c>
      <c r="AA92" s="18">
        <f>Z91*Population!$B$12*Population!$M$28+AA91*Population!$B$11*Population!$M$29</f>
        <v>82.785097514827768</v>
      </c>
      <c r="AB92" s="14">
        <f>(AA91*Population!$B$12*0.5*Population!$M$29)+(AB91*Population!$B$11*Population!M$30)</f>
        <v>41.147556907851246</v>
      </c>
      <c r="AC92" s="13">
        <f>(AA91*Population!$B$12*0.5*Population!$M$29)+(AC91*Population!$B$11*Population!M$30)</f>
        <v>41.147556907851246</v>
      </c>
      <c r="AD92" s="14">
        <f>(AB91*Population!$B$12*Population!M$30)+(AD91*Population!$B$11*Population!M$32)</f>
        <v>40.872727275849513</v>
      </c>
      <c r="AE92" s="13">
        <f>(AC91*Population!$B$12*Population!M$30)+(AE91*Population!$B$11*Population!M$32)</f>
        <v>40.872727275849513</v>
      </c>
      <c r="AF92" s="14">
        <f>(AD91*Population!$B$12*Population!M$32)+(AF91*Population!$B$11*Population!M$34)</f>
        <v>40.362188629101972</v>
      </c>
      <c r="AG92" s="13">
        <f>(AE91*Population!$B$12*Population!M$32)+(AG91*Population!$B$11*Population!M$34)</f>
        <v>40.362188629101972</v>
      </c>
      <c r="AH92" s="14">
        <f>(AF91*Population!$B$12*Population!M$34)+(AH91*Population!$B$11*Population!M$36)</f>
        <v>39.808232383587509</v>
      </c>
      <c r="AI92" s="13">
        <f>(AG91*Population!$B$12*Population!M$34)+(AI91*Population!$B$11*Population!M$36)</f>
        <v>39.808232383587509</v>
      </c>
      <c r="AJ92" s="14">
        <f>(AH91*Population!$B$12*Population!M$36)+(AJ91*Population!$B$11*Population!M$38)</f>
        <v>39.241213511715166</v>
      </c>
      <c r="AK92" s="13">
        <f>(AI91*Population!$B$12*Population!M$36)+(AK91*Population!$B$11*Population!M$38)</f>
        <v>39.241213511715166</v>
      </c>
      <c r="AL92" s="14">
        <f>(AJ91*Population!$B$12*Population!M$38)+(AL91*Population!$B$11*Population!M$40)</f>
        <v>38.654050041610049</v>
      </c>
      <c r="AM92" s="13">
        <f>(AK91*Population!$B$12*Population!M$38)+(AM91*Population!$B$11*Population!M$40)</f>
        <v>38.654050041610049</v>
      </c>
      <c r="AN92" s="15">
        <f>(AL91+AM91)*Population!$B$12*Population!$M$40+AN91*Population!$B$11*Population!$M$42</f>
        <v>73.776746240403241</v>
      </c>
      <c r="AO92" s="5">
        <f>AN91*Population!M$42*Population!$B$12+AO91*Population!$B$11*Population!M$43</f>
        <v>70.033425219601895</v>
      </c>
      <c r="AP92" s="5">
        <f>AO91*Population!M$43*Population!$B$12+AP91*Population!$B$11*Population!M$44</f>
        <v>53.294262377621585</v>
      </c>
      <c r="AQ92" s="5">
        <f>(AP91*Population!$B$12+AQ91)*Population!M$45</f>
        <v>144.21820074675182</v>
      </c>
    </row>
    <row r="93" spans="1:43">
      <c r="A93">
        <f>A92+Population!$B$2</f>
        <v>90</v>
      </c>
      <c r="B93" s="4">
        <f t="shared" si="33"/>
        <v>987</v>
      </c>
      <c r="C93" s="59">
        <f t="shared" si="31"/>
        <v>385</v>
      </c>
      <c r="D93" s="12">
        <f>AC92*Population!$P$31*Population!$C$2+AE92*Population!$P$33*Population!$C$2+AG92*Population!$P$35*Population!$C$2+AI92*Population!$P$37*Population!$C$2+AK92*Population!$P$39*Population!$C$2+AM91*Population!$P$41*Population!$C$2</f>
        <v>13.404237049947799</v>
      </c>
      <c r="E93" s="12">
        <f>IF(B92&gt;Population!$B$6*Population!$B$15,Population!$B$8,IF(Population!$J$6=1,D93,Population!$B$8*Population!$B$6*0.9/B92))</f>
        <v>11.880918319076509</v>
      </c>
      <c r="F93" s="12">
        <f>IF(B92&gt;Population!$B$6*0.75,Population!$B$8,E93)</f>
        <v>11.880918319076509</v>
      </c>
      <c r="G93" s="15">
        <f>IF(Population!$J$6=1,IF(E93&gt;H92,H92,E93),IF(E93&gt;W92,W92,E93))</f>
        <v>11.880918319076509</v>
      </c>
      <c r="H93" s="15">
        <f t="shared" si="34"/>
        <v>198</v>
      </c>
      <c r="I93" s="15">
        <f t="shared" si="35"/>
        <v>248</v>
      </c>
      <c r="J93" s="12">
        <f t="shared" si="28"/>
        <v>1.2525252525252526</v>
      </c>
      <c r="K93" s="12">
        <f>Z93*Population!$O$28+AA93*Population!$O$29+AB93*Population!$O$30+AC93*Population!$O$31+AD93*Population!$O$32+AE93*Population!$O$33+AF93*Population!$O$34+AG93*Population!$O$35+AH93*Population!$O$36+AI93*Population!$O$37+AJ93*Population!$O$36+AK93*Population!$O$37+AL93*Population!$O$38+AM93*Population!$O$39+AN93*Population!$O$40+AO93*Population!$O$41+AP93*Population!$O$42+AQ93*Population!$O$43</f>
        <v>2.5235098633046213</v>
      </c>
      <c r="L93" s="12">
        <f t="shared" si="36"/>
        <v>6.0004637975133883E-2</v>
      </c>
      <c r="M93" s="12">
        <f t="shared" si="37"/>
        <v>5.7641389680708315</v>
      </c>
      <c r="N93" s="12">
        <f t="shared" si="29"/>
        <v>0.25126646403242148</v>
      </c>
      <c r="O93" s="12">
        <f t="shared" si="32"/>
        <v>388.70319182988771</v>
      </c>
      <c r="P93" s="12">
        <f t="shared" si="38"/>
        <v>175.14840408505614</v>
      </c>
      <c r="Q93" s="12">
        <f t="shared" si="39"/>
        <v>144.21820074675182</v>
      </c>
      <c r="R93" s="12">
        <f t="shared" si="40"/>
        <v>0.14605990982160738</v>
      </c>
      <c r="S93" s="12">
        <f t="shared" si="30"/>
        <v>0.88458789941947547</v>
      </c>
      <c r="T93" s="12">
        <f>Population!$B$13*MIN(X92:Y92)</f>
        <v>5.9516600966338018</v>
      </c>
      <c r="U93" s="12">
        <f>W92*Population!$B$14</f>
        <v>1.0507906287319742</v>
      </c>
      <c r="V93" s="12">
        <f>AM92*S92*Population!$B$12</f>
        <v>4.8842368381746768</v>
      </c>
      <c r="W93" s="12">
        <f t="shared" si="43"/>
        <v>175.14840408505614</v>
      </c>
      <c r="X93" s="14">
        <f t="shared" si="41"/>
        <v>23.808785507717118</v>
      </c>
      <c r="Y93" s="13">
        <f t="shared" si="42"/>
        <v>23.808785507717118</v>
      </c>
      <c r="Z93" s="18">
        <f>(G93+Population!$B$11*Z92)*Population!M$28</f>
        <v>82.930637438599035</v>
      </c>
      <c r="AA93" s="18">
        <f>Z92*Population!$B$12*Population!$M$28+AA92*Population!$B$11*Population!$M$29</f>
        <v>82.785113110725007</v>
      </c>
      <c r="AB93" s="14">
        <f>(AA92*Population!$B$12*0.5*Population!$M$29)+(AB92*Population!$B$11*Population!M$30)</f>
        <v>41.147613592950272</v>
      </c>
      <c r="AC93" s="13">
        <f>(AA92*Population!$B$12*0.5*Population!$M$29)+(AC92*Population!$B$11*Population!M$30)</f>
        <v>41.147613592950272</v>
      </c>
      <c r="AD93" s="14">
        <f>(AB92*Population!$B$12*Population!M$30)+(AD92*Population!$B$11*Population!M$32)</f>
        <v>40.87299952666455</v>
      </c>
      <c r="AE93" s="13">
        <f>(AC92*Population!$B$12*Population!M$30)+(AE92*Population!$B$11*Population!M$32)</f>
        <v>40.87299952666455</v>
      </c>
      <c r="AF93" s="14">
        <f>(AD92*Population!$B$12*Population!M$32)+(AF92*Population!$B$11*Population!M$34)</f>
        <v>40.363133561194317</v>
      </c>
      <c r="AG93" s="13">
        <f>(AE92*Population!$B$12*Population!M$32)+(AG92*Population!$B$11*Population!M$34)</f>
        <v>40.363133561194317</v>
      </c>
      <c r="AH93" s="14">
        <f>(AF92*Population!$B$12*Population!M$34)+(AH92*Population!$B$11*Population!M$36)</f>
        <v>39.810785241628601</v>
      </c>
      <c r="AI93" s="13">
        <f>(AG92*Population!$B$12*Population!M$34)+(AI92*Population!$B$11*Population!M$36)</f>
        <v>39.810785241628601</v>
      </c>
      <c r="AJ93" s="14">
        <f>(AH92*Population!$B$12*Population!M$36)+(AJ92*Population!$B$11*Population!M$38)</f>
        <v>39.246717552578154</v>
      </c>
      <c r="AK93" s="13">
        <f>(AI92*Population!$B$12*Population!M$36)+(AK92*Population!$B$11*Population!M$38)</f>
        <v>39.246717552578154</v>
      </c>
      <c r="AL93" s="14">
        <f>(AJ92*Population!$B$12*Population!M$38)+(AL92*Population!$B$11*Population!M$40)</f>
        <v>38.66355371070766</v>
      </c>
      <c r="AM93" s="13">
        <f>(AK92*Population!$B$12*Population!M$38)+(AM92*Population!$B$11*Population!M$40)</f>
        <v>38.66355371070766</v>
      </c>
      <c r="AN93" s="15">
        <f>(AL92+AM92)*Population!$B$12*Population!$M$40+AN92*Population!$B$11*Population!$M$42</f>
        <v>73.801551073146044</v>
      </c>
      <c r="AO93" s="5">
        <f>AN92*Population!M$42*Population!$B$12+AO92*Population!$B$11*Population!M$43</f>
        <v>70.056566021531296</v>
      </c>
      <c r="AP93" s="5">
        <f>AO92*Population!M$43*Population!$B$12+AP92*Population!$B$11*Population!M$44</f>
        <v>53.305242905797812</v>
      </c>
      <c r="AQ93" s="5">
        <f>(AP92*Population!$B$12+AQ92)*Population!M$45</f>
        <v>144.16113099392649</v>
      </c>
    </row>
    <row r="94" spans="1:43">
      <c r="A94">
        <f>A93+Population!$B$2</f>
        <v>91</v>
      </c>
      <c r="B94" s="4">
        <f t="shared" si="33"/>
        <v>987</v>
      </c>
      <c r="C94" s="59">
        <f t="shared" si="31"/>
        <v>385</v>
      </c>
      <c r="D94" s="12">
        <f>AC93*Population!$P$31*Population!$C$2+AE93*Population!$P$33*Population!$C$2+AG93*Population!$P$35*Population!$C$2+AI93*Population!$P$37*Population!$C$2+AK93*Population!$P$39*Population!$C$2+AM92*Population!$P$41*Population!$C$2</f>
        <v>13.405022436341758</v>
      </c>
      <c r="E94" s="12">
        <f>IF(B93&gt;Population!$B$6*Population!$B$15,Population!$B$8,IF(Population!$J$6=1,D94,Population!$B$8*Population!$B$6*0.9/B93))</f>
        <v>11.880918319076509</v>
      </c>
      <c r="F94" s="12">
        <f>IF(B93&gt;Population!$B$6*0.75,Population!$B$8,E94)</f>
        <v>11.880918319076509</v>
      </c>
      <c r="G94" s="15">
        <f>IF(Population!$J$6=1,IF(E94&gt;H93,H93,E94),IF(E94&gt;W93,W93,E94))</f>
        <v>11.880918319076509</v>
      </c>
      <c r="H94" s="15">
        <f t="shared" si="34"/>
        <v>198</v>
      </c>
      <c r="I94" s="15">
        <f t="shared" si="35"/>
        <v>248</v>
      </c>
      <c r="J94" s="12">
        <f t="shared" si="28"/>
        <v>1.2525252525252526</v>
      </c>
      <c r="K94" s="12">
        <f>Z94*Population!$O$28+AA94*Population!$O$29+AB94*Population!$O$30+AC94*Population!$O$31+AD94*Population!$O$32+AE94*Population!$O$33+AF94*Population!$O$34+AG94*Population!$O$35+AH94*Population!$O$36+AI94*Population!$O$37+AJ94*Population!$O$36+AK94*Population!$O$37+AL94*Population!$O$38+AM94*Population!$O$39+AN94*Population!$O$40+AO94*Population!$O$41+AP94*Population!$O$42+AQ94*Population!$O$43</f>
        <v>2.5233731097707519</v>
      </c>
      <c r="L94" s="12">
        <f t="shared" si="36"/>
        <v>6.0004637975133883E-2</v>
      </c>
      <c r="M94" s="12">
        <f t="shared" si="37"/>
        <v>5.7643012138849761</v>
      </c>
      <c r="N94" s="12">
        <f t="shared" si="29"/>
        <v>0.25126646403242148</v>
      </c>
      <c r="O94" s="12">
        <f t="shared" si="32"/>
        <v>388.67238328534893</v>
      </c>
      <c r="P94" s="12">
        <f t="shared" si="38"/>
        <v>175.16380835732554</v>
      </c>
      <c r="Q94" s="12">
        <f t="shared" si="39"/>
        <v>144.16113099392649</v>
      </c>
      <c r="R94" s="12">
        <f t="shared" si="40"/>
        <v>0.14600651854493996</v>
      </c>
      <c r="S94" s="12">
        <f t="shared" si="30"/>
        <v>0.8846656987743714</v>
      </c>
      <c r="T94" s="12">
        <f>Population!$B$13*MIN(X93:Y93)</f>
        <v>5.9521963769292796</v>
      </c>
      <c r="U94" s="12">
        <f>W93*Population!$B$14</f>
        <v>1.050890424510337</v>
      </c>
      <c r="V94" s="12">
        <f>AM93*S93*Population!$B$12</f>
        <v>4.8859016801495647</v>
      </c>
      <c r="W94" s="12">
        <f t="shared" si="43"/>
        <v>175.16380835732554</v>
      </c>
      <c r="X94" s="14">
        <f t="shared" si="41"/>
        <v>23.810776226202336</v>
      </c>
      <c r="Y94" s="13">
        <f t="shared" si="42"/>
        <v>23.810776226202336</v>
      </c>
      <c r="Z94" s="18">
        <f>(G94+Population!$B$11*Z93)*Population!M$28</f>
        <v>82.930638323209507</v>
      </c>
      <c r="AA94" s="18">
        <f>Z93*Population!$B$12*Population!$M$28+AA93*Population!$B$11*Population!$M$29</f>
        <v>82.78512662306423</v>
      </c>
      <c r="AB94" s="14">
        <f>(AA93*Population!$B$12*0.5*Population!$M$29)+(AB93*Population!$B$11*Population!M$30)</f>
        <v>41.147663247616386</v>
      </c>
      <c r="AC94" s="13">
        <f>(AA93*Population!$B$12*0.5*Population!$M$29)+(AC93*Population!$B$11*Population!M$30)</f>
        <v>41.147663247616386</v>
      </c>
      <c r="AD94" s="14">
        <f>(AB93*Population!$B$12*Population!M$30)+(AD93*Population!$B$11*Population!M$32)</f>
        <v>40.873240752270007</v>
      </c>
      <c r="AE94" s="13">
        <f>(AC93*Population!$B$12*Population!M$30)+(AE93*Population!$B$11*Population!M$32)</f>
        <v>40.873240752270007</v>
      </c>
      <c r="AF94" s="14">
        <f>(AD93*Population!$B$12*Population!M$32)+(AF93*Population!$B$11*Population!M$34)</f>
        <v>40.363980803808083</v>
      </c>
      <c r="AG94" s="13">
        <f>(AE93*Population!$B$12*Population!M$32)+(AG93*Population!$B$11*Population!M$34)</f>
        <v>40.363980803808083</v>
      </c>
      <c r="AH94" s="14">
        <f>(AF93*Population!$B$12*Population!M$34)+(AH93*Population!$B$11*Population!M$36)</f>
        <v>39.813103935506405</v>
      </c>
      <c r="AI94" s="13">
        <f>(AG93*Population!$B$12*Population!M$34)+(AI93*Population!$B$11*Population!M$36)</f>
        <v>39.813103935506405</v>
      </c>
      <c r="AJ94" s="14">
        <f>(AH93*Population!$B$12*Population!M$36)+(AJ93*Population!$B$11*Population!M$38)</f>
        <v>39.251790237603984</v>
      </c>
      <c r="AK94" s="13">
        <f>(AI93*Population!$B$12*Population!M$36)+(AK93*Population!$B$11*Population!M$38)</f>
        <v>39.251790237603984</v>
      </c>
      <c r="AL94" s="14">
        <f>(AJ93*Population!$B$12*Population!M$38)+(AL93*Population!$B$11*Population!M$40)</f>
        <v>38.6724688543394</v>
      </c>
      <c r="AM94" s="13">
        <f>(AK93*Population!$B$12*Population!M$38)+(AM93*Population!$B$11*Population!M$40)</f>
        <v>38.6724688543394</v>
      </c>
      <c r="AN94" s="15">
        <f>(AL93+AM93)*Population!$B$12*Population!$M$40+AN93*Population!$B$11*Population!$M$42</f>
        <v>73.825368334622951</v>
      </c>
      <c r="AO94" s="5">
        <f>AN93*Population!M$42*Population!$B$12+AO93*Population!$B$11*Population!M$43</f>
        <v>70.079775047873852</v>
      </c>
      <c r="AP94" s="5">
        <f>AO93*Population!M$43*Population!$B$12+AP93*Population!$B$11*Population!M$44</f>
        <v>53.317461160436665</v>
      </c>
      <c r="AQ94" s="5">
        <f>(AP93*Population!$B$12+AQ93)*Population!M$45</f>
        <v>144.10843380385575</v>
      </c>
    </row>
    <row r="95" spans="1:43">
      <c r="A95">
        <f>A94+Population!$B$2</f>
        <v>92</v>
      </c>
      <c r="B95" s="4">
        <f t="shared" si="33"/>
        <v>987</v>
      </c>
      <c r="C95" s="59">
        <f t="shared" si="31"/>
        <v>385</v>
      </c>
      <c r="D95" s="12">
        <f>AC94*Population!$P$31*Population!$C$2+AE94*Population!$P$33*Population!$C$2+AG94*Population!$P$35*Population!$C$2+AI94*Population!$P$37*Population!$C$2+AK94*Population!$P$39*Population!$C$2+AM93*Population!$P$41*Population!$C$2</f>
        <v>13.405745576731869</v>
      </c>
      <c r="E95" s="12">
        <f>IF(B94&gt;Population!$B$6*Population!$B$15,Population!$B$8,IF(Population!$J$6=1,D95,Population!$B$8*Population!$B$6*0.9/B94))</f>
        <v>11.880918319076509</v>
      </c>
      <c r="F95" s="12">
        <f>IF(B94&gt;Population!$B$6*0.75,Population!$B$8,E95)</f>
        <v>11.880918319076509</v>
      </c>
      <c r="G95" s="15">
        <f>IF(Population!$J$6=1,IF(E95&gt;H94,H94,E95),IF(E95&gt;W94,W94,E95))</f>
        <v>11.880918319076509</v>
      </c>
      <c r="H95" s="15">
        <f t="shared" si="34"/>
        <v>198</v>
      </c>
      <c r="I95" s="15">
        <f t="shared" si="35"/>
        <v>248</v>
      </c>
      <c r="J95" s="12">
        <f t="shared" si="28"/>
        <v>1.2525252525252526</v>
      </c>
      <c r="K95" s="12">
        <f>Z95*Population!$O$28+AA95*Population!$O$29+AB95*Population!$O$30+AC95*Population!$O$31+AD95*Population!$O$32+AE95*Population!$O$33+AF95*Population!$O$34+AG95*Population!$O$35+AH95*Population!$O$36+AI95*Population!$O$37+AJ95*Population!$O$36+AK95*Population!$O$37+AL95*Population!$O$38+AM95*Population!$O$39+AN95*Population!$O$40+AO95*Population!$O$41+AP95*Population!$O$42+AQ95*Population!$O$43</f>
        <v>2.5232680127096017</v>
      </c>
      <c r="L95" s="12">
        <f t="shared" si="36"/>
        <v>6.0004637975133883E-2</v>
      </c>
      <c r="M95" s="12">
        <f t="shared" si="37"/>
        <v>5.7644477536171959</v>
      </c>
      <c r="N95" s="12">
        <f t="shared" si="29"/>
        <v>0.25126646403242148</v>
      </c>
      <c r="O95" s="12">
        <f t="shared" si="32"/>
        <v>388.64387706749403</v>
      </c>
      <c r="P95" s="12">
        <f t="shared" si="38"/>
        <v>175.17806146625298</v>
      </c>
      <c r="Q95" s="12">
        <f t="shared" si="39"/>
        <v>144.10843380385575</v>
      </c>
      <c r="R95" s="12">
        <f t="shared" si="40"/>
        <v>0.14595750370809177</v>
      </c>
      <c r="S95" s="12">
        <f t="shared" si="30"/>
        <v>0.88473768417299492</v>
      </c>
      <c r="T95" s="12">
        <f>Population!$B$13*MIN(X94:Y94)</f>
        <v>5.9526940565505839</v>
      </c>
      <c r="U95" s="12">
        <f>W94*Population!$B$14</f>
        <v>1.0509828501439533</v>
      </c>
      <c r="V95" s="12">
        <f>AM94*S94*Population!$B$12</f>
        <v>4.8874580974791826</v>
      </c>
      <c r="W95" s="12">
        <f t="shared" si="43"/>
        <v>175.17806146625298</v>
      </c>
      <c r="X95" s="14">
        <f t="shared" si="41"/>
        <v>23.812620883025147</v>
      </c>
      <c r="Y95" s="13">
        <f t="shared" si="42"/>
        <v>23.812620883025147</v>
      </c>
      <c r="Z95" s="18">
        <f>(G95+Population!$B$11*Z94)*Population!M$28</f>
        <v>82.930639081139205</v>
      </c>
      <c r="AA95" s="18">
        <f>Z94*Population!$B$12*Population!$M$28+AA94*Population!$B$11*Population!$M$29</f>
        <v>82.785138328784939</v>
      </c>
      <c r="AB95" s="14">
        <f>(AA94*Population!$B$12*0.5*Population!$M$29)+(AB94*Population!$B$11*Population!M$30)</f>
        <v>41.147706733147928</v>
      </c>
      <c r="AC95" s="13">
        <f>(AA94*Population!$B$12*0.5*Population!$M$29)+(AC94*Population!$B$11*Population!M$30)</f>
        <v>41.147706733147928</v>
      </c>
      <c r="AD95" s="14">
        <f>(AB94*Population!$B$12*Population!M$30)+(AD94*Population!$B$11*Population!M$32)</f>
        <v>40.873454406791424</v>
      </c>
      <c r="AE95" s="13">
        <f>(AC94*Population!$B$12*Population!M$30)+(AE94*Population!$B$11*Population!M$32)</f>
        <v>40.873454406791424</v>
      </c>
      <c r="AF95" s="14">
        <f>(AD94*Population!$B$12*Population!M$32)+(AF94*Population!$B$11*Population!M$34)</f>
        <v>40.36474004540311</v>
      </c>
      <c r="AG95" s="13">
        <f>(AE94*Population!$B$12*Population!M$32)+(AG94*Population!$B$11*Population!M$34)</f>
        <v>40.36474004540311</v>
      </c>
      <c r="AH95" s="14">
        <f>(AF94*Population!$B$12*Population!M$34)+(AH94*Population!$B$11*Population!M$36)</f>
        <v>39.815208373766588</v>
      </c>
      <c r="AI95" s="13">
        <f>(AG94*Population!$B$12*Population!M$34)+(AI94*Population!$B$11*Population!M$36)</f>
        <v>39.815208373766588</v>
      </c>
      <c r="AJ95" s="14">
        <f>(AH94*Population!$B$12*Population!M$36)+(AJ94*Population!$B$11*Population!M$38)</f>
        <v>39.256460511148134</v>
      </c>
      <c r="AK95" s="13">
        <f>(AI94*Population!$B$12*Population!M$36)+(AK94*Population!$B$11*Population!M$38)</f>
        <v>39.256460511148134</v>
      </c>
      <c r="AL95" s="14">
        <f>(AJ94*Population!$B$12*Population!M$38)+(AL94*Population!$B$11*Population!M$40)</f>
        <v>38.680819012168882</v>
      </c>
      <c r="AM95" s="13">
        <f>(AK94*Population!$B$12*Population!M$38)+(AM94*Population!$B$11*Population!M$40)</f>
        <v>38.680819012168882</v>
      </c>
      <c r="AN95" s="15">
        <f>(AL94+AM94)*Population!$B$12*Population!$M$40+AN94*Population!$B$11*Population!$M$42</f>
        <v>73.848177416208543</v>
      </c>
      <c r="AO95" s="5">
        <f>AN94*Population!M$42*Population!$B$12+AO94*Population!$B$11*Population!M$43</f>
        <v>70.102902069551078</v>
      </c>
      <c r="AP95" s="5">
        <f>AO94*Population!M$43*Population!$B$12+AP94*Population!$B$11*Population!M$44</f>
        <v>53.330696402063602</v>
      </c>
      <c r="AQ95" s="5">
        <f>(AP94*Population!$B$12+AQ94)*Population!M$45</f>
        <v>144.06005615988659</v>
      </c>
    </row>
    <row r="96" spans="1:43">
      <c r="A96">
        <f>A95+Population!$B$2</f>
        <v>93</v>
      </c>
      <c r="B96" s="4">
        <f t="shared" si="33"/>
        <v>987</v>
      </c>
      <c r="C96" s="59">
        <f t="shared" si="31"/>
        <v>385</v>
      </c>
      <c r="D96" s="12">
        <f>AC95*Population!$P$31*Population!$C$2+AE95*Population!$P$33*Population!$C$2+AG95*Population!$P$35*Population!$C$2+AI95*Population!$P$37*Population!$C$2+AK95*Population!$P$39*Population!$C$2+AM94*Population!$P$41*Population!$C$2</f>
        <v>13.406410881081491</v>
      </c>
      <c r="E96" s="12">
        <f>IF(B95&gt;Population!$B$6*Population!$B$15,Population!$B$8,IF(Population!$J$6=1,D96,Population!$B$8*Population!$B$6*0.9/B95))</f>
        <v>11.880918319076509</v>
      </c>
      <c r="F96" s="12">
        <f>IF(B95&gt;Population!$B$6*0.75,Population!$B$8,E96)</f>
        <v>11.880918319076509</v>
      </c>
      <c r="G96" s="15">
        <f>IF(Population!$J$6=1,IF(E96&gt;H95,H95,E96),IF(E96&gt;W95,W95,E96))</f>
        <v>11.880918319076509</v>
      </c>
      <c r="H96" s="15">
        <f t="shared" si="34"/>
        <v>199</v>
      </c>
      <c r="I96" s="15">
        <f t="shared" si="35"/>
        <v>248</v>
      </c>
      <c r="J96" s="12">
        <f t="shared" si="28"/>
        <v>1.2462311557788945</v>
      </c>
      <c r="K96" s="12">
        <f>Z96*Population!$O$28+AA96*Population!$O$29+AB96*Population!$O$30+AC96*Population!$O$31+AD96*Population!$O$32+AE96*Population!$O$33+AF96*Population!$O$34+AG96*Population!$O$35+AH96*Population!$O$36+AI96*Population!$O$37+AJ96*Population!$O$36+AK96*Population!$O$37+AL96*Population!$O$38+AM96*Population!$O$39+AN96*Population!$O$40+AO96*Population!$O$41+AP96*Population!$O$42+AQ96*Population!$O$43</f>
        <v>2.5231925723240591</v>
      </c>
      <c r="L96" s="12">
        <f t="shared" si="36"/>
        <v>5.9703107131037735E-2</v>
      </c>
      <c r="M96" s="12">
        <f t="shared" si="37"/>
        <v>5.7645800289494478</v>
      </c>
      <c r="N96" s="12">
        <f t="shared" si="29"/>
        <v>0.25126646403242148</v>
      </c>
      <c r="O96" s="12">
        <f t="shared" si="32"/>
        <v>388.61752571635969</v>
      </c>
      <c r="P96" s="12">
        <f t="shared" si="38"/>
        <v>175.19123714182015</v>
      </c>
      <c r="Q96" s="12">
        <f t="shared" si="39"/>
        <v>144.06005615988659</v>
      </c>
      <c r="R96" s="12">
        <f t="shared" si="40"/>
        <v>0.14591278397433133</v>
      </c>
      <c r="S96" s="12">
        <f t="shared" si="30"/>
        <v>0.88035797558703599</v>
      </c>
      <c r="T96" s="12">
        <f>Population!$B$13*MIN(X95:Y95)</f>
        <v>5.9531552207562868</v>
      </c>
      <c r="U96" s="12">
        <f>W95*Population!$B$14</f>
        <v>1.051068368797518</v>
      </c>
      <c r="V96" s="12">
        <f>AM95*S95*Population!$B$12</f>
        <v>4.888911176391578</v>
      </c>
      <c r="W96" s="12">
        <f t="shared" si="43"/>
        <v>175.19123714182015</v>
      </c>
      <c r="X96" s="14">
        <f t="shared" si="41"/>
        <v>23.814327889039561</v>
      </c>
      <c r="Y96" s="13">
        <f t="shared" si="42"/>
        <v>23.814327889039561</v>
      </c>
      <c r="Z96" s="18">
        <f>(G96+Population!$B$11*Z95)*Population!M$28</f>
        <v>82.930639730529478</v>
      </c>
      <c r="AA96" s="18">
        <f>Z95*Population!$B$12*Population!$M$28+AA95*Population!$B$11*Population!$M$29</f>
        <v>82.785148468234013</v>
      </c>
      <c r="AB96" s="14">
        <f>(AA95*Population!$B$12*0.5*Population!$M$29)+(AB95*Population!$B$11*Population!M$30)</f>
        <v>41.147744806873987</v>
      </c>
      <c r="AC96" s="13">
        <f>(AA95*Population!$B$12*0.5*Population!$M$29)+(AC95*Population!$B$11*Population!M$30)</f>
        <v>41.147744806873987</v>
      </c>
      <c r="AD96" s="14">
        <f>(AB95*Population!$B$12*Population!M$30)+(AD95*Population!$B$11*Population!M$32)</f>
        <v>40.873643571011684</v>
      </c>
      <c r="AE96" s="13">
        <f>(AC95*Population!$B$12*Population!M$30)+(AE95*Population!$B$11*Population!M$32)</f>
        <v>40.873643571011684</v>
      </c>
      <c r="AF96" s="14">
        <f>(AD95*Population!$B$12*Population!M$32)+(AF95*Population!$B$11*Population!M$34)</f>
        <v>40.365420067405339</v>
      </c>
      <c r="AG96" s="13">
        <f>(AE95*Population!$B$12*Population!M$32)+(AG95*Population!$B$11*Population!M$34)</f>
        <v>40.365420067405339</v>
      </c>
      <c r="AH96" s="14">
        <f>(AF95*Population!$B$12*Population!M$34)+(AH95*Population!$B$11*Population!M$36)</f>
        <v>39.817116969521379</v>
      </c>
      <c r="AI96" s="13">
        <f>(AG95*Population!$B$12*Population!M$34)+(AI95*Population!$B$11*Population!M$36)</f>
        <v>39.817116969521379</v>
      </c>
      <c r="AJ96" s="14">
        <f>(AH95*Population!$B$12*Population!M$36)+(AJ95*Population!$B$11*Population!M$38)</f>
        <v>39.260755973641331</v>
      </c>
      <c r="AK96" s="13">
        <f>(AI95*Population!$B$12*Population!M$36)+(AK95*Population!$B$11*Population!M$38)</f>
        <v>39.260755973641331</v>
      </c>
      <c r="AL96" s="14">
        <f>(AJ95*Population!$B$12*Population!M$38)+(AL95*Population!$B$11*Population!M$40)</f>
        <v>38.688628449279982</v>
      </c>
      <c r="AM96" s="13">
        <f>(AK95*Population!$B$12*Population!M$38)+(AM95*Population!$B$11*Population!M$40)</f>
        <v>38.688628449279982</v>
      </c>
      <c r="AN96" s="15">
        <f>(AL95+AM95)*Population!$B$12*Population!$M$40+AN95*Population!$B$11*Population!$M$42</f>
        <v>73.869967494139615</v>
      </c>
      <c r="AO96" s="5">
        <f>AN95*Population!M$42*Population!$B$12+AO95*Population!$B$11*Population!M$43</f>
        <v>70.125816329603154</v>
      </c>
      <c r="AP96" s="5">
        <f>AO95*Population!M$43*Population!$B$12+AP95*Population!$B$11*Population!M$44</f>
        <v>53.344747678362133</v>
      </c>
      <c r="AQ96" s="5">
        <f>(AP95*Population!$B$12+AQ95)*Population!M$45</f>
        <v>144.01591778266501</v>
      </c>
    </row>
    <row r="97" spans="1:43">
      <c r="A97">
        <f>A96+Population!$B$2</f>
        <v>94</v>
      </c>
      <c r="B97" s="4">
        <f t="shared" si="33"/>
        <v>987</v>
      </c>
      <c r="C97" s="59">
        <f t="shared" si="31"/>
        <v>385</v>
      </c>
      <c r="D97" s="12">
        <f>AC96*Population!$P$31*Population!$C$2+AE96*Population!$P$33*Population!$C$2+AG96*Population!$P$35*Population!$C$2+AI96*Population!$P$37*Population!$C$2+AK96*Population!$P$39*Population!$C$2+AM95*Population!$P$41*Population!$C$2</f>
        <v>13.407022505769564</v>
      </c>
      <c r="E97" s="12">
        <f>IF(B96&gt;Population!$B$6*Population!$B$15,Population!$B$8,IF(Population!$J$6=1,D97,Population!$B$8*Population!$B$6*0.9/B96))</f>
        <v>11.880918319076509</v>
      </c>
      <c r="F97" s="12">
        <f>IF(B96&gt;Population!$B$6*0.75,Population!$B$8,E97)</f>
        <v>11.880918319076509</v>
      </c>
      <c r="G97" s="15">
        <f>IF(Population!$J$6=1,IF(E97&gt;H96,H96,E97),IF(E97&gt;W96,W96,E97))</f>
        <v>11.880918319076509</v>
      </c>
      <c r="H97" s="15">
        <f t="shared" si="34"/>
        <v>199</v>
      </c>
      <c r="I97" s="15">
        <f t="shared" si="35"/>
        <v>248</v>
      </c>
      <c r="J97" s="12">
        <f t="shared" si="28"/>
        <v>1.2462311557788945</v>
      </c>
      <c r="K97" s="12">
        <f>Z97*Population!$O$28+AA97*Population!$O$29+AB97*Population!$O$30+AC97*Population!$O$31+AD97*Population!$O$32+AE97*Population!$O$33+AF97*Population!$O$34+AG97*Population!$O$35+AH97*Population!$O$36+AI97*Population!$O$37+AJ97*Population!$O$36+AK97*Population!$O$37+AL97*Population!$O$38+AM97*Population!$O$39+AN97*Population!$O$40+AO97*Population!$O$41+AP97*Population!$O$42+AQ97*Population!$O$43</f>
        <v>2.5231447952392858</v>
      </c>
      <c r="L97" s="12">
        <f t="shared" si="36"/>
        <v>5.9703107131037735E-2</v>
      </c>
      <c r="M97" s="12">
        <f t="shared" si="37"/>
        <v>5.7646993590657383</v>
      </c>
      <c r="N97" s="12">
        <f t="shared" si="29"/>
        <v>0.25126646403242148</v>
      </c>
      <c r="O97" s="12">
        <f t="shared" si="32"/>
        <v>388.54404022321239</v>
      </c>
      <c r="P97" s="12">
        <f t="shared" si="38"/>
        <v>175.2279798883938</v>
      </c>
      <c r="Q97" s="12">
        <f t="shared" si="39"/>
        <v>144.01591778266501</v>
      </c>
      <c r="R97" s="12">
        <f t="shared" si="40"/>
        <v>0.1458722544998762</v>
      </c>
      <c r="S97" s="12">
        <f t="shared" si="30"/>
        <v>0.88054261250449151</v>
      </c>
      <c r="T97" s="12">
        <f>Population!$B$13*MIN(X96:Y96)</f>
        <v>5.9535819722598902</v>
      </c>
      <c r="U97" s="12">
        <f>W96*Population!$B$14</f>
        <v>1.051147422850921</v>
      </c>
      <c r="V97" s="12">
        <f>AM96*S96*Population!$B$12</f>
        <v>4.865691802835304</v>
      </c>
      <c r="W97" s="12">
        <f t="shared" si="43"/>
        <v>175.2279798883938</v>
      </c>
      <c r="X97" s="14">
        <f t="shared" si="41"/>
        <v>23.791331374284937</v>
      </c>
      <c r="Y97" s="13">
        <f t="shared" si="42"/>
        <v>23.791331374284937</v>
      </c>
      <c r="Z97" s="18">
        <f>(G97+Population!$B$11*Z96)*Population!M$28</f>
        <v>82.930640286923733</v>
      </c>
      <c r="AA97" s="18">
        <f>Z96*Population!$B$12*Population!$M$28+AA96*Population!$B$11*Population!$M$29</f>
        <v>82.78515724996727</v>
      </c>
      <c r="AB97" s="14">
        <f>(AA96*Population!$B$12*0.5*Population!$M$29)+(AB96*Population!$B$11*Population!M$30)</f>
        <v>41.147778134478941</v>
      </c>
      <c r="AC97" s="13">
        <f>(AA96*Population!$B$12*0.5*Population!$M$29)+(AC96*Population!$B$11*Population!M$30)</f>
        <v>41.147778134478941</v>
      </c>
      <c r="AD97" s="14">
        <f>(AB96*Population!$B$12*Population!M$30)+(AD96*Population!$B$11*Population!M$32)</f>
        <v>40.873810991172014</v>
      </c>
      <c r="AE97" s="13">
        <f>(AC96*Population!$B$12*Population!M$30)+(AE96*Population!$B$11*Population!M$32)</f>
        <v>40.873810991172014</v>
      </c>
      <c r="AF97" s="14">
        <f>(AD96*Population!$B$12*Population!M$32)+(AF96*Population!$B$11*Population!M$34)</f>
        <v>40.36602882199201</v>
      </c>
      <c r="AG97" s="13">
        <f>(AE96*Population!$B$12*Population!M$32)+(AG96*Population!$B$11*Population!M$34)</f>
        <v>40.36602882199201</v>
      </c>
      <c r="AH97" s="14">
        <f>(AF96*Population!$B$12*Population!M$34)+(AH96*Population!$B$11*Population!M$36)</f>
        <v>39.818846727216474</v>
      </c>
      <c r="AI97" s="13">
        <f>(AG96*Population!$B$12*Population!M$34)+(AI96*Population!$B$11*Population!M$36)</f>
        <v>39.818846727216474</v>
      </c>
      <c r="AJ97" s="14">
        <f>(AH96*Population!$B$12*Population!M$36)+(AJ96*Population!$B$11*Population!M$38)</f>
        <v>39.264702862567361</v>
      </c>
      <c r="AK97" s="13">
        <f>(AI96*Population!$B$12*Population!M$36)+(AK96*Population!$B$11*Population!M$38)</f>
        <v>39.264702862567361</v>
      </c>
      <c r="AL97" s="14">
        <f>(AJ96*Population!$B$12*Population!M$38)+(AL96*Population!$B$11*Population!M$40)</f>
        <v>38.695921859730873</v>
      </c>
      <c r="AM97" s="13">
        <f>(AK96*Population!$B$12*Population!M$38)+(AM96*Population!$B$11*Population!M$40)</f>
        <v>38.695921859730873</v>
      </c>
      <c r="AN97" s="15">
        <f>(AL96+AM96)*Population!$B$12*Population!$M$40+AN96*Population!$B$11*Population!$M$42</f>
        <v>73.890736277736778</v>
      </c>
      <c r="AO97" s="5">
        <f>AN96*Population!M$42*Population!$B$12+AO96*Population!$B$11*Population!M$43</f>
        <v>70.148405028155466</v>
      </c>
      <c r="AP97" s="5">
        <f>AO96*Population!M$43*Population!$B$12+AP96*Population!$B$11*Population!M$44</f>
        <v>53.359432902160179</v>
      </c>
      <c r="AQ97" s="5">
        <f>(AP96*Population!$B$12+AQ96)*Population!M$45</f>
        <v>143.97591519137782</v>
      </c>
    </row>
    <row r="98" spans="1:43">
      <c r="A98">
        <f>A97+Population!$B$2</f>
        <v>95</v>
      </c>
      <c r="B98" s="4">
        <f t="shared" si="33"/>
        <v>987</v>
      </c>
      <c r="C98" s="59">
        <f t="shared" si="31"/>
        <v>385</v>
      </c>
      <c r="D98" s="12">
        <f>AC97*Population!$P$31*Population!$C$2+AE97*Population!$P$33*Population!$C$2+AG97*Population!$P$35*Population!$C$2+AI97*Population!$P$37*Population!$C$2+AK97*Population!$P$39*Population!$C$2+AM96*Population!$P$41*Population!$C$2</f>
        <v>13.407584361210805</v>
      </c>
      <c r="E98" s="12">
        <f>IF(B97&gt;Population!$B$6*Population!$B$15,Population!$B$8,IF(Population!$J$6=1,D98,Population!$B$8*Population!$B$6*0.9/B97))</f>
        <v>11.880918319076509</v>
      </c>
      <c r="F98" s="12">
        <f>IF(B97&gt;Population!$B$6*0.75,Population!$B$8,E98)</f>
        <v>11.880918319076509</v>
      </c>
      <c r="G98" s="15">
        <f>IF(Population!$J$6=1,IF(E98&gt;H97,H97,E98),IF(E98&gt;W97,W97,E98))</f>
        <v>11.880918319076509</v>
      </c>
      <c r="H98" s="15">
        <f t="shared" si="34"/>
        <v>199</v>
      </c>
      <c r="I98" s="15">
        <f t="shared" si="35"/>
        <v>248</v>
      </c>
      <c r="J98" s="12">
        <f t="shared" ref="J98:J103" si="44">I98/H98</f>
        <v>1.2462311557788945</v>
      </c>
      <c r="K98" s="12">
        <f>Z98*Population!$O$28+AA98*Population!$O$29+AB98*Population!$O$30+AC98*Population!$O$31+AD98*Population!$O$32+AE98*Population!$O$33+AF98*Population!$O$34+AG98*Population!$O$35+AH98*Population!$O$36+AI98*Population!$O$37+AJ98*Population!$O$36+AK98*Population!$O$37+AL98*Population!$O$38+AM98*Population!$O$39+AN98*Population!$O$40+AO98*Population!$O$41+AP98*Population!$O$42+AQ98*Population!$O$43</f>
        <v>2.5231227092247268</v>
      </c>
      <c r="L98" s="12">
        <f t="shared" si="36"/>
        <v>5.9703107131037735E-2</v>
      </c>
      <c r="M98" s="12">
        <f t="shared" si="37"/>
        <v>5.7648069498134475</v>
      </c>
      <c r="N98" s="12">
        <f t="shared" ref="N98:N115" si="45">I98/B98</f>
        <v>0.25126646403242148</v>
      </c>
      <c r="O98" s="12">
        <f t="shared" si="32"/>
        <v>388.48636975976984</v>
      </c>
      <c r="P98" s="12">
        <f t="shared" si="38"/>
        <v>175.25681512011508</v>
      </c>
      <c r="Q98" s="12">
        <f t="shared" si="39"/>
        <v>143.97591519137782</v>
      </c>
      <c r="R98" s="12">
        <f t="shared" si="40"/>
        <v>0.14583579071404093</v>
      </c>
      <c r="S98" s="12">
        <f t="shared" ref="S98:S103" si="46">W98/H98</f>
        <v>0.88068751316640748</v>
      </c>
      <c r="T98" s="12">
        <f>Population!$B$13*MIN(X97:Y97)</f>
        <v>5.9478328435712342</v>
      </c>
      <c r="U98" s="12">
        <f>W97*Population!$B$14</f>
        <v>1.0513678793303629</v>
      </c>
      <c r="V98" s="12">
        <f>AM97*S97*Population!$B$12</f>
        <v>4.8676297325195836</v>
      </c>
      <c r="W98" s="12">
        <f t="shared" si="43"/>
        <v>175.25681512011508</v>
      </c>
      <c r="X98" s="14">
        <f t="shared" si="41"/>
        <v>23.77518098476159</v>
      </c>
      <c r="Y98" s="13">
        <f t="shared" si="42"/>
        <v>23.77518098476159</v>
      </c>
      <c r="Z98" s="18">
        <f>(G98+Population!$B$11*Z97)*Population!M$28</f>
        <v>82.93064076363946</v>
      </c>
      <c r="AA98" s="18">
        <f>Z97*Population!$B$12*Population!$M$28+AA97*Population!$B$11*Population!$M$29</f>
        <v>82.785164854926194</v>
      </c>
      <c r="AB98" s="14">
        <f>(AA97*Population!$B$12*0.5*Population!$M$29)+(AB97*Population!$B$11*Population!M$30)</f>
        <v>41.147807300899103</v>
      </c>
      <c r="AC98" s="13">
        <f>(AA97*Population!$B$12*0.5*Population!$M$29)+(AC97*Population!$B$11*Population!M$30)</f>
        <v>41.147807300899103</v>
      </c>
      <c r="AD98" s="14">
        <f>(AB97*Population!$B$12*Population!M$30)+(AD97*Population!$B$11*Population!M$32)</f>
        <v>40.873959113957341</v>
      </c>
      <c r="AE98" s="13">
        <f>(AC97*Population!$B$12*Population!M$30)+(AE97*Population!$B$11*Population!M$32)</f>
        <v>40.873959113957341</v>
      </c>
      <c r="AF98" s="14">
        <f>(AD97*Population!$B$12*Population!M$32)+(AF97*Population!$B$11*Population!M$34)</f>
        <v>40.366573504174312</v>
      </c>
      <c r="AG98" s="13">
        <f>(AE97*Population!$B$12*Population!M$32)+(AG97*Population!$B$11*Population!M$34)</f>
        <v>40.366573504174312</v>
      </c>
      <c r="AH98" s="14">
        <f>(AF97*Population!$B$12*Population!M$34)+(AH97*Population!$B$11*Population!M$36)</f>
        <v>39.820413327950732</v>
      </c>
      <c r="AI98" s="13">
        <f>(AG97*Population!$B$12*Population!M$34)+(AI97*Population!$B$11*Population!M$36)</f>
        <v>39.820413327950732</v>
      </c>
      <c r="AJ98" s="14">
        <f>(AH97*Population!$B$12*Population!M$36)+(AJ97*Population!$B$11*Population!M$38)</f>
        <v>39.268326048561086</v>
      </c>
      <c r="AK98" s="13">
        <f>(AI97*Population!$B$12*Population!M$36)+(AK97*Population!$B$11*Population!M$38)</f>
        <v>39.268326048561086</v>
      </c>
      <c r="AL98" s="14">
        <f>(AJ97*Population!$B$12*Population!M$38)+(AL97*Population!$B$11*Population!M$40)</f>
        <v>38.702724110233198</v>
      </c>
      <c r="AM98" s="13">
        <f>(AK97*Population!$B$12*Population!M$38)+(AM97*Population!$B$11*Population!M$40)</f>
        <v>38.702724110233198</v>
      </c>
      <c r="AN98" s="15">
        <f>(AL97+AM97)*Population!$B$12*Population!$M$40+AN97*Population!$B$11*Population!$M$42</f>
        <v>73.910488859694226</v>
      </c>
      <c r="AO98" s="5">
        <f>AN97*Population!M$42*Population!$B$12+AO97*Population!$B$11*Population!M$43</f>
        <v>70.170571855704466</v>
      </c>
      <c r="AP98" s="5">
        <f>AO97*Population!M$43*Population!$B$12+AP97*Population!$B$11*Population!M$44</f>
        <v>53.374587886194234</v>
      </c>
      <c r="AQ98" s="5">
        <f>(AP97*Population!$B$12+AQ97)*Population!M$45</f>
        <v>143.93992543475841</v>
      </c>
    </row>
    <row r="99" spans="1:43">
      <c r="A99">
        <f>A98+Population!$B$2</f>
        <v>96</v>
      </c>
      <c r="B99" s="4">
        <f t="shared" si="33"/>
        <v>987</v>
      </c>
      <c r="C99" s="59">
        <f t="shared" ref="C99:C115" si="47">FLOOR(B99-I99-G99-SUM(AN99:AQ99),1)</f>
        <v>385</v>
      </c>
      <c r="D99" s="12">
        <f>AC98*Population!$P$31*Population!$C$2+AE98*Population!$P$33*Population!$C$2+AG98*Population!$P$35*Population!$C$2+AI98*Population!$P$37*Population!$C$2+AK98*Population!$P$39*Population!$C$2+AM97*Population!$P$41*Population!$C$2</f>
        <v>13.408100120206505</v>
      </c>
      <c r="E99" s="12">
        <f>IF(B98&gt;Population!$B$6*Population!$B$15,Population!$B$8,IF(Population!$J$6=1,D99,Population!$B$8*Population!$B$6*0.9/B98))</f>
        <v>11.880918319076509</v>
      </c>
      <c r="F99" s="12">
        <f>IF(B98&gt;Population!$B$6*0.75,Population!$B$8,E99)</f>
        <v>11.880918319076509</v>
      </c>
      <c r="G99" s="15">
        <f>IF(Population!$J$6=1,IF(E99&gt;H98,H98,E99),IF(E99&gt;W98,W98,E99))</f>
        <v>11.880918319076509</v>
      </c>
      <c r="H99" s="15">
        <f t="shared" si="34"/>
        <v>199</v>
      </c>
      <c r="I99" s="15">
        <f t="shared" si="35"/>
        <v>248</v>
      </c>
      <c r="J99" s="12">
        <f t="shared" si="44"/>
        <v>1.2462311557788945</v>
      </c>
      <c r="K99" s="12">
        <f>Z99*Population!$O$28+AA99*Population!$O$29+AB99*Population!$O$30+AC99*Population!$O$31+AD99*Population!$O$32+AE99*Population!$O$33+AF99*Population!$O$34+AG99*Population!$O$35+AH99*Population!$O$36+AI99*Population!$O$37+AJ99*Population!$O$36+AK99*Population!$O$37+AL99*Population!$O$38+AM99*Population!$O$39+AN99*Population!$O$40+AO99*Population!$O$41+AP99*Population!$O$42+AQ99*Population!$O$43</f>
        <v>2.5231243758415767</v>
      </c>
      <c r="L99" s="12">
        <f t="shared" si="36"/>
        <v>5.9703107131037735E-2</v>
      </c>
      <c r="M99" s="12">
        <f t="shared" si="37"/>
        <v>5.7649039023434288</v>
      </c>
      <c r="N99" s="12">
        <f t="shared" si="45"/>
        <v>0.25126646403242148</v>
      </c>
      <c r="O99" s="12">
        <f t="shared" ref="O99:O115" si="48">B99-I99-P99*2</f>
        <v>388.44043414866098</v>
      </c>
      <c r="P99" s="12">
        <f t="shared" si="38"/>
        <v>175.27978292566951</v>
      </c>
      <c r="Q99" s="12">
        <f t="shared" si="39"/>
        <v>143.93992543475841</v>
      </c>
      <c r="R99" s="12">
        <f t="shared" si="40"/>
        <v>0.1458032517757627</v>
      </c>
      <c r="S99" s="12">
        <f t="shared" si="46"/>
        <v>0.88080292927472115</v>
      </c>
      <c r="T99" s="12">
        <f>Population!$B$13*MIN(X98:Y98)</f>
        <v>5.9437952461903976</v>
      </c>
      <c r="U99" s="12">
        <f>W98*Population!$B$14</f>
        <v>1.0515408907206905</v>
      </c>
      <c r="V99" s="12">
        <f>AM98*S98*Population!$B$12</f>
        <v>4.8692865499152616</v>
      </c>
      <c r="W99" s="12">
        <f t="shared" si="43"/>
        <v>175.27978292566951</v>
      </c>
      <c r="X99" s="14">
        <f t="shared" si="41"/>
        <v>23.763908088091824</v>
      </c>
      <c r="Y99" s="13">
        <f t="shared" si="42"/>
        <v>23.763908088091824</v>
      </c>
      <c r="Z99" s="18">
        <f>(G99+Population!$B$11*Z98)*Population!M$28</f>
        <v>82.93064117208705</v>
      </c>
      <c r="AA99" s="18">
        <f>Z98*Population!$B$12*Population!$M$28+AA98*Population!$B$11*Population!$M$29</f>
        <v>82.785171440070343</v>
      </c>
      <c r="AB99" s="14">
        <f>(AA98*Population!$B$12*0.5*Population!$M$29)+(AB98*Population!$B$11*Population!M$30)</f>
        <v>41.147832819952143</v>
      </c>
      <c r="AC99" s="13">
        <f>(AA98*Population!$B$12*0.5*Population!$M$29)+(AC98*Population!$B$11*Population!M$30)</f>
        <v>41.147832819952143</v>
      </c>
      <c r="AD99" s="14">
        <f>(AB98*Population!$B$12*Population!M$30)+(AD98*Population!$B$11*Population!M$32)</f>
        <v>40.874090118010258</v>
      </c>
      <c r="AE99" s="13">
        <f>(AC98*Population!$B$12*Population!M$30)+(AE98*Population!$B$11*Population!M$32)</f>
        <v>40.874090118010258</v>
      </c>
      <c r="AF99" s="14">
        <f>(AD98*Population!$B$12*Population!M$32)+(AF98*Population!$B$11*Population!M$34)</f>
        <v>40.367060618457074</v>
      </c>
      <c r="AG99" s="13">
        <f>(AE98*Population!$B$12*Population!M$32)+(AG98*Population!$B$11*Population!M$34)</f>
        <v>40.367060618457074</v>
      </c>
      <c r="AH99" s="14">
        <f>(AF98*Population!$B$12*Population!M$34)+(AH98*Population!$B$11*Population!M$36)</f>
        <v>39.821831212744669</v>
      </c>
      <c r="AI99" s="13">
        <f>(AG98*Population!$B$12*Population!M$34)+(AI98*Population!$B$11*Population!M$36)</f>
        <v>39.821831212744669</v>
      </c>
      <c r="AJ99" s="14">
        <f>(AH98*Population!$B$12*Population!M$36)+(AJ98*Population!$B$11*Population!M$38)</f>
        <v>39.27164904423546</v>
      </c>
      <c r="AK99" s="13">
        <f>(AI98*Population!$B$12*Population!M$36)+(AK98*Population!$B$11*Population!M$38)</f>
        <v>39.27164904423546</v>
      </c>
      <c r="AL99" s="14">
        <f>(AJ98*Population!$B$12*Population!M$38)+(AL98*Population!$B$11*Population!M$40)</f>
        <v>38.709060020313878</v>
      </c>
      <c r="AM99" s="13">
        <f>(AK98*Population!$B$12*Population!M$38)+(AM98*Population!$B$11*Population!M$40)</f>
        <v>38.709060020313878</v>
      </c>
      <c r="AN99" s="15">
        <f>(AL98+AM98)*Population!$B$12*Population!$M$40+AN98*Population!$B$11*Population!$M$42</f>
        <v>73.929236664664543</v>
      </c>
      <c r="AO99" s="5">
        <f>AN98*Population!M$42*Population!$B$12+AO98*Population!$B$11*Population!M$43</f>
        <v>70.192235581995021</v>
      </c>
      <c r="AP99" s="5">
        <f>AO98*Population!M$43*Population!$B$12+AP98*Population!$B$11*Population!M$44</f>
        <v>53.390065349550405</v>
      </c>
      <c r="AQ99" s="5">
        <f>(AP98*Population!$B$12+AQ98)*Population!M$45</f>
        <v>143.90780950267779</v>
      </c>
    </row>
    <row r="100" spans="1:43">
      <c r="A100">
        <f>A99+Population!$B$2</f>
        <v>97</v>
      </c>
      <c r="B100" s="4">
        <f t="shared" si="33"/>
        <v>987</v>
      </c>
      <c r="C100" s="59">
        <f t="shared" si="47"/>
        <v>385</v>
      </c>
      <c r="D100" s="12">
        <f>AC99*Population!$P$31*Population!$C$2+AE99*Population!$P$33*Population!$C$2+AG99*Population!$P$35*Population!$C$2+AI99*Population!$P$37*Population!$C$2+AK99*Population!$P$39*Population!$C$2+AM98*Population!$P$41*Population!$C$2</f>
        <v>13.40857322684967</v>
      </c>
      <c r="E100" s="12">
        <f>IF(B99&gt;Population!$B$6*Population!$B$15,Population!$B$8,IF(Population!$J$6=1,D100,Population!$B$8*Population!$B$6*0.9/B99))</f>
        <v>11.880918319076509</v>
      </c>
      <c r="F100" s="12">
        <f>IF(B99&gt;Population!$B$6*0.75,Population!$B$8,E100)</f>
        <v>11.880918319076509</v>
      </c>
      <c r="G100" s="15">
        <f>IF(Population!$J$6=1,IF(E100&gt;H99,H99,E100),IF(E100&gt;W99,W99,E100))</f>
        <v>11.880918319076509</v>
      </c>
      <c r="H100" s="15">
        <f t="shared" si="34"/>
        <v>199</v>
      </c>
      <c r="I100" s="15">
        <f t="shared" si="35"/>
        <v>248</v>
      </c>
      <c r="J100" s="12">
        <f t="shared" si="44"/>
        <v>1.2462311557788945</v>
      </c>
      <c r="K100" s="12">
        <f>Z100*Population!$O$28+AA100*Population!$O$29+AB100*Population!$O$30+AC100*Population!$O$31+AD100*Population!$O$32+AE100*Population!$O$33+AF100*Population!$O$34+AG100*Population!$O$35+AH100*Population!$O$36+AI100*Population!$O$37+AJ100*Population!$O$36+AK100*Population!$O$37+AL100*Population!$O$38+AM100*Population!$O$39+AN100*Population!$O$40+AO100*Population!$O$41+AP100*Population!$O$42+AQ100*Population!$O$43</f>
        <v>2.5231479011816349</v>
      </c>
      <c r="L100" s="12">
        <f t="shared" si="36"/>
        <v>5.9703107131037735E-2</v>
      </c>
      <c r="M100" s="12">
        <f t="shared" si="37"/>
        <v>5.7649912212350625</v>
      </c>
      <c r="N100" s="12">
        <f t="shared" si="45"/>
        <v>0.25126646403242148</v>
      </c>
      <c r="O100" s="12">
        <f t="shared" si="48"/>
        <v>388.40328134411266</v>
      </c>
      <c r="P100" s="12">
        <f t="shared" si="38"/>
        <v>175.29835932794367</v>
      </c>
      <c r="Q100" s="12">
        <f t="shared" si="39"/>
        <v>143.90780950267779</v>
      </c>
      <c r="R100" s="12">
        <f t="shared" ref="R100:R115" si="49">SUM(AQ100:AQ100)/B100</f>
        <v>0.14577448371896204</v>
      </c>
      <c r="S100" s="12">
        <f t="shared" si="46"/>
        <v>0.8808962780298677</v>
      </c>
      <c r="T100" s="12">
        <f>Population!$B$13*MIN(X99:Y99)</f>
        <v>5.9409770220229561</v>
      </c>
      <c r="U100" s="12">
        <f>W99*Population!$B$14</f>
        <v>1.0516786975540171</v>
      </c>
      <c r="V100" s="12">
        <f>AM99*S99*Population!$B$12</f>
        <v>4.8707219221947797</v>
      </c>
      <c r="W100" s="12">
        <f t="shared" si="43"/>
        <v>175.29835932794367</v>
      </c>
      <c r="X100" s="14">
        <f t="shared" ref="X100:X103" si="50">(AD100+AF100+AH100+AJ100+AL100)-W100</f>
        <v>23.756104517101051</v>
      </c>
      <c r="Y100" s="13">
        <f t="shared" si="42"/>
        <v>23.756104517101051</v>
      </c>
      <c r="Z100" s="18">
        <f>(G100+Population!$B$11*Z99)*Population!M$28</f>
        <v>82.930641522042848</v>
      </c>
      <c r="AA100" s="18">
        <f>Z99*Population!$B$12*Population!$M$28+AA99*Population!$B$11*Population!$M$29</f>
        <v>82.785177141535584</v>
      </c>
      <c r="AB100" s="14">
        <f>(AA99*Population!$B$12*0.5*Population!$M$29)+(AB99*Population!$B$11*Population!M$30)</f>
        <v>41.14785514284236</v>
      </c>
      <c r="AC100" s="13">
        <f>(AA99*Population!$B$12*0.5*Population!$M$29)+(AC99*Population!$B$11*Population!M$30)</f>
        <v>41.14785514284236</v>
      </c>
      <c r="AD100" s="14">
        <f>(AB99*Population!$B$12*Population!M$30)+(AD99*Population!$B$11*Population!M$32)</f>
        <v>40.874205942291645</v>
      </c>
      <c r="AE100" s="13">
        <f>(AC99*Population!$B$12*Population!M$30)+(AE99*Population!$B$11*Population!M$32)</f>
        <v>40.874205942291645</v>
      </c>
      <c r="AF100" s="14">
        <f>(AD99*Population!$B$12*Population!M$32)+(AF99*Population!$B$11*Population!M$34)</f>
        <v>40.367496040363662</v>
      </c>
      <c r="AG100" s="13">
        <f>(AE99*Population!$B$12*Population!M$32)+(AG99*Population!$B$11*Population!M$34)</f>
        <v>40.367496040363662</v>
      </c>
      <c r="AH100" s="14">
        <f>(AF99*Population!$B$12*Population!M$34)+(AH99*Population!$B$11*Population!M$36)</f>
        <v>39.823113663280978</v>
      </c>
      <c r="AI100" s="13">
        <f>(AG99*Population!$B$12*Population!M$34)+(AI99*Population!$B$11*Population!M$36)</f>
        <v>39.823113663280978</v>
      </c>
      <c r="AJ100" s="14">
        <f>(AH99*Population!$B$12*Population!M$36)+(AJ99*Population!$B$11*Population!M$38)</f>
        <v>39.274694023605626</v>
      </c>
      <c r="AK100" s="13">
        <f>(AI99*Population!$B$12*Population!M$36)+(AK99*Population!$B$11*Population!M$38)</f>
        <v>39.274694023605626</v>
      </c>
      <c r="AL100" s="14">
        <f>(AJ99*Population!$B$12*Population!M$38)+(AL99*Population!$B$11*Population!M$40)</f>
        <v>38.714954175502825</v>
      </c>
      <c r="AM100" s="13">
        <f>(AK99*Population!$B$12*Population!M$38)+(AM99*Population!$B$11*Population!M$40)</f>
        <v>38.714954175502825</v>
      </c>
      <c r="AN100" s="15">
        <f>(AL99+AM99)*Population!$B$12*Population!$M$40+AN99*Population!$B$11*Population!$M$42</f>
        <v>73.946996491889166</v>
      </c>
      <c r="AO100" s="5">
        <f>AN99*Population!M$42*Population!$B$12+AO99*Population!$B$11*Population!M$43</f>
        <v>70.213328706142732</v>
      </c>
      <c r="AP100" s="5">
        <f>AO99*Population!M$43*Population!$B$12+AP99*Population!$B$11*Population!M$44</f>
        <v>53.405733908938899</v>
      </c>
      <c r="AQ100" s="5">
        <f>(AP99*Population!$B$12+AQ99)*Population!M$45</f>
        <v>143.87941543061552</v>
      </c>
    </row>
    <row r="101" spans="1:43">
      <c r="A101">
        <f>A100+Population!$B$2</f>
        <v>98</v>
      </c>
      <c r="B101" s="4">
        <f t="shared" si="33"/>
        <v>987</v>
      </c>
      <c r="C101" s="59">
        <f t="shared" si="47"/>
        <v>385</v>
      </c>
      <c r="D101" s="12">
        <f>AC100*Population!$P$31*Population!$C$2+AE100*Population!$P$33*Population!$C$2+AG100*Population!$P$35*Population!$C$2+AI100*Population!$P$37*Population!$C$2+AK100*Population!$P$39*Population!$C$2+AM99*Population!$P$41*Population!$C$2</f>
        <v>13.409006905830166</v>
      </c>
      <c r="E101" s="12">
        <f>IF(B100&gt;Population!$B$6*Population!$B$15,Population!$B$8,IF(Population!$J$6=1,D101,Population!$B$8*Population!$B$6*0.9/B100))</f>
        <v>11.880918319076509</v>
      </c>
      <c r="F101" s="12">
        <f>IF(B100&gt;Population!$B$6*0.75,Population!$B$8,E101)</f>
        <v>11.880918319076509</v>
      </c>
      <c r="G101" s="15">
        <f>IF(Population!$J$6=1,IF(E101&gt;H100,H100,E101),IF(E101&gt;W100,W100,E101))</f>
        <v>11.880918319076509</v>
      </c>
      <c r="H101" s="15">
        <f t="shared" si="34"/>
        <v>199</v>
      </c>
      <c r="I101" s="15">
        <f t="shared" si="35"/>
        <v>248</v>
      </c>
      <c r="J101" s="12">
        <f t="shared" si="44"/>
        <v>1.2462311557788945</v>
      </c>
      <c r="K101" s="12">
        <f>Z101*Population!$O$28+AA101*Population!$O$29+AB101*Population!$O$30+AC101*Population!$O$31+AD101*Population!$O$32+AE101*Population!$O$33+AF101*Population!$O$34+AG101*Population!$O$35+AH101*Population!$O$36+AI101*Population!$O$37+AJ101*Population!$O$36+AK101*Population!$O$37+AL101*Population!$O$38+AM101*Population!$O$39+AN101*Population!$O$40+AO101*Population!$O$41+AP101*Population!$O$42+AQ101*Population!$O$43</f>
        <v>2.5231914448585564</v>
      </c>
      <c r="L101" s="12">
        <f t="shared" si="36"/>
        <v>5.9703107131037735E-2</v>
      </c>
      <c r="M101" s="12">
        <f t="shared" si="37"/>
        <v>5.7650698221165966</v>
      </c>
      <c r="N101" s="12">
        <f t="shared" si="45"/>
        <v>0.25126646403242148</v>
      </c>
      <c r="O101" s="12">
        <f t="shared" si="48"/>
        <v>388.37276912243959</v>
      </c>
      <c r="P101" s="12">
        <f t="shared" si="38"/>
        <v>175.3136154387802</v>
      </c>
      <c r="Q101" s="12">
        <f t="shared" si="39"/>
        <v>143.87941543061552</v>
      </c>
      <c r="R101" s="12">
        <f t="shared" si="49"/>
        <v>0.14574932230037416</v>
      </c>
      <c r="S101" s="12">
        <f t="shared" si="46"/>
        <v>0.88097294190341813</v>
      </c>
      <c r="T101" s="12">
        <f>Population!$B$13*MIN(X100:Y100)</f>
        <v>5.9390261292752626</v>
      </c>
      <c r="U101" s="12">
        <f>W100*Population!$B$14</f>
        <v>1.0517901559676621</v>
      </c>
      <c r="V101" s="12">
        <f>AM100*S100*Population!$B$12</f>
        <v>4.8719798624710462</v>
      </c>
      <c r="W101" s="12">
        <f t="shared" si="43"/>
        <v>175.3136154387802</v>
      </c>
      <c r="X101" s="14">
        <f t="shared" si="50"/>
        <v>23.750763446171874</v>
      </c>
      <c r="Y101" s="13">
        <f t="shared" si="42"/>
        <v>23.750763446171874</v>
      </c>
      <c r="Z101" s="18">
        <f>(G101+Population!$B$11*Z100)*Population!M$28</f>
        <v>82.930641821883171</v>
      </c>
      <c r="AA101" s="18">
        <f>Z100*Population!$B$12*Population!$M$28+AA100*Population!$B$11*Population!$M$29</f>
        <v>82.785182077379616</v>
      </c>
      <c r="AB101" s="14">
        <f>(AA100*Population!$B$12*0.5*Population!$M$29)+(AB100*Population!$B$11*Population!M$30)</f>
        <v>41.147874665669541</v>
      </c>
      <c r="AC101" s="13">
        <f>(AA100*Population!$B$12*0.5*Population!$M$29)+(AC100*Population!$B$11*Population!M$30)</f>
        <v>41.147874665669541</v>
      </c>
      <c r="AD101" s="14">
        <f>(AB100*Population!$B$12*Population!M$30)+(AD100*Population!$B$11*Population!M$32)</f>
        <v>40.874308311580442</v>
      </c>
      <c r="AE101" s="13">
        <f>(AC100*Population!$B$12*Population!M$30)+(AE100*Population!$B$11*Population!M$32)</f>
        <v>40.874308311580442</v>
      </c>
      <c r="AF101" s="14">
        <f>(AD100*Population!$B$12*Population!M$32)+(AF100*Population!$B$11*Population!M$34)</f>
        <v>40.367885073117947</v>
      </c>
      <c r="AG101" s="13">
        <f>(AE100*Population!$B$12*Population!M$32)+(AG100*Population!$B$11*Population!M$34)</f>
        <v>40.367885073117947</v>
      </c>
      <c r="AH101" s="14">
        <f>(AF100*Population!$B$12*Population!M$34)+(AH100*Population!$B$11*Population!M$36)</f>
        <v>39.82427287975014</v>
      </c>
      <c r="AI101" s="13">
        <f>(AG100*Population!$B$12*Population!M$34)+(AI100*Population!$B$11*Population!M$36)</f>
        <v>39.82427287975014</v>
      </c>
      <c r="AJ101" s="14">
        <f>(AH100*Population!$B$12*Population!M$36)+(AJ100*Population!$B$11*Population!M$38)</f>
        <v>39.277481850218471</v>
      </c>
      <c r="AK101" s="13">
        <f>(AI100*Population!$B$12*Population!M$36)+(AK100*Population!$B$11*Population!M$38)</f>
        <v>39.277481850218471</v>
      </c>
      <c r="AL101" s="14">
        <f>(AJ100*Population!$B$12*Population!M$38)+(AL100*Population!$B$11*Population!M$40)</f>
        <v>38.720430770285063</v>
      </c>
      <c r="AM101" s="13">
        <f>(AK100*Population!$B$12*Population!M$38)+(AM100*Population!$B$11*Population!M$40)</f>
        <v>38.720430770285063</v>
      </c>
      <c r="AN101" s="15">
        <f>(AL100+AM100)*Population!$B$12*Population!$M$40+AN100*Population!$B$11*Population!$M$42</f>
        <v>73.96378964727279</v>
      </c>
      <c r="AO101" s="5">
        <f>AN100*Population!M$42*Population!$B$12+AO100*Population!$B$11*Population!M$43</f>
        <v>70.233796172208883</v>
      </c>
      <c r="AP101" s="5">
        <f>AO100*Population!M$43*Population!$B$12+AP100*Population!$B$11*Population!M$44</f>
        <v>53.42147706631129</v>
      </c>
      <c r="AQ101" s="5">
        <f>(AP100*Population!$B$12+AQ100)*Population!M$45</f>
        <v>143.8545811104693</v>
      </c>
    </row>
    <row r="102" spans="1:43">
      <c r="A102">
        <f>A101+Population!$B$2</f>
        <v>99</v>
      </c>
      <c r="B102" s="4">
        <f t="shared" si="33"/>
        <v>987</v>
      </c>
      <c r="C102" s="59">
        <f t="shared" si="47"/>
        <v>385</v>
      </c>
      <c r="D102" s="12">
        <f>AC101*Population!$P$31*Population!$C$2+AE101*Population!$P$33*Population!$C$2+AG101*Population!$P$35*Population!$C$2+AI101*Population!$P$37*Population!$C$2+AK101*Population!$P$39*Population!$C$2+AM100*Population!$P$41*Population!$C$2</f>
        <v>13.409404172005424</v>
      </c>
      <c r="E102" s="12">
        <f>IF(B101&gt;Population!$B$6*Population!$B$15,Population!$B$8,IF(Population!$J$6=1,D102,Population!$B$8*Population!$B$6*0.9/B101))</f>
        <v>11.880918319076509</v>
      </c>
      <c r="F102" s="12">
        <f>IF(B101&gt;Population!$B$6*0.75,Population!$B$8,E102)</f>
        <v>11.880918319076509</v>
      </c>
      <c r="G102" s="15">
        <f>IF(Population!$J$6=1,IF(E102&gt;H101,H101,E102),IF(E102&gt;W101,W101,E102))</f>
        <v>11.880918319076509</v>
      </c>
      <c r="H102" s="15">
        <f t="shared" si="34"/>
        <v>199</v>
      </c>
      <c r="I102" s="15">
        <f t="shared" si="35"/>
        <v>248</v>
      </c>
      <c r="J102" s="12">
        <f t="shared" si="44"/>
        <v>1.2462311557788945</v>
      </c>
      <c r="K102" s="12">
        <f>Z102*Population!$O$28+AA102*Population!$O$29+AB102*Population!$O$30+AC102*Population!$O$31+AD102*Population!$O$32+AE102*Population!$O$33+AF102*Population!$O$34+AG102*Population!$O$35+AH102*Population!$O$36+AI102*Population!$O$37+AJ102*Population!$O$36+AK102*Population!$O$37+AL102*Population!$O$38+AM102*Population!$O$39+AN102*Population!$O$40+AO102*Population!$O$41+AP102*Population!$O$42+AQ102*Population!$O$43</f>
        <v>2.5232532274066579</v>
      </c>
      <c r="L102" s="12">
        <f t="shared" si="36"/>
        <v>5.9703107131037735E-2</v>
      </c>
      <c r="M102" s="12">
        <f t="shared" si="37"/>
        <v>5.7651405387945491</v>
      </c>
      <c r="N102" s="12">
        <f t="shared" si="45"/>
        <v>0.25126646403242148</v>
      </c>
      <c r="O102" s="12">
        <f t="shared" si="48"/>
        <v>388.34733701532355</v>
      </c>
      <c r="P102" s="12">
        <f t="shared" si="38"/>
        <v>175.32633149233823</v>
      </c>
      <c r="Q102" s="12">
        <f t="shared" si="39"/>
        <v>143.8545811104693</v>
      </c>
      <c r="R102" s="12">
        <f t="shared" si="49"/>
        <v>0.14572759556437978</v>
      </c>
      <c r="S102" s="12">
        <f t="shared" si="46"/>
        <v>0.88103684167004137</v>
      </c>
      <c r="T102" s="12">
        <f>Population!$B$13*MIN(X101:Y101)</f>
        <v>5.9376908615429684</v>
      </c>
      <c r="U102" s="12">
        <f>W101*Population!$B$14</f>
        <v>1.0518816926326813</v>
      </c>
      <c r="V102" s="12">
        <f>AM101*S101*Population!$B$12</f>
        <v>4.8730931153522379</v>
      </c>
      <c r="W102" s="12">
        <f t="shared" si="43"/>
        <v>175.32633149233823</v>
      </c>
      <c r="X102" s="14">
        <f t="shared" si="50"/>
        <v>23.747165412421623</v>
      </c>
      <c r="Y102" s="13">
        <f t="shared" si="42"/>
        <v>23.747165412421623</v>
      </c>
      <c r="Z102" s="18">
        <f>(G102+Population!$B$11*Z101)*Population!M$28</f>
        <v>82.930642078784828</v>
      </c>
      <c r="AA102" s="18">
        <f>Z101*Population!$B$12*Population!$M$28+AA101*Population!$B$11*Population!$M$29</f>
        <v>82.7851863499681</v>
      </c>
      <c r="AB102" s="14">
        <f>(AA101*Population!$B$12*0.5*Population!$M$29)+(AB101*Population!$B$11*Population!M$30)</f>
        <v>41.147891736055008</v>
      </c>
      <c r="AC102" s="13">
        <f>(AA101*Population!$B$12*0.5*Population!$M$29)+(AC101*Population!$B$11*Population!M$30)</f>
        <v>41.147891736055008</v>
      </c>
      <c r="AD102" s="14">
        <f>(AB101*Population!$B$12*Population!M$30)+(AD101*Population!$B$11*Population!M$32)</f>
        <v>40.874398759381464</v>
      </c>
      <c r="AE102" s="13">
        <f>(AC101*Population!$B$12*Population!M$30)+(AE101*Population!$B$11*Population!M$32)</f>
        <v>40.874398759381464</v>
      </c>
      <c r="AF102" s="14">
        <f>(AD101*Population!$B$12*Population!M$32)+(AF101*Population!$B$11*Population!M$34)</f>
        <v>40.368232499774976</v>
      </c>
      <c r="AG102" s="13">
        <f>(AE101*Population!$B$12*Population!M$32)+(AG101*Population!$B$11*Population!M$34)</f>
        <v>40.368232499774976</v>
      </c>
      <c r="AH102" s="14">
        <f>(AF101*Population!$B$12*Population!M$34)+(AH101*Population!$B$11*Population!M$36)</f>
        <v>39.825320055529097</v>
      </c>
      <c r="AI102" s="13">
        <f>(AG101*Population!$B$12*Population!M$34)+(AI101*Population!$B$11*Population!M$36)</f>
        <v>39.825320055529097</v>
      </c>
      <c r="AJ102" s="14">
        <f>(AH101*Population!$B$12*Population!M$36)+(AJ101*Population!$B$11*Population!M$38)</f>
        <v>39.280032112316768</v>
      </c>
      <c r="AK102" s="13">
        <f>(AI101*Population!$B$12*Population!M$36)+(AK101*Population!$B$11*Population!M$38)</f>
        <v>39.280032112316768</v>
      </c>
      <c r="AL102" s="14">
        <f>(AJ101*Population!$B$12*Population!M$38)+(AL101*Population!$B$11*Population!M$40)</f>
        <v>38.725513477757538</v>
      </c>
      <c r="AM102" s="13">
        <f>(AK101*Population!$B$12*Population!M$38)+(AM101*Population!$B$11*Population!M$40)</f>
        <v>38.725513477757538</v>
      </c>
      <c r="AN102" s="15">
        <f>(AL101+AM101)*Population!$B$12*Population!$M$40+AN101*Population!$B$11*Population!$M$42</f>
        <v>73.97964116005609</v>
      </c>
      <c r="AO102" s="5">
        <f>AN101*Population!M$42*Population!$B$12+AO101*Population!$B$11*Population!M$43</f>
        <v>70.253594153156044</v>
      </c>
      <c r="AP102" s="5">
        <f>AO101*Population!M$43*Population!$B$12+AP101*Population!$B$11*Population!M$44</f>
        <v>53.437192202783976</v>
      </c>
      <c r="AQ102" s="5">
        <f>(AP101*Population!$B$12+AQ101)*Population!M$45</f>
        <v>143.83313682204283</v>
      </c>
    </row>
    <row r="103" spans="1:43">
      <c r="A103">
        <f>A102+Population!$B$2</f>
        <v>100</v>
      </c>
      <c r="B103" s="4">
        <f t="shared" si="33"/>
        <v>987</v>
      </c>
      <c r="C103" s="59">
        <f t="shared" si="47"/>
        <v>385</v>
      </c>
      <c r="D103" s="12">
        <f>AC102*Population!$P$31*Population!$C$2+AE102*Population!$P$33*Population!$C$2+AG102*Population!$P$35*Population!$C$2+AI102*Population!$P$37*Population!$C$2+AK102*Population!$P$39*Population!$C$2+AM101*Population!$P$41*Population!$C$2</f>
        <v>13.409767840120441</v>
      </c>
      <c r="E103" s="12">
        <f>IF(B102&gt;Population!$B$6*Population!$B$15,Population!$B$8,IF(Population!$J$6=1,D103,Population!$B$8*Population!$B$6*0.9/B102))</f>
        <v>11.880918319076509</v>
      </c>
      <c r="F103" s="12">
        <f>IF(B102&gt;Population!$B$6*0.75,Population!$B$8,E103)</f>
        <v>11.880918319076509</v>
      </c>
      <c r="G103" s="15">
        <f>IF(Population!$J$6=1,IF(E103&gt;H102,H102,E103),IF(E103&gt;W102,W102,E103))</f>
        <v>11.880918319076509</v>
      </c>
      <c r="H103" s="15">
        <f t="shared" si="34"/>
        <v>199</v>
      </c>
      <c r="I103" s="15">
        <f t="shared" si="35"/>
        <v>248</v>
      </c>
      <c r="J103" s="12">
        <f t="shared" si="44"/>
        <v>1.2462311557788945</v>
      </c>
      <c r="K103" s="12">
        <f>Z103*Population!$O$28+AA103*Population!$O$29+AB103*Population!$O$30+AC103*Population!$O$31+AD103*Population!$O$32+AE103*Population!$O$33+AF103*Population!$O$34+AG103*Population!$O$35+AH103*Population!$O$36+AI103*Population!$O$37+AJ103*Population!$O$36+AK103*Population!$O$37+AL103*Population!$O$38+AM103*Population!$O$39+AN103*Population!$O$40+AO103*Population!$O$41+AP103*Population!$O$42+AQ103*Population!$O$43</f>
        <v>2.523331536235907</v>
      </c>
      <c r="L103" s="12">
        <f t="shared" si="36"/>
        <v>5.9703107131037735E-2</v>
      </c>
      <c r="M103" s="12">
        <f t="shared" si="37"/>
        <v>5.765204129908434</v>
      </c>
      <c r="N103" s="12">
        <f t="shared" si="45"/>
        <v>0.25126646403242148</v>
      </c>
      <c r="O103" s="12">
        <f t="shared" si="48"/>
        <v>388.32584288316195</v>
      </c>
      <c r="P103" s="12">
        <f t="shared" si="38"/>
        <v>175.33707855841902</v>
      </c>
      <c r="Q103" s="12">
        <f t="shared" si="39"/>
        <v>143.83313682204283</v>
      </c>
      <c r="R103" s="12">
        <f t="shared" si="49"/>
        <v>0.14570912613999884</v>
      </c>
      <c r="S103" s="12">
        <f t="shared" si="46"/>
        <v>0.88109084702723128</v>
      </c>
      <c r="T103" s="12">
        <f>Population!$B$13*MIN(X102:Y102)</f>
        <v>5.9367913531054057</v>
      </c>
      <c r="U103" s="12">
        <f>W102*Population!$B$14</f>
        <v>1.0519579889540294</v>
      </c>
      <c r="V103" s="12">
        <f>AM102*S102*Population!$B$12</f>
        <v>4.8740862980705888</v>
      </c>
      <c r="W103" s="12">
        <f t="shared" si="43"/>
        <v>175.33707855841902</v>
      </c>
      <c r="X103" s="14">
        <f t="shared" si="50"/>
        <v>23.744796676362625</v>
      </c>
      <c r="Y103" s="13">
        <f t="shared" si="42"/>
        <v>23.744796676362625</v>
      </c>
      <c r="Z103" s="18">
        <f>(G103+Population!$B$11*Z102)*Population!M$28</f>
        <v>82.930642298896842</v>
      </c>
      <c r="AA103" s="18">
        <f>Z102*Population!$B$12*Population!$M$28+AA102*Population!$B$11*Population!$M$29</f>
        <v>82.785190048048136</v>
      </c>
      <c r="AB103" s="14">
        <f>(AA102*Population!$B$12*0.5*Population!$M$29)+(AB102*Population!$B$11*Population!M$30)</f>
        <v>41.147906658986138</v>
      </c>
      <c r="AC103" s="13">
        <f>(AA102*Population!$B$12*0.5*Population!$M$29)+(AC102*Population!$B$11*Population!M$30)</f>
        <v>41.147906658986138</v>
      </c>
      <c r="AD103" s="14">
        <f>(AB102*Population!$B$12*Population!M$30)+(AD102*Population!$B$11*Population!M$32)</f>
        <v>40.874478648487603</v>
      </c>
      <c r="AE103" s="13">
        <f>(AC102*Population!$B$12*Population!M$30)+(AE102*Population!$B$11*Population!M$32)</f>
        <v>40.874478648487603</v>
      </c>
      <c r="AF103" s="14">
        <f>(AD102*Population!$B$12*Population!M$32)+(AF102*Population!$B$11*Population!M$34)</f>
        <v>40.368542631088033</v>
      </c>
      <c r="AG103" s="13">
        <f>(AE102*Population!$B$12*Population!M$32)+(AG102*Population!$B$11*Population!M$34)</f>
        <v>40.368542631088033</v>
      </c>
      <c r="AH103" s="14">
        <f>(AF102*Population!$B$12*Population!M$34)+(AH102*Population!$B$11*Population!M$36)</f>
        <v>39.826265448501474</v>
      </c>
      <c r="AI103" s="13">
        <f>(AG102*Population!$B$12*Population!M$34)+(AI102*Population!$B$11*Population!M$36)</f>
        <v>39.826265448501474</v>
      </c>
      <c r="AJ103" s="14">
        <f>(AH102*Population!$B$12*Population!M$36)+(AJ102*Population!$B$11*Population!M$38)</f>
        <v>39.28236316356989</v>
      </c>
      <c r="AK103" s="13">
        <f>(AI102*Population!$B$12*Population!M$36)+(AK102*Population!$B$11*Population!M$38)</f>
        <v>39.28236316356989</v>
      </c>
      <c r="AL103" s="14">
        <f>(AJ102*Population!$B$12*Population!M$38)+(AL102*Population!$B$11*Population!M$40)</f>
        <v>38.730225343134649</v>
      </c>
      <c r="AM103" s="13">
        <f>(AK102*Population!$B$12*Population!M$38)+(AM102*Population!$B$11*Population!M$40)</f>
        <v>38.730225343134649</v>
      </c>
      <c r="AN103" s="15">
        <f>(AL102+AM102)*Population!$B$12*Population!$M$40+AN102*Population!$B$11*Population!$M$42</f>
        <v>73.99457907909067</v>
      </c>
      <c r="AO103" s="5">
        <f>AN102*Population!M$42*Population!$B$12+AO102*Population!$B$11*Population!M$43</f>
        <v>70.272688904988527</v>
      </c>
      <c r="AP103" s="5">
        <f>AO102*Population!M$43*Population!$B$12+AP102*Population!$B$11*Population!M$44</f>
        <v>53.452789587391663</v>
      </c>
      <c r="AQ103" s="5">
        <f>(AP102*Population!$B$12+AQ102)*Population!M$45</f>
        <v>143.81490750017886</v>
      </c>
    </row>
    <row r="104" spans="1:43">
      <c r="A104">
        <f>A103+Population!$B$2</f>
        <v>101</v>
      </c>
      <c r="B104" s="4">
        <f t="shared" si="33"/>
        <v>987</v>
      </c>
      <c r="C104" s="59">
        <f t="shared" si="47"/>
        <v>385</v>
      </c>
      <c r="D104" s="12">
        <f>AC103*Population!$P$31*Population!$C$2+AE103*Population!$P$33*Population!$C$2+AG103*Population!$P$35*Population!$C$2+AI103*Population!$P$37*Population!$C$2+AK103*Population!$P$39*Population!$C$2+AM102*Population!$P$41*Population!$C$2</f>
        <v>13.410100534577115</v>
      </c>
      <c r="E104" s="12">
        <f>IF(B103&gt;Population!$B$6*Population!$B$15,Population!$B$8,IF(Population!$J$6=1,D104,Population!$B$8*Population!$B$6*0.9/B103))</f>
        <v>11.880918319076509</v>
      </c>
      <c r="F104" s="12">
        <f>IF(B103&gt;Population!$B$6*0.75,Population!$B$8,E104)</f>
        <v>11.880918319076509</v>
      </c>
      <c r="G104" s="15">
        <f>IF(Population!$J$6=1,IF(E104&gt;H103,H103,E104),IF(E104&gt;W103,W103,E104))</f>
        <v>11.880918319076509</v>
      </c>
      <c r="H104" s="15">
        <f t="shared" ref="H104:H110" si="51">FLOOR(AE104+AG104+AI104+AK104+AM104,1)</f>
        <v>199</v>
      </c>
      <c r="I104" s="15">
        <f t="shared" ref="I104:I110" si="52">FLOOR(SUM(Z104:AC104),1)</f>
        <v>248</v>
      </c>
      <c r="J104" s="12">
        <f t="shared" ref="J104:J110" si="53">I104/H104</f>
        <v>1.2462311557788945</v>
      </c>
      <c r="K104" s="12">
        <f>Z104*Population!$O$28+AA104*Population!$O$29+AB104*Population!$O$30+AC104*Population!$O$31+AD104*Population!$O$32+AE104*Population!$O$33+AF104*Population!$O$34+AG104*Population!$O$35+AH104*Population!$O$36+AI104*Population!$O$37+AJ104*Population!$O$36+AK104*Population!$O$37+AL104*Population!$O$38+AM104*Population!$O$39+AN104*Population!$O$40+AO104*Population!$O$41+AP104*Population!$O$42+AQ104*Population!$O$43</f>
        <v>2.5234247302846189</v>
      </c>
      <c r="L104" s="12">
        <f t="shared" si="36"/>
        <v>5.9703107131037735E-2</v>
      </c>
      <c r="M104" s="12">
        <f t="shared" ref="M104:M110" si="54">(AD104+AE104+AF104+AG104+AH104+AI104)/21*0.5</f>
        <v>5.7652612851291547</v>
      </c>
      <c r="N104" s="12">
        <f t="shared" si="45"/>
        <v>0.25126646403242148</v>
      </c>
      <c r="O104" s="12">
        <f t="shared" si="48"/>
        <v>388.30744578857826</v>
      </c>
      <c r="P104" s="12">
        <f t="shared" si="38"/>
        <v>175.34627710571087</v>
      </c>
      <c r="Q104" s="12">
        <f t="shared" ref="Q104:Q110" si="55">SUM(AQ103:AQ103)</f>
        <v>143.81490750017886</v>
      </c>
      <c r="R104" s="12">
        <f t="shared" si="49"/>
        <v>0.14569373328561666</v>
      </c>
      <c r="S104" s="12">
        <f t="shared" ref="S104:S110" si="56">W104/H104</f>
        <v>0.88113707088296922</v>
      </c>
      <c r="T104" s="12">
        <f>Population!$B$13*MIN(X103:Y103)</f>
        <v>5.9361991690906564</v>
      </c>
      <c r="U104" s="12">
        <f>W103*Population!$B$14</f>
        <v>1.0520224713505142</v>
      </c>
      <c r="V104" s="12">
        <f>AM103*S103*Population!$B$12</f>
        <v>4.8749781504482925</v>
      </c>
      <c r="W104" s="12">
        <f t="shared" ref="W104:W110" si="57">W103+T104-V104-U104</f>
        <v>175.34627710571087</v>
      </c>
      <c r="X104" s="14">
        <f t="shared" ref="X104:X110" si="58">(AD104+AF104+AH104+AJ104+AL104)-W104</f>
        <v>23.743290748539408</v>
      </c>
      <c r="Y104" s="13">
        <f t="shared" ref="Y104:Y110" si="59">(AE104+AG104+AI104+AK104+AM104)-W104</f>
        <v>23.743290748539408</v>
      </c>
      <c r="Z104" s="18">
        <f>(G104+Population!$B$11*Z103)*Population!M$28</f>
        <v>82.930642487487688</v>
      </c>
      <c r="AA104" s="18">
        <f>Z103*Population!$B$12*Population!$M$28+AA103*Population!$B$11*Population!$M$29</f>
        <v>82.785193248549632</v>
      </c>
      <c r="AB104" s="14">
        <f>(AA103*Population!$B$12*0.5*Population!$M$29)+(AB103*Population!$B$11*Population!M$30)</f>
        <v>41.147919701969201</v>
      </c>
      <c r="AC104" s="13">
        <f>(AA103*Population!$B$12*0.5*Population!$M$29)+(AC103*Population!$B$11*Population!M$30)</f>
        <v>41.147919701969201</v>
      </c>
      <c r="AD104" s="14">
        <f>(AB103*Population!$B$12*Population!M$30)+(AD103*Population!$B$11*Population!M$32)</f>
        <v>40.874549189421955</v>
      </c>
      <c r="AE104" s="13">
        <f>(AC103*Population!$B$12*Population!M$30)+(AE103*Population!$B$11*Population!M$32)</f>
        <v>40.874549189421955</v>
      </c>
      <c r="AF104" s="14">
        <f>(AD103*Population!$B$12*Population!M$32)+(AF103*Population!$B$11*Population!M$34)</f>
        <v>40.368819349393377</v>
      </c>
      <c r="AG104" s="13">
        <f>(AE103*Population!$B$12*Population!M$32)+(AG103*Population!$B$11*Population!M$34)</f>
        <v>40.368819349393377</v>
      </c>
      <c r="AH104" s="14">
        <f>(AF103*Population!$B$12*Population!M$34)+(AH103*Population!$B$11*Population!M$36)</f>
        <v>39.827118448896925</v>
      </c>
      <c r="AI104" s="13">
        <f>(AG103*Population!$B$12*Population!M$34)+(AI103*Population!$B$11*Population!M$36)</f>
        <v>39.827118448896925</v>
      </c>
      <c r="AJ104" s="14">
        <f>(AH103*Population!$B$12*Population!M$36)+(AJ103*Population!$B$11*Population!M$38)</f>
        <v>39.284492168087908</v>
      </c>
      <c r="AK104" s="13">
        <f>(AI103*Population!$B$12*Population!M$36)+(AK103*Population!$B$11*Population!M$38)</f>
        <v>39.284492168087908</v>
      </c>
      <c r="AL104" s="14">
        <f>(AJ103*Population!$B$12*Population!M$38)+(AL103*Population!$B$11*Population!M$40)</f>
        <v>38.734588698450118</v>
      </c>
      <c r="AM104" s="13">
        <f>(AK103*Population!$B$12*Population!M$38)+(AM103*Population!$B$11*Population!M$40)</f>
        <v>38.734588698450118</v>
      </c>
      <c r="AN104" s="15">
        <f>(AL103+AM103)*Population!$B$12*Population!$M$40+AN103*Population!$B$11*Population!$M$42</f>
        <v>74.008633843650756</v>
      </c>
      <c r="AO104" s="5">
        <f>AN103*Population!M$42*Population!$B$12+AO103*Population!$B$11*Population!M$43</f>
        <v>70.291055691904489</v>
      </c>
      <c r="AP104" s="5">
        <f>AO103*Population!M$43*Population!$B$12+AP103*Population!$B$11*Population!M$44</f>
        <v>53.468191407863884</v>
      </c>
      <c r="AQ104" s="5">
        <f>(AP103*Population!$B$12+AQ103)*Population!M$45</f>
        <v>143.79971475290364</v>
      </c>
    </row>
    <row r="105" spans="1:43">
      <c r="A105">
        <f>A104+Population!$B$2</f>
        <v>102</v>
      </c>
      <c r="B105" s="4">
        <f t="shared" si="33"/>
        <v>987</v>
      </c>
      <c r="C105" s="59">
        <f t="shared" si="47"/>
        <v>385</v>
      </c>
      <c r="D105" s="12">
        <f>AC104*Population!$P$31*Population!$C$2+AE104*Population!$P$33*Population!$C$2+AG104*Population!$P$35*Population!$C$2+AI104*Population!$P$37*Population!$C$2+AK104*Population!$P$39*Population!$C$2+AM103*Population!$P$41*Population!$C$2</f>
        <v>13.410404699167763</v>
      </c>
      <c r="E105" s="12">
        <f>IF(B104&gt;Population!$B$6*Population!$B$15,Population!$B$8,IF(Population!$J$6=1,D105,Population!$B$8*Population!$B$6*0.9/B104))</f>
        <v>11.880918319076509</v>
      </c>
      <c r="F105" s="12">
        <f>IF(B104&gt;Population!$B$6*0.75,Population!$B$8,E105)</f>
        <v>11.880918319076509</v>
      </c>
      <c r="G105" s="15">
        <f>IF(Population!$J$6=1,IF(E105&gt;H104,H104,E105),IF(E105&gt;W104,W104,E105))</f>
        <v>11.880918319076509</v>
      </c>
      <c r="H105" s="15">
        <f t="shared" si="51"/>
        <v>199</v>
      </c>
      <c r="I105" s="15">
        <f t="shared" si="52"/>
        <v>248</v>
      </c>
      <c r="J105" s="12">
        <f t="shared" si="53"/>
        <v>1.2462311557788945</v>
      </c>
      <c r="K105" s="12">
        <f>Z105*Population!$O$28+AA105*Population!$O$29+AB105*Population!$O$30+AC105*Population!$O$31+AD105*Population!$O$32+AE105*Population!$O$33+AF105*Population!$O$34+AG105*Population!$O$35+AH105*Population!$O$36+AI105*Population!$O$37+AJ105*Population!$O$36+AK105*Population!$O$37+AL105*Population!$O$38+AM105*Population!$O$39+AN105*Population!$O$40+AO105*Population!$O$41+AP105*Population!$O$42+AQ105*Population!$O$43</f>
        <v>2.5235312435038981</v>
      </c>
      <c r="L105" s="12">
        <f t="shared" si="36"/>
        <v>5.9703107131037735E-2</v>
      </c>
      <c r="M105" s="12">
        <f t="shared" si="54"/>
        <v>5.7653126309207652</v>
      </c>
      <c r="N105" s="12">
        <f t="shared" si="45"/>
        <v>0.25126646403242148</v>
      </c>
      <c r="O105" s="12">
        <f t="shared" si="48"/>
        <v>388.29152203317966</v>
      </c>
      <c r="P105" s="12">
        <f t="shared" si="38"/>
        <v>175.35423898341017</v>
      </c>
      <c r="Q105" s="12">
        <f t="shared" si="55"/>
        <v>143.79971475290364</v>
      </c>
      <c r="R105" s="12">
        <f t="shared" si="49"/>
        <v>0.14568123469721339</v>
      </c>
      <c r="S105" s="12">
        <f t="shared" si="56"/>
        <v>0.88117708031864406</v>
      </c>
      <c r="T105" s="12">
        <f>Population!$B$13*MIN(X104:Y104)</f>
        <v>5.9358226871348521</v>
      </c>
      <c r="U105" s="12">
        <f>W104*Population!$B$14</f>
        <v>1.0520776626342652</v>
      </c>
      <c r="V105" s="12">
        <f>AM104*S104*Population!$B$12</f>
        <v>4.8757831468012709</v>
      </c>
      <c r="W105" s="12">
        <f t="shared" si="57"/>
        <v>175.35423898341017</v>
      </c>
      <c r="X105" s="14">
        <f t="shared" si="58"/>
        <v>23.742386510532441</v>
      </c>
      <c r="Y105" s="13">
        <f t="shared" si="59"/>
        <v>23.742386510532441</v>
      </c>
      <c r="Z105" s="18">
        <f>(G105+Population!$B$11*Z104)*Population!M$28</f>
        <v>82.930642649071345</v>
      </c>
      <c r="AA105" s="18">
        <f>Z104*Population!$B$12*Population!$M$28+AA104*Population!$B$11*Population!$M$29</f>
        <v>82.785196018150003</v>
      </c>
      <c r="AB105" s="14">
        <f>(AA104*Population!$B$12*0.5*Population!$M$29)+(AB104*Population!$B$11*Population!M$30)</f>
        <v>41.147931099570528</v>
      </c>
      <c r="AC105" s="13">
        <f>(AA104*Population!$B$12*0.5*Population!$M$29)+(AC104*Population!$B$11*Population!M$30)</f>
        <v>41.147931099570528</v>
      </c>
      <c r="AD105" s="14">
        <f>(AB104*Population!$B$12*Population!M$30)+(AD104*Population!$B$11*Population!M$32)</f>
        <v>40.874611456965695</v>
      </c>
      <c r="AE105" s="13">
        <f>(AC104*Population!$B$12*Population!M$30)+(AE104*Population!$B$11*Population!M$32)</f>
        <v>40.874611456965695</v>
      </c>
      <c r="AF105" s="14">
        <f>(AD104*Population!$B$12*Population!M$32)+(AF104*Population!$B$11*Population!M$34)</f>
        <v>40.369066148785677</v>
      </c>
      <c r="AG105" s="13">
        <f>(AE104*Population!$B$12*Population!M$32)+(AG104*Population!$B$11*Population!M$34)</f>
        <v>40.369066148785677</v>
      </c>
      <c r="AH105" s="14">
        <f>(AF104*Population!$B$12*Population!M$34)+(AH104*Population!$B$11*Population!M$36)</f>
        <v>39.827887643584688</v>
      </c>
      <c r="AI105" s="13">
        <f>(AG104*Population!$B$12*Population!M$34)+(AI104*Population!$B$11*Population!M$36)</f>
        <v>39.827887643584688</v>
      </c>
      <c r="AJ105" s="14">
        <f>(AH104*Population!$B$12*Population!M$36)+(AJ104*Population!$B$11*Population!M$38)</f>
        <v>39.286435148603736</v>
      </c>
      <c r="AK105" s="13">
        <f>(AI104*Population!$B$12*Population!M$36)+(AK104*Population!$B$11*Population!M$38)</f>
        <v>39.286435148603736</v>
      </c>
      <c r="AL105" s="14">
        <f>(AJ104*Population!$B$12*Population!M$38)+(AL104*Population!$B$11*Population!M$40)</f>
        <v>38.738625096002821</v>
      </c>
      <c r="AM105" s="13">
        <f>(AK104*Population!$B$12*Population!M$38)+(AM104*Population!$B$11*Population!M$40)</f>
        <v>38.738625096002821</v>
      </c>
      <c r="AN105" s="15">
        <f>(AL104+AM104)*Population!$B$12*Population!$M$40+AN104*Population!$B$11*Population!$M$42</f>
        <v>74.021837723714853</v>
      </c>
      <c r="AO105" s="5">
        <f>AN104*Population!M$42*Population!$B$12+AO104*Population!$B$11*Population!M$43</f>
        <v>70.308677782444775</v>
      </c>
      <c r="AP105" s="5">
        <f>AO104*Population!M$43*Population!$B$12+AP104*Population!$B$11*Population!M$44</f>
        <v>53.48333082939569</v>
      </c>
      <c r="AQ105" s="5">
        <f>(AP104*Population!$B$12+AQ104)*Population!M$45</f>
        <v>143.78737864614962</v>
      </c>
    </row>
    <row r="106" spans="1:43">
      <c r="A106">
        <f>A105+Population!$B$2</f>
        <v>103</v>
      </c>
      <c r="B106" s="4">
        <f t="shared" si="33"/>
        <v>987</v>
      </c>
      <c r="C106" s="59">
        <f t="shared" si="47"/>
        <v>385</v>
      </c>
      <c r="D106" s="12">
        <f>AC105*Population!$P$31*Population!$C$2+AE105*Population!$P$33*Population!$C$2+AG105*Population!$P$35*Population!$C$2+AI105*Population!$P$37*Population!$C$2+AK105*Population!$P$39*Population!$C$2+AM104*Population!$P$41*Population!$C$2</f>
        <v>13.410682606700982</v>
      </c>
      <c r="E106" s="12">
        <f>IF(B105&gt;Population!$B$6*Population!$B$15,Population!$B$8,IF(Population!$J$6=1,D106,Population!$B$8*Population!$B$6*0.9/B105))</f>
        <v>11.880918319076509</v>
      </c>
      <c r="F106" s="12">
        <f>IF(B105&gt;Population!$B$6*0.75,Population!$B$8,E106)</f>
        <v>11.880918319076509</v>
      </c>
      <c r="G106" s="15">
        <f>IF(Population!$J$6=1,IF(E106&gt;H105,H105,E106),IF(E106&gt;W105,W105,E106))</f>
        <v>11.880918319076509</v>
      </c>
      <c r="H106" s="15">
        <f t="shared" si="51"/>
        <v>199</v>
      </c>
      <c r="I106" s="15">
        <f t="shared" si="52"/>
        <v>248</v>
      </c>
      <c r="J106" s="12">
        <f t="shared" si="53"/>
        <v>1.2462311557788945</v>
      </c>
      <c r="K106" s="12">
        <f>Z106*Population!$O$28+AA106*Population!$O$29+AB106*Population!$O$30+AC106*Population!$O$31+AD106*Population!$O$32+AE106*Population!$O$33+AF106*Population!$O$34+AG106*Population!$O$35+AH106*Population!$O$36+AI106*Population!$O$37+AJ106*Population!$O$36+AK106*Population!$O$37+AL106*Population!$O$38+AM106*Population!$O$39+AN106*Population!$O$40+AO106*Population!$O$41+AP106*Population!$O$42+AQ106*Population!$O$43</f>
        <v>2.5236495873001363</v>
      </c>
      <c r="L106" s="12">
        <f t="shared" si="36"/>
        <v>5.9703107131037735E-2</v>
      </c>
      <c r="M106" s="12">
        <f t="shared" si="54"/>
        <v>5.7653587358862399</v>
      </c>
      <c r="N106" s="12">
        <f t="shared" si="45"/>
        <v>0.25126646403242148</v>
      </c>
      <c r="O106" s="12">
        <f t="shared" si="48"/>
        <v>388.2776049479013</v>
      </c>
      <c r="P106" s="12">
        <f t="shared" si="38"/>
        <v>175.36119752604935</v>
      </c>
      <c r="Q106" s="12">
        <f t="shared" si="55"/>
        <v>143.78737864614962</v>
      </c>
      <c r="R106" s="12">
        <f t="shared" si="49"/>
        <v>0.14567144809589197</v>
      </c>
      <c r="S106" s="12">
        <f t="shared" si="56"/>
        <v>0.88121204786959473</v>
      </c>
      <c r="T106" s="12">
        <f>Population!$B$13*MIN(X105:Y105)</f>
        <v>5.9355966276331102</v>
      </c>
      <c r="U106" s="12">
        <f>W105*Population!$B$14</f>
        <v>1.0521254339004611</v>
      </c>
      <c r="V106" s="12">
        <f>AM105*S105*Population!$B$12</f>
        <v>4.8765126510934733</v>
      </c>
      <c r="W106" s="12">
        <f t="shared" si="57"/>
        <v>175.36119752604935</v>
      </c>
      <c r="X106" s="14">
        <f t="shared" si="58"/>
        <v>23.741898222711512</v>
      </c>
      <c r="Y106" s="13">
        <f t="shared" si="59"/>
        <v>23.741898222711512</v>
      </c>
      <c r="Z106" s="18">
        <f>(G106+Population!$B$11*Z105)*Population!M$28</f>
        <v>82.930642787515382</v>
      </c>
      <c r="AA106" s="18">
        <f>Z105*Population!$B$12*Population!$M$28+AA105*Population!$B$11*Population!$M$29</f>
        <v>82.785198414633044</v>
      </c>
      <c r="AB106" s="14">
        <f>(AA105*Population!$B$12*0.5*Population!$M$29)+(AB105*Population!$B$11*Population!M$30)</f>
        <v>41.147941057416972</v>
      </c>
      <c r="AC106" s="13">
        <f>(AA105*Population!$B$12*0.5*Population!$M$29)+(AC105*Population!$B$11*Population!M$30)</f>
        <v>41.147941057416972</v>
      </c>
      <c r="AD106" s="14">
        <f>(AB105*Population!$B$12*Population!M$30)+(AD105*Population!$B$11*Population!M$32)</f>
        <v>40.874666404959413</v>
      </c>
      <c r="AE106" s="13">
        <f>(AC105*Population!$B$12*Population!M$30)+(AE105*Population!$B$11*Population!M$32)</f>
        <v>40.874666404959413</v>
      </c>
      <c r="AF106" s="14">
        <f>(AD105*Population!$B$12*Population!M$32)+(AF105*Population!$B$11*Population!M$34)</f>
        <v>40.369286171846753</v>
      </c>
      <c r="AG106" s="13">
        <f>(AE105*Population!$B$12*Population!M$32)+(AG105*Population!$B$11*Population!M$34)</f>
        <v>40.369286171846753</v>
      </c>
      <c r="AH106" s="14">
        <f>(AF105*Population!$B$12*Population!M$34)+(AH105*Population!$B$11*Population!M$36)</f>
        <v>39.828580876804864</v>
      </c>
      <c r="AI106" s="13">
        <f>(AG105*Population!$B$12*Population!M$34)+(AI105*Population!$B$11*Population!M$36)</f>
        <v>39.828580876804864</v>
      </c>
      <c r="AJ106" s="14">
        <f>(AH105*Population!$B$12*Population!M$36)+(AJ105*Population!$B$11*Population!M$38)</f>
        <v>39.288207036859923</v>
      </c>
      <c r="AK106" s="13">
        <f>(AI105*Population!$B$12*Population!M$36)+(AK105*Population!$B$11*Population!M$38)</f>
        <v>39.288207036859923</v>
      </c>
      <c r="AL106" s="14">
        <f>(AJ105*Population!$B$12*Population!M$38)+(AL105*Population!$B$11*Population!M$40)</f>
        <v>38.742355258289912</v>
      </c>
      <c r="AM106" s="13">
        <f>(AK105*Population!$B$12*Population!M$38)+(AM105*Population!$B$11*Population!M$40)</f>
        <v>38.742355258289912</v>
      </c>
      <c r="AN106" s="15">
        <f>(AL105+AM105)*Population!$B$12*Population!$M$40+AN105*Population!$B$11*Population!$M$42</f>
        <v>74.034224324706358</v>
      </c>
      <c r="AO106" s="5">
        <f>AN105*Population!M$42*Population!$B$12+AO105*Population!$B$11*Population!M$43</f>
        <v>70.32554551590718</v>
      </c>
      <c r="AP106" s="5">
        <f>AO105*Population!M$43*Population!$B$12+AP105*Population!$B$11*Population!M$44</f>
        <v>53.498151086269971</v>
      </c>
      <c r="AQ106" s="5">
        <f>(AP105*Population!$B$12+AQ105)*Population!M$45</f>
        <v>143.77771927064538</v>
      </c>
    </row>
    <row r="107" spans="1:43">
      <c r="A107">
        <f>A106+Population!$B$2</f>
        <v>104</v>
      </c>
      <c r="B107" s="4">
        <f t="shared" si="33"/>
        <v>987</v>
      </c>
      <c r="C107" s="59">
        <f t="shared" si="47"/>
        <v>385</v>
      </c>
      <c r="D107" s="12">
        <f>AC106*Population!$P$31*Population!$C$2+AE106*Population!$P$33*Population!$C$2+AG106*Population!$P$35*Population!$C$2+AI106*Population!$P$37*Population!$C$2+AK106*Population!$P$39*Population!$C$2+AM105*Population!$P$41*Population!$C$2</f>
        <v>13.410936368459796</v>
      </c>
      <c r="E107" s="12">
        <f>IF(B106&gt;Population!$B$6*Population!$B$15,Population!$B$8,IF(Population!$J$6=1,D107,Population!$B$8*Population!$B$6*0.9/B106))</f>
        <v>11.880918319076509</v>
      </c>
      <c r="F107" s="12">
        <f>IF(B106&gt;Population!$B$6*0.75,Population!$B$8,E107)</f>
        <v>11.880918319076509</v>
      </c>
      <c r="G107" s="15">
        <f>IF(Population!$J$6=1,IF(E107&gt;H106,H106,E107),IF(E107&gt;W106,W106,E107))</f>
        <v>11.880918319076509</v>
      </c>
      <c r="H107" s="15">
        <f t="shared" si="51"/>
        <v>199</v>
      </c>
      <c r="I107" s="15">
        <f t="shared" si="52"/>
        <v>248</v>
      </c>
      <c r="J107" s="12">
        <f t="shared" si="53"/>
        <v>1.2462311557788945</v>
      </c>
      <c r="K107" s="12">
        <f>Z107*Population!$O$28+AA107*Population!$O$29+AB107*Population!$O$30+AC107*Population!$O$31+AD107*Population!$O$32+AE107*Population!$O$33+AF107*Population!$O$34+AG107*Population!$O$35+AH107*Population!$O$36+AI107*Population!$O$37+AJ107*Population!$O$36+AK107*Population!$O$37+AL107*Population!$O$38+AM107*Population!$O$39+AN107*Population!$O$40+AO107*Population!$O$41+AP107*Population!$O$42+AQ107*Population!$O$43</f>
        <v>2.5237783520539643</v>
      </c>
      <c r="L107" s="12">
        <f t="shared" si="36"/>
        <v>5.9703107131037735E-2</v>
      </c>
      <c r="M107" s="12">
        <f t="shared" si="54"/>
        <v>5.7654001157185277</v>
      </c>
      <c r="N107" s="12">
        <f t="shared" si="45"/>
        <v>0.25126646403242148</v>
      </c>
      <c r="O107" s="12">
        <f t="shared" si="48"/>
        <v>388.26534169727216</v>
      </c>
      <c r="P107" s="12">
        <f t="shared" si="38"/>
        <v>175.36732915136392</v>
      </c>
      <c r="Q107" s="12">
        <f t="shared" si="55"/>
        <v>143.77771927064538</v>
      </c>
      <c r="R107" s="12">
        <f t="shared" si="49"/>
        <v>0.14566419261036884</v>
      </c>
      <c r="S107" s="12">
        <f t="shared" si="56"/>
        <v>0.88124286005710517</v>
      </c>
      <c r="T107" s="12">
        <f>Population!$B$13*MIN(X106:Y106)</f>
        <v>5.9354745556778781</v>
      </c>
      <c r="U107" s="12">
        <f>W106*Population!$B$14</f>
        <v>1.0521671851562961</v>
      </c>
      <c r="V107" s="12">
        <f>AM106*S106*Population!$B$12</f>
        <v>4.8771757452070013</v>
      </c>
      <c r="W107" s="12">
        <f t="shared" si="57"/>
        <v>175.36732915136392</v>
      </c>
      <c r="X107" s="14">
        <f t="shared" si="58"/>
        <v>23.74169404645798</v>
      </c>
      <c r="Y107" s="13">
        <f t="shared" si="59"/>
        <v>23.74169404645798</v>
      </c>
      <c r="Z107" s="18">
        <f>(G107+Population!$B$11*Z106)*Population!M$28</f>
        <v>82.930642906133528</v>
      </c>
      <c r="AA107" s="18">
        <f>Z106*Population!$B$12*Population!$M$28+AA106*Population!$B$11*Population!$M$29</f>
        <v>82.785200488068881</v>
      </c>
      <c r="AB107" s="14">
        <f>(AA106*Population!$B$12*0.5*Population!$M$29)+(AB106*Population!$B$11*Population!M$30)</f>
        <v>41.147949755718628</v>
      </c>
      <c r="AC107" s="13">
        <f>(AA106*Population!$B$12*0.5*Population!$M$29)+(AC106*Population!$B$11*Population!M$30)</f>
        <v>41.147949755718628</v>
      </c>
      <c r="AD107" s="14">
        <f>(AB106*Population!$B$12*Population!M$30)+(AD106*Population!$B$11*Population!M$32)</f>
        <v>40.87471487954889</v>
      </c>
      <c r="AE107" s="13">
        <f>(AC106*Population!$B$12*Population!M$30)+(AE106*Population!$B$11*Population!M$32)</f>
        <v>40.87471487954889</v>
      </c>
      <c r="AF107" s="14">
        <f>(AD106*Population!$B$12*Population!M$32)+(AF106*Population!$B$11*Population!M$34)</f>
        <v>40.369482243179483</v>
      </c>
      <c r="AG107" s="13">
        <f>(AE106*Population!$B$12*Population!M$32)+(AG106*Population!$B$11*Population!M$34)</f>
        <v>40.369482243179483</v>
      </c>
      <c r="AH107" s="14">
        <f>(AF106*Population!$B$12*Population!M$34)+(AH106*Population!$B$11*Population!M$36)</f>
        <v>39.829205307360738</v>
      </c>
      <c r="AI107" s="13">
        <f>(AG106*Population!$B$12*Population!M$34)+(AI106*Population!$B$11*Population!M$36)</f>
        <v>39.829205307360738</v>
      </c>
      <c r="AJ107" s="14">
        <f>(AH106*Population!$B$12*Population!M$36)+(AJ106*Population!$B$11*Population!M$38)</f>
        <v>39.289821725373756</v>
      </c>
      <c r="AK107" s="13">
        <f>(AI106*Population!$B$12*Population!M$36)+(AK106*Population!$B$11*Population!M$38)</f>
        <v>39.289821725373756</v>
      </c>
      <c r="AL107" s="14">
        <f>(AJ106*Population!$B$12*Population!M$38)+(AL106*Population!$B$11*Population!M$40)</f>
        <v>38.745799042359025</v>
      </c>
      <c r="AM107" s="13">
        <f>(AK106*Population!$B$12*Population!M$38)+(AM106*Population!$B$11*Population!M$40)</f>
        <v>38.745799042359025</v>
      </c>
      <c r="AN107" s="15">
        <f>(AL106+AM106)*Population!$B$12*Population!$M$40+AN106*Population!$B$11*Population!$M$42</f>
        <v>74.045828151785912</v>
      </c>
      <c r="AO107" s="5">
        <f>AN106*Population!M$42*Population!$B$12+AO106*Population!$B$11*Population!M$43</f>
        <v>70.341655437693348</v>
      </c>
      <c r="AP107" s="5">
        <f>AO106*Population!M$43*Population!$B$12+AP106*Population!$B$11*Population!M$44</f>
        <v>53.512604610180929</v>
      </c>
      <c r="AQ107" s="5">
        <f>(AP106*Population!$B$12+AQ106)*Population!M$45</f>
        <v>143.77055810643404</v>
      </c>
    </row>
    <row r="108" spans="1:43">
      <c r="A108">
        <f>A107+Population!$B$2</f>
        <v>105</v>
      </c>
      <c r="B108" s="4">
        <f t="shared" si="33"/>
        <v>987</v>
      </c>
      <c r="C108" s="59">
        <f t="shared" si="47"/>
        <v>385</v>
      </c>
      <c r="D108" s="12">
        <f>AC107*Population!$P$31*Population!$C$2+AE107*Population!$P$33*Population!$C$2+AG107*Population!$P$35*Population!$C$2+AI107*Population!$P$37*Population!$C$2+AK107*Population!$P$39*Population!$C$2+AM106*Population!$P$41*Population!$C$2</f>
        <v>13.411167943442711</v>
      </c>
      <c r="E108" s="12">
        <f>IF(B107&gt;Population!$B$6*Population!$B$15,Population!$B$8,IF(Population!$J$6=1,D108,Population!$B$8*Population!$B$6*0.9/B107))</f>
        <v>11.880918319076509</v>
      </c>
      <c r="F108" s="12">
        <f>IF(B107&gt;Population!$B$6*0.75,Population!$B$8,E108)</f>
        <v>11.880918319076509</v>
      </c>
      <c r="G108" s="15">
        <f>IF(Population!$J$6=1,IF(E108&gt;H107,H107,E108),IF(E108&gt;W107,W107,E108))</f>
        <v>11.880918319076509</v>
      </c>
      <c r="H108" s="15">
        <f t="shared" si="51"/>
        <v>199</v>
      </c>
      <c r="I108" s="15">
        <f t="shared" si="52"/>
        <v>248</v>
      </c>
      <c r="J108" s="12">
        <f t="shared" si="53"/>
        <v>1.2462311557788945</v>
      </c>
      <c r="K108" s="12">
        <f>Z108*Population!$O$28+AA108*Population!$O$29+AB108*Population!$O$30+AC108*Population!$O$31+AD108*Population!$O$32+AE108*Population!$O$33+AF108*Population!$O$34+AG108*Population!$O$35+AH108*Population!$O$36+AI108*Population!$O$37+AJ108*Population!$O$36+AK108*Population!$O$37+AL108*Population!$O$38+AM108*Population!$O$39+AN108*Population!$O$40+AO108*Population!$O$41+AP108*Population!$O$42+AQ108*Population!$O$43</f>
        <v>2.5239162078261494</v>
      </c>
      <c r="L108" s="12">
        <f t="shared" si="36"/>
        <v>5.9703107131037735E-2</v>
      </c>
      <c r="M108" s="12">
        <f t="shared" si="54"/>
        <v>5.7654372377783254</v>
      </c>
      <c r="N108" s="12">
        <f t="shared" si="45"/>
        <v>0.25126646403242148</v>
      </c>
      <c r="O108" s="12">
        <f t="shared" si="48"/>
        <v>388.25446227051282</v>
      </c>
      <c r="P108" s="12">
        <f t="shared" si="38"/>
        <v>175.37276886474359</v>
      </c>
      <c r="Q108" s="12">
        <f t="shared" si="55"/>
        <v>143.77055810643404</v>
      </c>
      <c r="R108" s="12">
        <f t="shared" si="49"/>
        <v>0.14565928996982974</v>
      </c>
      <c r="S108" s="12">
        <f t="shared" si="56"/>
        <v>0.88127019530021911</v>
      </c>
      <c r="T108" s="12">
        <f>Population!$B$13*MIN(X107:Y107)</f>
        <v>5.9354235116144949</v>
      </c>
      <c r="U108" s="12">
        <f>W107*Population!$B$14</f>
        <v>1.0522039749081835</v>
      </c>
      <c r="V108" s="12">
        <f>AM107*S107*Population!$B$12</f>
        <v>4.8777798233266161</v>
      </c>
      <c r="W108" s="12">
        <f t="shared" si="57"/>
        <v>175.37276886474359</v>
      </c>
      <c r="X108" s="14">
        <f t="shared" si="58"/>
        <v>23.741680665170406</v>
      </c>
      <c r="Y108" s="13">
        <f t="shared" si="59"/>
        <v>23.741680665170406</v>
      </c>
      <c r="Z108" s="18">
        <f>(G108+Population!$B$11*Z107)*Population!M$28</f>
        <v>82.930643007764942</v>
      </c>
      <c r="AA108" s="18">
        <f>Z107*Population!$B$12*Population!$M$28+AA107*Population!$B$11*Population!$M$29</f>
        <v>82.785202281838309</v>
      </c>
      <c r="AB108" s="14">
        <f>(AA107*Population!$B$12*0.5*Population!$M$29)+(AB107*Population!$B$11*Population!M$30)</f>
        <v>41.14795735236973</v>
      </c>
      <c r="AC108" s="13">
        <f>(AA107*Population!$B$12*0.5*Population!$M$29)+(AC107*Population!$B$11*Population!M$30)</f>
        <v>41.14795735236973</v>
      </c>
      <c r="AD108" s="14">
        <f>(AB107*Population!$B$12*Population!M$30)+(AD107*Population!$B$11*Population!M$32)</f>
        <v>40.874757631030505</v>
      </c>
      <c r="AE108" s="13">
        <f>(AC107*Population!$B$12*Population!M$30)+(AE107*Population!$B$11*Population!M$32)</f>
        <v>40.874757631030505</v>
      </c>
      <c r="AF108" s="14">
        <f>(AD107*Population!$B$12*Population!M$32)+(AF107*Population!$B$11*Population!M$34)</f>
        <v>40.36965689998631</v>
      </c>
      <c r="AG108" s="13">
        <f>(AE107*Population!$B$12*Population!M$32)+(AG107*Population!$B$11*Population!M$34)</f>
        <v>40.36965689998631</v>
      </c>
      <c r="AH108" s="14">
        <f>(AF107*Population!$B$12*Population!M$34)+(AH107*Population!$B$11*Population!M$36)</f>
        <v>39.829767462328029</v>
      </c>
      <c r="AI108" s="13">
        <f>(AG107*Population!$B$12*Population!M$34)+(AI107*Population!$B$11*Population!M$36)</f>
        <v>39.829767462328029</v>
      </c>
      <c r="AJ108" s="14">
        <f>(AH107*Population!$B$12*Population!M$36)+(AJ107*Population!$B$11*Population!M$38)</f>
        <v>39.291292119876694</v>
      </c>
      <c r="AK108" s="13">
        <f>(AI107*Population!$B$12*Population!M$36)+(AK107*Population!$B$11*Population!M$38)</f>
        <v>39.291292119876694</v>
      </c>
      <c r="AL108" s="14">
        <f>(AJ107*Population!$B$12*Population!M$38)+(AL107*Population!$B$11*Population!M$40)</f>
        <v>38.74897541669246</v>
      </c>
      <c r="AM108" s="13">
        <f>(AK107*Population!$B$12*Population!M$38)+(AM107*Population!$B$11*Population!M$40)</f>
        <v>38.74897541669246</v>
      </c>
      <c r="AN108" s="15">
        <f>(AL107+AM107)*Population!$B$12*Population!$M$40+AN107*Population!$B$11*Population!$M$42</f>
        <v>74.056684228929754</v>
      </c>
      <c r="AO108" s="5">
        <f>AN107*Population!M$42*Population!$B$12+AO107*Population!$B$11*Population!M$43</f>
        <v>70.357009501758</v>
      </c>
      <c r="AP108" s="5">
        <f>AO107*Population!M$43*Population!$B$12+AP107*Population!$B$11*Population!M$44</f>
        <v>53.52665219820252</v>
      </c>
      <c r="AQ108" s="5">
        <f>(AP107*Population!$B$12+AQ107)*Population!M$45</f>
        <v>143.76571920022195</v>
      </c>
    </row>
    <row r="109" spans="1:43">
      <c r="A109">
        <f>A108+Population!$B$2</f>
        <v>106</v>
      </c>
      <c r="B109" s="4">
        <f t="shared" si="33"/>
        <v>987</v>
      </c>
      <c r="C109" s="59">
        <f t="shared" si="47"/>
        <v>385</v>
      </c>
      <c r="D109" s="12">
        <f>AC108*Population!$P$31*Population!$C$2+AE108*Population!$P$33*Population!$C$2+AG108*Population!$P$35*Population!$C$2+AI108*Population!$P$37*Population!$C$2+AK108*Population!$P$39*Population!$C$2+AM107*Population!$P$41*Population!$C$2</f>
        <v>13.41137914734762</v>
      </c>
      <c r="E109" s="12">
        <f>IF(B108&gt;Population!$B$6*Population!$B$15,Population!$B$8,IF(Population!$J$6=1,D109,Population!$B$8*Population!$B$6*0.9/B108))</f>
        <v>11.880918319076509</v>
      </c>
      <c r="F109" s="12">
        <f>IF(B108&gt;Population!$B$6*0.75,Population!$B$8,E109)</f>
        <v>11.880918319076509</v>
      </c>
      <c r="G109" s="15">
        <f>IF(Population!$J$6=1,IF(E109&gt;H108,H108,E109),IF(E109&gt;W108,W108,E109))</f>
        <v>11.880918319076509</v>
      </c>
      <c r="H109" s="15">
        <f t="shared" si="51"/>
        <v>199</v>
      </c>
      <c r="I109" s="15">
        <f t="shared" si="52"/>
        <v>248</v>
      </c>
      <c r="J109" s="12">
        <f t="shared" si="53"/>
        <v>1.2462311557788945</v>
      </c>
      <c r="K109" s="12">
        <f>Z109*Population!$O$28+AA109*Population!$O$29+AB109*Population!$O$30+AC109*Population!$O$31+AD109*Population!$O$32+AE109*Population!$O$33+AF109*Population!$O$34+AG109*Population!$O$35+AH109*Population!$O$36+AI109*Population!$O$37+AJ109*Population!$O$36+AK109*Population!$O$37+AL109*Population!$O$38+AM109*Population!$O$39+AN109*Population!$O$40+AO109*Population!$O$41+AP109*Population!$O$42+AQ109*Population!$O$43</f>
        <v>2.5240619043530579</v>
      </c>
      <c r="L109" s="12">
        <f t="shared" si="36"/>
        <v>5.9703107131037735E-2</v>
      </c>
      <c r="M109" s="12">
        <f t="shared" si="54"/>
        <v>5.7654705253200023</v>
      </c>
      <c r="N109" s="12">
        <f t="shared" si="45"/>
        <v>0.25126646403242148</v>
      </c>
      <c r="O109" s="12">
        <f t="shared" si="48"/>
        <v>388.24475720234796</v>
      </c>
      <c r="P109" s="12">
        <f t="shared" si="38"/>
        <v>175.37762139882602</v>
      </c>
      <c r="Q109" s="12">
        <f t="shared" si="55"/>
        <v>143.76571920022195</v>
      </c>
      <c r="R109" s="12">
        <f t="shared" si="49"/>
        <v>0.14565656552217926</v>
      </c>
      <c r="S109" s="12">
        <f t="shared" si="56"/>
        <v>0.88129457989359805</v>
      </c>
      <c r="T109" s="12">
        <f>Population!$B$13*MIN(X108:Y108)</f>
        <v>5.9354201662926016</v>
      </c>
      <c r="U109" s="12">
        <f>W108*Population!$B$14</f>
        <v>1.0522366131884615</v>
      </c>
      <c r="V109" s="12">
        <f>AM108*S108*Population!$B$12</f>
        <v>4.878331019021708</v>
      </c>
      <c r="W109" s="12">
        <f t="shared" si="57"/>
        <v>175.37762139882602</v>
      </c>
      <c r="X109" s="14">
        <f t="shared" si="58"/>
        <v>23.741792273636975</v>
      </c>
      <c r="Y109" s="13">
        <f t="shared" si="59"/>
        <v>23.741792273636975</v>
      </c>
      <c r="Z109" s="18">
        <f>(G109+Population!$B$11*Z108)*Population!M$28</f>
        <v>82.930643094842225</v>
      </c>
      <c r="AA109" s="18">
        <f>Z108*Population!$B$12*Population!$M$28+AA108*Population!$B$11*Population!$M$29</f>
        <v>82.785203833521877</v>
      </c>
      <c r="AB109" s="14">
        <f>(AA108*Population!$B$12*0.5*Population!$M$29)+(AB108*Population!$B$11*Population!M$30)</f>
        <v>41.147963985677144</v>
      </c>
      <c r="AC109" s="13">
        <f>(AA108*Population!$B$12*0.5*Population!$M$29)+(AC108*Population!$B$11*Population!M$30)</f>
        <v>41.147963985677144</v>
      </c>
      <c r="AD109" s="14">
        <f>(AB108*Population!$B$12*Population!M$30)+(AD108*Population!$B$11*Population!M$32)</f>
        <v>40.874795324437386</v>
      </c>
      <c r="AE109" s="13">
        <f>(AC108*Population!$B$12*Population!M$30)+(AE108*Population!$B$11*Population!M$32)</f>
        <v>40.874795324437386</v>
      </c>
      <c r="AF109" s="14">
        <f>(AD108*Population!$B$12*Population!M$32)+(AF108*Population!$B$11*Population!M$34)</f>
        <v>40.369812419919739</v>
      </c>
      <c r="AG109" s="13">
        <f>(AE108*Population!$B$12*Population!M$32)+(AG108*Population!$B$11*Population!M$34)</f>
        <v>40.369812419919739</v>
      </c>
      <c r="AH109" s="14">
        <f>(AF108*Population!$B$12*Population!M$34)+(AH108*Population!$B$11*Population!M$36)</f>
        <v>39.830273287362928</v>
      </c>
      <c r="AI109" s="13">
        <f>(AG108*Population!$B$12*Population!M$34)+(AI108*Population!$B$11*Population!M$36)</f>
        <v>39.830273287362928</v>
      </c>
      <c r="AJ109" s="14">
        <f>(AH108*Population!$B$12*Population!M$36)+(AJ108*Population!$B$11*Population!M$38)</f>
        <v>39.292630191834228</v>
      </c>
      <c r="AK109" s="13">
        <f>(AI108*Population!$B$12*Population!M$36)+(AK108*Population!$B$11*Population!M$38)</f>
        <v>39.292630191834228</v>
      </c>
      <c r="AL109" s="14">
        <f>(AJ108*Population!$B$12*Population!M$38)+(AL108*Population!$B$11*Population!M$40)</f>
        <v>38.751902448908716</v>
      </c>
      <c r="AM109" s="13">
        <f>(AK108*Population!$B$12*Population!M$38)+(AM108*Population!$B$11*Population!M$40)</f>
        <v>38.751902448908716</v>
      </c>
      <c r="AN109" s="15">
        <f>(AL108+AM108)*Population!$B$12*Population!$M$40+AN108*Population!$B$11*Population!$M$42</f>
        <v>74.06682776820071</v>
      </c>
      <c r="AO109" s="5">
        <f>AN108*Population!M$42*Population!$B$12+AO108*Population!$B$11*Population!M$43</f>
        <v>70.371614337927369</v>
      </c>
      <c r="AP109" s="5">
        <f>AO108*Population!M$43*Population!$B$12+AP108*Population!$B$11*Population!M$44</f>
        <v>53.54026222253804</v>
      </c>
      <c r="AQ109" s="5">
        <f>(AP108*Population!$B$12+AQ108)*Population!M$45</f>
        <v>143.76303017039092</v>
      </c>
    </row>
    <row r="110" spans="1:43">
      <c r="A110">
        <f>A109+Population!$B$2</f>
        <v>107</v>
      </c>
      <c r="B110" s="4">
        <f t="shared" si="33"/>
        <v>988</v>
      </c>
      <c r="C110" s="59">
        <f t="shared" si="47"/>
        <v>386</v>
      </c>
      <c r="D110" s="12">
        <f>AC109*Population!$P$31*Population!$C$2+AE109*Population!$P$33*Population!$C$2+AG109*Population!$P$35*Population!$C$2+AI109*Population!$P$37*Population!$C$2+AK109*Population!$P$39*Population!$C$2+AM108*Population!$P$41*Population!$C$2</f>
        <v>13.411571661266764</v>
      </c>
      <c r="E110" s="12">
        <f>IF(B109&gt;Population!$B$6*Population!$B$15,Population!$B$8,IF(Population!$J$6=1,D110,Population!$B$8*Population!$B$6*0.9/B109))</f>
        <v>11.880918319076509</v>
      </c>
      <c r="F110" s="12">
        <f>IF(B109&gt;Population!$B$6*0.75,Population!$B$8,E110)</f>
        <v>11.880918319076509</v>
      </c>
      <c r="G110" s="15">
        <f>IF(Population!$J$6=1,IF(E110&gt;H109,H109,E110),IF(E110&gt;W109,W109,E110))</f>
        <v>11.880918319076509</v>
      </c>
      <c r="H110" s="15">
        <f t="shared" si="51"/>
        <v>199</v>
      </c>
      <c r="I110" s="15">
        <f t="shared" si="52"/>
        <v>248</v>
      </c>
      <c r="J110" s="12">
        <f t="shared" si="53"/>
        <v>1.2462311557788945</v>
      </c>
      <c r="K110" s="12">
        <f>Z110*Population!$O$28+AA110*Population!$O$29+AB110*Population!$O$30+AC110*Population!$O$31+AD110*Population!$O$32+AE110*Population!$O$33+AF110*Population!$O$34+AG110*Population!$O$35+AH110*Population!$O$36+AI110*Population!$O$37+AJ110*Population!$O$36+AK110*Population!$O$37+AL110*Population!$O$38+AM110*Population!$O$39+AN110*Population!$O$40+AO110*Population!$O$41+AP110*Population!$O$42+AQ110*Population!$O$43</f>
        <v>2.5242142704265316</v>
      </c>
      <c r="L110" s="12">
        <f t="shared" si="36"/>
        <v>5.9703107131037735E-2</v>
      </c>
      <c r="M110" s="12">
        <f t="shared" si="54"/>
        <v>5.7655003613868896</v>
      </c>
      <c r="N110" s="12">
        <f t="shared" si="45"/>
        <v>0.25101214574898784</v>
      </c>
      <c r="O110" s="12">
        <f t="shared" si="48"/>
        <v>389.23606154768362</v>
      </c>
      <c r="P110" s="12">
        <f t="shared" si="38"/>
        <v>175.38196922615819</v>
      </c>
      <c r="Q110" s="12">
        <f t="shared" si="55"/>
        <v>143.76303017039092</v>
      </c>
      <c r="R110" s="12">
        <f t="shared" si="49"/>
        <v>0.14550842414377313</v>
      </c>
      <c r="S110" s="12">
        <f t="shared" si="56"/>
        <v>0.88131642827215173</v>
      </c>
      <c r="T110" s="12">
        <f>Population!$B$13*MIN(X109:Y109)</f>
        <v>5.9354480684092437</v>
      </c>
      <c r="U110" s="12">
        <f>W109*Population!$B$14</f>
        <v>1.0522657283929562</v>
      </c>
      <c r="V110" s="12">
        <f>AM109*S109*Population!$B$12</f>
        <v>4.8788345126841</v>
      </c>
      <c r="W110" s="12">
        <f t="shared" si="57"/>
        <v>175.38196922615819</v>
      </c>
      <c r="X110" s="14">
        <f t="shared" si="58"/>
        <v>23.741982696245572</v>
      </c>
      <c r="Y110" s="13">
        <f t="shared" si="59"/>
        <v>23.741982696245572</v>
      </c>
      <c r="Z110" s="18">
        <f>(G110+Population!$B$11*Z109)*Population!M$28</f>
        <v>82.930643169449581</v>
      </c>
      <c r="AA110" s="18">
        <f>Z109*Population!$B$12*Population!$M$28+AA109*Population!$B$11*Population!$M$29</f>
        <v>82.785205175671678</v>
      </c>
      <c r="AB110" s="14">
        <f>(AA109*Population!$B$12*0.5*Population!$M$29)+(AB109*Population!$B$11*Population!M$30)</f>
        <v>41.147969776760348</v>
      </c>
      <c r="AC110" s="13">
        <f>(AA109*Population!$B$12*0.5*Population!$M$29)+(AC109*Population!$B$11*Population!M$30)</f>
        <v>41.147969776760348</v>
      </c>
      <c r="AD110" s="14">
        <f>(AB109*Population!$B$12*Population!M$30)+(AD109*Population!$B$11*Population!M$32)</f>
        <v>40.874828548994003</v>
      </c>
      <c r="AE110" s="13">
        <f>(AC109*Population!$B$12*Population!M$30)+(AE109*Population!$B$11*Population!M$32)</f>
        <v>40.874828548994003</v>
      </c>
      <c r="AF110" s="14">
        <f>(AD109*Population!$B$12*Population!M$32)+(AF109*Population!$B$11*Population!M$34)</f>
        <v>40.369950846419172</v>
      </c>
      <c r="AG110" s="13">
        <f>(AE109*Population!$B$12*Population!M$32)+(AG109*Population!$B$11*Population!M$34)</f>
        <v>40.369950846419172</v>
      </c>
      <c r="AH110" s="14">
        <f>(AF109*Population!$B$12*Population!M$34)+(AH109*Population!$B$11*Population!M$36)</f>
        <v>39.830728193711515</v>
      </c>
      <c r="AI110" s="13">
        <f>(AG109*Population!$B$12*Population!M$34)+(AI109*Population!$B$11*Population!M$36)</f>
        <v>39.830728193711515</v>
      </c>
      <c r="AJ110" s="14">
        <f>(AH109*Population!$B$12*Population!M$36)+(AJ109*Population!$B$11*Population!M$38)</f>
        <v>39.293847030549522</v>
      </c>
      <c r="AK110" s="13">
        <f>(AI109*Population!$B$12*Population!M$36)+(AK109*Population!$B$11*Population!M$38)</f>
        <v>39.293847030549522</v>
      </c>
      <c r="AL110" s="14">
        <f>(AJ109*Population!$B$12*Population!M$38)+(AL109*Population!$B$11*Population!M$40)</f>
        <v>38.754597302729536</v>
      </c>
      <c r="AM110" s="13">
        <f>(AK109*Population!$B$12*Population!M$38)+(AM109*Population!$B$11*Population!M$40)</f>
        <v>38.754597302729536</v>
      </c>
      <c r="AN110" s="15">
        <f>(AL109+AM109)*Population!$B$12*Population!$M$40+AN109*Population!$B$11*Population!$M$42</f>
        <v>74.076293884814461</v>
      </c>
      <c r="AO110" s="5">
        <f>AN109*Population!M$42*Population!$B$12+AO109*Population!$B$11*Population!M$43</f>
        <v>70.385480581535091</v>
      </c>
      <c r="AP110" s="5">
        <f>AO109*Population!M$43*Population!$B$12+AP109*Population!$B$11*Population!M$44</f>
        <v>53.553409883472845</v>
      </c>
      <c r="AQ110" s="5">
        <f>(AP109*Population!$B$12+AQ109)*Population!M$45</f>
        <v>143.76232305404784</v>
      </c>
    </row>
    <row r="111" spans="1:43">
      <c r="A111">
        <f>A110+Population!$B$2</f>
        <v>108</v>
      </c>
      <c r="B111" s="4">
        <f t="shared" si="33"/>
        <v>988</v>
      </c>
      <c r="C111" s="59">
        <f t="shared" si="47"/>
        <v>386</v>
      </c>
      <c r="D111" s="12">
        <f>AC110*Population!$P$31*Population!$C$2+AE110*Population!$P$33*Population!$C$2+AG110*Population!$P$35*Population!$C$2+AI110*Population!$P$37*Population!$C$2+AK110*Population!$P$39*Population!$C$2+AM109*Population!$P$41*Population!$C$2</f>
        <v>13.411747040068386</v>
      </c>
      <c r="E111" s="12">
        <f>IF(B110&gt;Population!$B$6*Population!$B$15,Population!$B$8,IF(Population!$J$6=1,D111,Population!$B$8*Population!$B$6*0.9/B110))</f>
        <v>11.880918319076509</v>
      </c>
      <c r="F111" s="12">
        <f>IF(B110&gt;Population!$B$6*0.75,Population!$B$8,E111)</f>
        <v>11.880918319076509</v>
      </c>
      <c r="G111" s="15">
        <f>IF(Population!$J$6=1,IF(E111&gt;H110,H110,E111),IF(E111&gt;W110,W110,E111))</f>
        <v>11.880918319076509</v>
      </c>
      <c r="H111" s="15">
        <f t="shared" ref="H111:H115" si="60">FLOOR(AE111+AG111+AI111+AK111+AM111,1)</f>
        <v>199</v>
      </c>
      <c r="I111" s="15">
        <f t="shared" ref="I111:I115" si="61">FLOOR(SUM(Z111:AC111),1)</f>
        <v>248</v>
      </c>
      <c r="J111" s="12">
        <f t="shared" ref="J111:J115" si="62">I111/H111</f>
        <v>1.2462311557788945</v>
      </c>
      <c r="K111" s="12">
        <f>Z111*Population!$O$28+AA111*Population!$O$29+AB111*Population!$O$30+AC111*Population!$O$31+AD111*Population!$O$32+AE111*Population!$O$33+AF111*Population!$O$34+AG111*Population!$O$35+AH111*Population!$O$36+AI111*Population!$O$37+AJ111*Population!$O$36+AK111*Population!$O$37+AL111*Population!$O$38+AM111*Population!$O$39+AN111*Population!$O$40+AO111*Population!$O$41+AP111*Population!$O$42+AQ111*Population!$O$43</f>
        <v>2.5243722127454742</v>
      </c>
      <c r="L111" s="12">
        <f t="shared" si="36"/>
        <v>5.9703107131037735E-2</v>
      </c>
      <c r="M111" s="12">
        <f t="shared" ref="M111:M115" si="63">(AD111+AE111+AF111+AG111+AH111+AI111)/21*0.5</f>
        <v>5.7655270923966437</v>
      </c>
      <c r="N111" s="12">
        <f t="shared" si="45"/>
        <v>0.25101214574898784</v>
      </c>
      <c r="O111" s="12">
        <f t="shared" si="48"/>
        <v>389.22824333712248</v>
      </c>
      <c r="P111" s="12">
        <f t="shared" si="38"/>
        <v>175.38587833143876</v>
      </c>
      <c r="Q111" s="12">
        <f t="shared" ref="Q111:Q115" si="64">SUM(AQ110:AQ110)</f>
        <v>143.76232305404784</v>
      </c>
      <c r="R111" s="12">
        <f t="shared" si="49"/>
        <v>0.14550954960521417</v>
      </c>
      <c r="S111" s="12">
        <f t="shared" ref="S111:S115" si="65">W111/H111</f>
        <v>0.88133607201728026</v>
      </c>
      <c r="T111" s="12">
        <f>Population!$B$13*MIN(X110:Y110)</f>
        <v>5.9354956740613929</v>
      </c>
      <c r="U111" s="12">
        <f>W110*Population!$B$14</f>
        <v>1.0522918153569492</v>
      </c>
      <c r="V111" s="12">
        <f>AM110*S110*Population!$B$12</f>
        <v>4.8792947534238795</v>
      </c>
      <c r="W111" s="12">
        <f t="shared" ref="W111:W115" si="66">W110+T111-V111-U111</f>
        <v>175.38587833143876</v>
      </c>
      <c r="X111" s="14">
        <f t="shared" ref="X111:X115" si="67">(AD111+AF111+AH111+AJ111+AL111)-W111</f>
        <v>23.742219746145821</v>
      </c>
      <c r="Y111" s="13">
        <f t="shared" ref="Y111:Y115" si="68">(AE111+AG111+AI111+AK111+AM111)-W111</f>
        <v>23.742219746145821</v>
      </c>
      <c r="Z111" s="18">
        <f>(G111+Population!$B$11*Z110)*Population!M$28</f>
        <v>82.930643233372791</v>
      </c>
      <c r="AA111" s="18">
        <f>Z110*Population!$B$12*Population!$M$28+AA110*Population!$B$11*Population!$M$29</f>
        <v>82.785206336480826</v>
      </c>
      <c r="AB111" s="14">
        <f>(AA110*Population!$B$12*0.5*Population!$M$29)+(AB110*Population!$B$11*Population!M$30)</f>
        <v>41.147974831661742</v>
      </c>
      <c r="AC111" s="13">
        <f>(AA110*Population!$B$12*0.5*Population!$M$29)+(AC110*Population!$B$11*Population!M$30)</f>
        <v>41.147974831661742</v>
      </c>
      <c r="AD111" s="14">
        <f>(AB110*Population!$B$12*Population!M$30)+(AD110*Population!$B$11*Population!M$32)</f>
        <v>40.874857826554852</v>
      </c>
      <c r="AE111" s="13">
        <f>(AC110*Population!$B$12*Population!M$30)+(AE110*Population!$B$11*Population!M$32)</f>
        <v>40.874857826554852</v>
      </c>
      <c r="AF111" s="14">
        <f>(AD110*Population!$B$12*Population!M$32)+(AF110*Population!$B$11*Population!M$34)</f>
        <v>40.370074011735873</v>
      </c>
      <c r="AG111" s="13">
        <f>(AE110*Population!$B$12*Population!M$32)+(AG110*Population!$B$11*Population!M$34)</f>
        <v>40.370074011735873</v>
      </c>
      <c r="AH111" s="14">
        <f>(AF110*Population!$B$12*Population!M$34)+(AH110*Population!$B$11*Population!M$36)</f>
        <v>39.831137102038795</v>
      </c>
      <c r="AI111" s="13">
        <f>(AG110*Population!$B$12*Population!M$34)+(AI110*Population!$B$11*Population!M$36)</f>
        <v>39.831137102038795</v>
      </c>
      <c r="AJ111" s="14">
        <f>(AH110*Population!$B$12*Population!M$36)+(AJ110*Population!$B$11*Population!M$38)</f>
        <v>39.294952894440684</v>
      </c>
      <c r="AK111" s="13">
        <f>(AI110*Population!$B$12*Population!M$36)+(AK110*Population!$B$11*Population!M$38)</f>
        <v>39.294952894440684</v>
      </c>
      <c r="AL111" s="14">
        <f>(AJ110*Population!$B$12*Population!M$38)+(AL110*Population!$B$11*Population!M$40)</f>
        <v>38.757076242814378</v>
      </c>
      <c r="AM111" s="13">
        <f>(AK110*Population!$B$12*Population!M$38)+(AM110*Population!$B$11*Population!M$40)</f>
        <v>38.757076242814378</v>
      </c>
      <c r="AN111" s="15">
        <f>(AL110+AM110)*Population!$B$12*Population!$M$40+AN110*Population!$B$11*Population!$M$42</f>
        <v>74.085117353816273</v>
      </c>
      <c r="AO111" s="5">
        <f>AN110*Population!M$42*Population!$B$12+AO110*Population!$B$11*Population!M$43</f>
        <v>70.398622262580488</v>
      </c>
      <c r="AP111" s="5">
        <f>AO110*Population!M$43*Population!$B$12+AP110*Population!$B$11*Population!M$44</f>
        <v>53.566076506325395</v>
      </c>
      <c r="AQ111" s="5">
        <f>(AP110*Population!$B$12+AQ110)*Population!M$45</f>
        <v>143.76343500995159</v>
      </c>
    </row>
    <row r="112" spans="1:43">
      <c r="A112">
        <f>A111+Population!$B$2</f>
        <v>109</v>
      </c>
      <c r="B112" s="4">
        <f t="shared" si="33"/>
        <v>988</v>
      </c>
      <c r="C112" s="59">
        <f t="shared" si="47"/>
        <v>386</v>
      </c>
      <c r="D112" s="12">
        <f>AC111*Population!$P$31*Population!$C$2+AE111*Population!$P$33*Population!$C$2+AG111*Population!$P$35*Population!$C$2+AI111*Population!$P$37*Population!$C$2+AK111*Population!$P$39*Population!$C$2+AM110*Population!$P$41*Population!$C$2</f>
        <v>13.411906720446877</v>
      </c>
      <c r="E112" s="12">
        <f>IF(B111&gt;Population!$B$6*Population!$B$15,Population!$B$8,IF(Population!$J$6=1,D112,Population!$B$8*Population!$B$6*0.9/B111))</f>
        <v>11.880918319076509</v>
      </c>
      <c r="F112" s="12">
        <f>IF(B111&gt;Population!$B$6*0.75,Population!$B$8,E112)</f>
        <v>11.880918319076509</v>
      </c>
      <c r="G112" s="15">
        <f>IF(Population!$J$6=1,IF(E112&gt;H111,H111,E112),IF(E112&gt;W111,W111,E112))</f>
        <v>11.880918319076509</v>
      </c>
      <c r="H112" s="15">
        <f t="shared" si="60"/>
        <v>199</v>
      </c>
      <c r="I112" s="15">
        <f t="shared" si="61"/>
        <v>248</v>
      </c>
      <c r="J112" s="12">
        <f t="shared" si="62"/>
        <v>1.2462311557788945</v>
      </c>
      <c r="K112" s="12">
        <f>Z112*Population!$O$28+AA112*Population!$O$29+AB112*Population!$O$30+AC112*Population!$O$31+AD112*Population!$O$32+AE112*Population!$O$33+AF112*Population!$O$34+AG112*Population!$O$35+AH112*Population!$O$36+AI112*Population!$O$37+AJ112*Population!$O$36+AK112*Population!$O$37+AL112*Population!$O$38+AM112*Population!$O$39+AN112*Population!$O$40+AO112*Population!$O$41+AP112*Population!$O$42+AQ112*Population!$O$43</f>
        <v>2.5245347143190999</v>
      </c>
      <c r="L112" s="12">
        <f t="shared" si="36"/>
        <v>5.9703107131037735E-2</v>
      </c>
      <c r="M112" s="12">
        <f t="shared" si="63"/>
        <v>5.7655510314368765</v>
      </c>
      <c r="N112" s="12">
        <f t="shared" si="45"/>
        <v>0.25101214574898784</v>
      </c>
      <c r="O112" s="12">
        <f t="shared" si="48"/>
        <v>389.22119524366008</v>
      </c>
      <c r="P112" s="12">
        <f t="shared" si="38"/>
        <v>175.38940237816996</v>
      </c>
      <c r="Q112" s="12">
        <f t="shared" si="64"/>
        <v>143.76343500995159</v>
      </c>
      <c r="R112" s="12">
        <f t="shared" si="49"/>
        <v>0.14551235717668706</v>
      </c>
      <c r="S112" s="12">
        <f t="shared" si="65"/>
        <v>0.88135378079482396</v>
      </c>
      <c r="T112" s="12">
        <f>Population!$B$13*MIN(X111:Y111)</f>
        <v>5.9355549365364553</v>
      </c>
      <c r="U112" s="12">
        <f>W111*Population!$B$14</f>
        <v>1.0523152699886327</v>
      </c>
      <c r="V112" s="12">
        <f>AM111*S111*Population!$B$12</f>
        <v>4.8797156198166105</v>
      </c>
      <c r="W112" s="12">
        <f t="shared" si="66"/>
        <v>175.38940237816996</v>
      </c>
      <c r="X112" s="14">
        <f t="shared" si="67"/>
        <v>23.742481189369528</v>
      </c>
      <c r="Y112" s="13">
        <f t="shared" si="68"/>
        <v>23.742481189369528</v>
      </c>
      <c r="Z112" s="18">
        <f>(G112+Population!$B$11*Z111)*Population!M$28</f>
        <v>82.930643288141866</v>
      </c>
      <c r="AA112" s="18">
        <f>Z111*Population!$B$12*Population!$M$28+AA111*Population!$B$11*Population!$M$29</f>
        <v>82.785207340364394</v>
      </c>
      <c r="AB112" s="14">
        <f>(AA111*Population!$B$12*0.5*Population!$M$29)+(AB111*Population!$B$11*Population!M$30)</f>
        <v>41.147979243201512</v>
      </c>
      <c r="AC112" s="13">
        <f>(AA111*Population!$B$12*0.5*Population!$M$29)+(AC111*Population!$B$11*Population!M$30)</f>
        <v>41.147979243201512</v>
      </c>
      <c r="AD112" s="14">
        <f>(AB111*Population!$B$12*Population!M$30)+(AD111*Population!$B$11*Population!M$32)</f>
        <v>40.874883619132007</v>
      </c>
      <c r="AE112" s="13">
        <f>(AC111*Population!$B$12*Population!M$30)+(AE111*Population!$B$11*Population!M$32)</f>
        <v>40.874883619132007</v>
      </c>
      <c r="AF112" s="14">
        <f>(AD111*Population!$B$12*Population!M$32)+(AF111*Population!$B$11*Population!M$34)</f>
        <v>40.370183557835176</v>
      </c>
      <c r="AG112" s="13">
        <f>(AE111*Population!$B$12*Population!M$32)+(AG111*Population!$B$11*Population!M$34)</f>
        <v>40.370183557835176</v>
      </c>
      <c r="AH112" s="14">
        <f>(AF111*Population!$B$12*Population!M$34)+(AH111*Population!$B$11*Population!M$36)</f>
        <v>39.831504483207233</v>
      </c>
      <c r="AI112" s="13">
        <f>(AG111*Population!$B$12*Population!M$34)+(AI111*Population!$B$11*Population!M$36)</f>
        <v>39.831504483207233</v>
      </c>
      <c r="AJ112" s="14">
        <f>(AH111*Population!$B$12*Population!M$36)+(AJ111*Population!$B$11*Population!M$38)</f>
        <v>39.295957261157575</v>
      </c>
      <c r="AK112" s="13">
        <f>(AI111*Population!$B$12*Population!M$36)+(AK111*Population!$B$11*Population!M$38)</f>
        <v>39.295957261157575</v>
      </c>
      <c r="AL112" s="14">
        <f>(AJ111*Population!$B$12*Population!M$38)+(AL111*Population!$B$11*Population!M$40)</f>
        <v>38.759354646207484</v>
      </c>
      <c r="AM112" s="13">
        <f>(AK111*Population!$B$12*Population!M$38)+(AM111*Population!$B$11*Population!M$40)</f>
        <v>38.759354646207484</v>
      </c>
      <c r="AN112" s="15">
        <f>(AL111+AM111)*Population!$B$12*Population!$M$40+AN111*Population!$B$11*Population!$M$42</f>
        <v>74.093332404408997</v>
      </c>
      <c r="AO112" s="5">
        <f>AN111*Population!M$42*Population!$B$12+AO111*Population!$B$11*Population!M$43</f>
        <v>70.411056251437401</v>
      </c>
      <c r="AP112" s="5">
        <f>AO111*Population!M$43*Population!$B$12+AP111*Population!$B$11*Population!M$44</f>
        <v>53.578248882647401</v>
      </c>
      <c r="AQ112" s="5">
        <f>(AP111*Population!$B$12+AQ111)*Population!M$45</f>
        <v>143.76620889056682</v>
      </c>
    </row>
    <row r="113" spans="1:43">
      <c r="A113">
        <f>A112+Population!$B$2</f>
        <v>110</v>
      </c>
      <c r="B113" s="4">
        <f t="shared" si="33"/>
        <v>988</v>
      </c>
      <c r="C113" s="59">
        <f t="shared" si="47"/>
        <v>386</v>
      </c>
      <c r="D113" s="12">
        <f>AC112*Population!$P$31*Population!$C$2+AE112*Population!$P$33*Population!$C$2+AG112*Population!$P$35*Population!$C$2+AI112*Population!$P$37*Population!$C$2+AK112*Population!$P$39*Population!$C$2+AM111*Population!$P$41*Population!$C$2</f>
        <v>13.412052028628953</v>
      </c>
      <c r="E113" s="12">
        <f>IF(B112&gt;Population!$B$6*Population!$B$15,Population!$B$8,IF(Population!$J$6=1,D113,Population!$B$8*Population!$B$6*0.9/B112))</f>
        <v>11.880918319076509</v>
      </c>
      <c r="F113" s="12">
        <f>IF(B112&gt;Population!$B$6*0.75,Population!$B$8,E113)</f>
        <v>11.880918319076509</v>
      </c>
      <c r="G113" s="15">
        <f>IF(Population!$J$6=1,IF(E113&gt;H112,H112,E113),IF(E113&gt;W112,W112,E113))</f>
        <v>11.880918319076509</v>
      </c>
      <c r="H113" s="15">
        <f t="shared" si="60"/>
        <v>199</v>
      </c>
      <c r="I113" s="15">
        <f t="shared" si="61"/>
        <v>248</v>
      </c>
      <c r="J113" s="12">
        <f t="shared" si="62"/>
        <v>1.2462311557788945</v>
      </c>
      <c r="K113" s="12">
        <f>Z113*Population!$O$28+AA113*Population!$O$29+AB113*Population!$O$30+AC113*Population!$O$31+AD113*Population!$O$32+AE113*Population!$O$33+AF113*Population!$O$34+AG113*Population!$O$35+AH113*Population!$O$36+AI113*Population!$O$37+AJ113*Population!$O$36+AK113*Population!$O$37+AL113*Population!$O$38+AM113*Population!$O$39+AN113*Population!$O$40+AO113*Population!$O$41+AP113*Population!$O$42+AQ113*Population!$O$43</f>
        <v>2.524700832494756</v>
      </c>
      <c r="L113" s="12">
        <f t="shared" si="36"/>
        <v>5.9703107131037735E-2</v>
      </c>
      <c r="M113" s="12">
        <f t="shared" si="63"/>
        <v>5.7655724612905397</v>
      </c>
      <c r="N113" s="12">
        <f t="shared" si="45"/>
        <v>0.25101214574898784</v>
      </c>
      <c r="O113" s="12">
        <f t="shared" si="48"/>
        <v>389.21482855139971</v>
      </c>
      <c r="P113" s="12">
        <f t="shared" si="38"/>
        <v>175.39258572430015</v>
      </c>
      <c r="Q113" s="12">
        <f t="shared" si="64"/>
        <v>143.76620889056682</v>
      </c>
      <c r="R113" s="12">
        <f t="shared" si="49"/>
        <v>0.14551669402414746</v>
      </c>
      <c r="S113" s="12">
        <f t="shared" si="65"/>
        <v>0.88136977750904599</v>
      </c>
      <c r="T113" s="12">
        <f>Population!$B$13*MIN(X112:Y112)</f>
        <v>5.9356202973423819</v>
      </c>
      <c r="U113" s="12">
        <f>W112*Population!$B$14</f>
        <v>1.0523364142690197</v>
      </c>
      <c r="V113" s="12">
        <f>AM112*S112*Population!$B$12</f>
        <v>4.8801005369431989</v>
      </c>
      <c r="W113" s="12">
        <f t="shared" si="66"/>
        <v>175.39258572430015</v>
      </c>
      <c r="X113" s="14">
        <f t="shared" si="67"/>
        <v>23.742751858348754</v>
      </c>
      <c r="Y113" s="13">
        <f t="shared" si="68"/>
        <v>23.742751858348754</v>
      </c>
      <c r="Z113" s="18">
        <f>(G113+Population!$B$11*Z112)*Population!M$28</f>
        <v>82.930643335067728</v>
      </c>
      <c r="AA113" s="18">
        <f>Z112*Population!$B$12*Population!$M$28+AA112*Population!$B$11*Population!$M$29</f>
        <v>82.785208208463388</v>
      </c>
      <c r="AB113" s="14">
        <f>(AA112*Population!$B$12*0.5*Population!$M$29)+(AB112*Population!$B$11*Population!M$30)</f>
        <v>41.147983092607554</v>
      </c>
      <c r="AC113" s="13">
        <f>(AA112*Population!$B$12*0.5*Population!$M$29)+(AC112*Population!$B$11*Population!M$30)</f>
        <v>41.147983092607554</v>
      </c>
      <c r="AD113" s="14">
        <f>(AB112*Population!$B$12*Population!M$30)+(AD112*Population!$B$11*Population!M$32)</f>
        <v>40.874906335605807</v>
      </c>
      <c r="AE113" s="13">
        <f>(AC112*Population!$B$12*Population!M$30)+(AE112*Population!$B$11*Population!M$32)</f>
        <v>40.874906335605807</v>
      </c>
      <c r="AF113" s="14">
        <f>(AD112*Population!$B$12*Population!M$32)+(AF112*Population!$B$11*Population!M$34)</f>
        <v>40.370280955352541</v>
      </c>
      <c r="AG113" s="13">
        <f>(AE112*Population!$B$12*Population!M$32)+(AG112*Population!$B$11*Population!M$34)</f>
        <v>40.370280955352541</v>
      </c>
      <c r="AH113" s="14">
        <f>(AF112*Population!$B$12*Population!M$34)+(AH112*Population!$B$11*Population!M$36)</f>
        <v>39.831834396142995</v>
      </c>
      <c r="AI113" s="13">
        <f>(AG112*Population!$B$12*Population!M$34)+(AI112*Population!$B$11*Population!M$36)</f>
        <v>39.831834396142995</v>
      </c>
      <c r="AJ113" s="14">
        <f>(AH112*Population!$B$12*Population!M$36)+(AJ112*Population!$B$11*Population!M$38)</f>
        <v>39.296868876270906</v>
      </c>
      <c r="AK113" s="13">
        <f>(AI112*Population!$B$12*Population!M$36)+(AK112*Population!$B$11*Population!M$38)</f>
        <v>39.296868876270906</v>
      </c>
      <c r="AL113" s="14">
        <f>(AJ112*Population!$B$12*Population!M$38)+(AL112*Population!$B$11*Population!M$40)</f>
        <v>38.761447019276673</v>
      </c>
      <c r="AM113" s="13">
        <f>(AK112*Population!$B$12*Population!M$38)+(AM112*Population!$B$11*Population!M$40)</f>
        <v>38.761447019276673</v>
      </c>
      <c r="AN113" s="15">
        <f>(AL112+AM112)*Population!$B$12*Population!$M$40+AN112*Population!$B$11*Population!$M$42</f>
        <v>74.100972548205107</v>
      </c>
      <c r="AO113" s="5">
        <f>AN112*Population!M$42*Population!$B$12+AO112*Population!$B$11*Population!M$43</f>
        <v>70.422801758023425</v>
      </c>
      <c r="AP113" s="5">
        <f>AO112*Population!M$43*Population!$B$12+AP112*Population!$B$11*Population!M$44</f>
        <v>53.589918655455826</v>
      </c>
      <c r="AQ113" s="5">
        <f>(AP112*Population!$B$12+AQ112)*Population!M$45</f>
        <v>143.77049369585768</v>
      </c>
    </row>
    <row r="114" spans="1:43">
      <c r="A114">
        <f>A113+Population!$B$2</f>
        <v>111</v>
      </c>
      <c r="B114" s="4">
        <f t="shared" si="33"/>
        <v>988</v>
      </c>
      <c r="C114" s="59">
        <f t="shared" si="47"/>
        <v>386</v>
      </c>
      <c r="D114" s="12">
        <f>AC113*Population!$P$31*Population!$C$2+AE113*Population!$P$33*Population!$C$2+AG113*Population!$P$35*Population!$C$2+AI113*Population!$P$37*Population!$C$2+AK113*Population!$P$39*Population!$C$2+AM112*Population!$P$41*Population!$C$2</f>
        <v>13.412184187728082</v>
      </c>
      <c r="E114" s="12">
        <f>IF(B113&gt;Population!$B$6*Population!$B$15,Population!$B$8,IF(Population!$J$6=1,D114,Population!$B$8*Population!$B$6*0.9/B113))</f>
        <v>11.880918319076509</v>
      </c>
      <c r="F114" s="12">
        <f>IF(B113&gt;Population!$B$6*0.75,Population!$B$8,E114)</f>
        <v>11.880918319076509</v>
      </c>
      <c r="G114" s="15">
        <f>IF(Population!$J$6=1,IF(E114&gt;H113,H113,E114),IF(E114&gt;W113,W113,E114))</f>
        <v>11.880918319076509</v>
      </c>
      <c r="H114" s="15">
        <f t="shared" si="60"/>
        <v>199</v>
      </c>
      <c r="I114" s="15">
        <f t="shared" si="61"/>
        <v>248</v>
      </c>
      <c r="J114" s="12">
        <f t="shared" si="62"/>
        <v>1.2462311557788945</v>
      </c>
      <c r="K114" s="12">
        <f>Z114*Population!$O$28+AA114*Population!$O$29+AB114*Population!$O$30+AC114*Population!$O$31+AD114*Population!$O$32+AE114*Population!$O$33+AF114*Population!$O$34+AG114*Population!$O$35+AH114*Population!$O$36+AI114*Population!$O$37+AJ114*Population!$O$36+AK114*Population!$O$37+AL114*Population!$O$38+AM114*Population!$O$39+AN114*Population!$O$40+AO114*Population!$O$41+AP114*Population!$O$42+AQ114*Population!$O$43</f>
        <v>2.5248696966764665</v>
      </c>
      <c r="L114" s="12">
        <f t="shared" si="36"/>
        <v>5.9703107131037735E-2</v>
      </c>
      <c r="M114" s="12">
        <f t="shared" si="63"/>
        <v>5.7655916372097851</v>
      </c>
      <c r="N114" s="12">
        <f t="shared" si="45"/>
        <v>0.25101214574898784</v>
      </c>
      <c r="O114" s="12">
        <f t="shared" si="48"/>
        <v>389.2090687752908</v>
      </c>
      <c r="P114" s="12">
        <f t="shared" si="38"/>
        <v>175.3954656123546</v>
      </c>
      <c r="Q114" s="12">
        <f t="shared" si="64"/>
        <v>143.77049369585768</v>
      </c>
      <c r="R114" s="12">
        <f t="shared" si="49"/>
        <v>0.14552241388741799</v>
      </c>
      <c r="S114" s="12">
        <f t="shared" si="65"/>
        <v>0.8813842493083146</v>
      </c>
      <c r="T114" s="12">
        <f>Population!$B$13*MIN(X113:Y113)</f>
        <v>5.9356879645871885</v>
      </c>
      <c r="U114" s="12">
        <f>W113*Population!$B$14</f>
        <v>1.052355514345801</v>
      </c>
      <c r="V114" s="12">
        <f>AM113*S113*Population!$B$12</f>
        <v>4.8804525621869361</v>
      </c>
      <c r="W114" s="12">
        <f t="shared" si="66"/>
        <v>175.3954656123546</v>
      </c>
      <c r="X114" s="14">
        <f t="shared" si="67"/>
        <v>23.743021588522254</v>
      </c>
      <c r="Y114" s="13">
        <f t="shared" si="68"/>
        <v>23.743021588522254</v>
      </c>
      <c r="Z114" s="18">
        <f>(G114+Population!$B$11*Z113)*Population!M$28</f>
        <v>82.930643375273561</v>
      </c>
      <c r="AA114" s="18">
        <f>Z113*Population!$B$12*Population!$M$28+AA113*Population!$B$11*Population!$M$29</f>
        <v>82.7852089590818</v>
      </c>
      <c r="AB114" s="14">
        <f>(AA113*Population!$B$12*0.5*Population!$M$29)+(AB113*Population!$B$11*Population!M$30)</f>
        <v>41.147986450947151</v>
      </c>
      <c r="AC114" s="13">
        <f>(AA113*Population!$B$12*0.5*Population!$M$29)+(AC113*Population!$B$11*Population!M$30)</f>
        <v>41.147986450947151</v>
      </c>
      <c r="AD114" s="14">
        <f>(AB113*Population!$B$12*Population!M$30)+(AD113*Population!$B$11*Population!M$32)</f>
        <v>40.874926337704025</v>
      </c>
      <c r="AE114" s="13">
        <f>(AC113*Population!$B$12*Population!M$30)+(AE113*Population!$B$11*Population!M$32)</f>
        <v>40.874926337704025</v>
      </c>
      <c r="AF114" s="14">
        <f>(AD113*Population!$B$12*Population!M$32)+(AF113*Population!$B$11*Population!M$34)</f>
        <v>40.370367520768227</v>
      </c>
      <c r="AG114" s="13">
        <f>(AE113*Population!$B$12*Population!M$32)+(AG113*Population!$B$11*Population!M$34)</f>
        <v>40.370367520768227</v>
      </c>
      <c r="AH114" s="14">
        <f>(AF113*Population!$B$12*Population!M$34)+(AH113*Population!$B$11*Population!M$36)</f>
        <v>39.832130522933234</v>
      </c>
      <c r="AI114" s="13">
        <f>(AG113*Population!$B$12*Population!M$34)+(AI113*Population!$B$11*Population!M$36)</f>
        <v>39.832130522933234</v>
      </c>
      <c r="AJ114" s="14">
        <f>(AH113*Population!$B$12*Population!M$36)+(AJ113*Population!$B$11*Population!M$38)</f>
        <v>39.297695800324746</v>
      </c>
      <c r="AK114" s="13">
        <f>(AI113*Population!$B$12*Population!M$36)+(AK113*Population!$B$11*Population!M$38)</f>
        <v>39.297695800324746</v>
      </c>
      <c r="AL114" s="14">
        <f>(AJ113*Population!$B$12*Population!M$38)+(AL113*Population!$B$11*Population!M$40)</f>
        <v>38.763367019146635</v>
      </c>
      <c r="AM114" s="13">
        <f>(AK113*Population!$B$12*Population!M$38)+(AM113*Population!$B$11*Population!M$40)</f>
        <v>38.763367019146635</v>
      </c>
      <c r="AN114" s="15">
        <f>(AL113+AM113)*Population!$B$12*Population!$M$40+AN113*Population!$B$11*Population!$M$42</f>
        <v>74.108070437911863</v>
      </c>
      <c r="AO114" s="5">
        <f>AN113*Population!M$42*Population!$B$12+AO113*Population!$B$11*Population!M$43</f>
        <v>70.433879881271025</v>
      </c>
      <c r="AP114" s="5">
        <f>AO113*Population!M$43*Population!$B$12+AP113*Population!$B$11*Population!M$44</f>
        <v>53.601081747881565</v>
      </c>
      <c r="AQ114" s="5">
        <f>(AP113*Population!$B$12+AQ113)*Population!M$45</f>
        <v>143.77614492076899</v>
      </c>
    </row>
    <row r="115" spans="1:43">
      <c r="A115">
        <f>A114+Population!$B$2</f>
        <v>112</v>
      </c>
      <c r="B115" s="4">
        <f t="shared" si="33"/>
        <v>988</v>
      </c>
      <c r="C115" s="59">
        <f t="shared" si="47"/>
        <v>386</v>
      </c>
      <c r="D115" s="12">
        <f>AC114*Population!$P$31*Population!$C$2+AE114*Population!$P$33*Population!$C$2+AG114*Population!$P$35*Population!$C$2+AI114*Population!$P$37*Population!$C$2+AK114*Population!$P$39*Population!$C$2+AM113*Population!$P$41*Population!$C$2</f>
        <v>13.412304324743488</v>
      </c>
      <c r="E115" s="12">
        <f>IF(B114&gt;Population!$B$6*Population!$B$15,Population!$B$8,IF(Population!$J$6=1,D115,Population!$B$8*Population!$B$6*0.9/B114))</f>
        <v>11.880918319076509</v>
      </c>
      <c r="F115" s="12">
        <f>IF(B114&gt;Population!$B$6*0.75,Population!$B$8,E115)</f>
        <v>11.880918319076509</v>
      </c>
      <c r="G115" s="15">
        <f>IF(Population!$J$6=1,IF(E115&gt;H114,H114,E115),IF(E115&gt;W114,W114,E115))</f>
        <v>11.880918319076509</v>
      </c>
      <c r="H115" s="15">
        <f t="shared" si="60"/>
        <v>199</v>
      </c>
      <c r="I115" s="15">
        <f t="shared" si="61"/>
        <v>248</v>
      </c>
      <c r="J115" s="12">
        <f t="shared" si="62"/>
        <v>1.2462311557788945</v>
      </c>
      <c r="K115" s="12">
        <f>Z115*Population!$O$28+AA115*Population!$O$29+AB115*Population!$O$30+AC115*Population!$O$31+AD115*Population!$O$32+AE115*Population!$O$33+AF115*Population!$O$34+AG115*Population!$O$35+AH115*Population!$O$36+AI115*Population!$O$37+AJ115*Population!$O$36+AK115*Population!$O$37+AL115*Population!$O$38+AM115*Population!$O$39+AN115*Population!$O$40+AO115*Population!$O$41+AP115*Population!$O$42+AQ115*Population!$O$43</f>
        <v>2.5250405057939522</v>
      </c>
      <c r="L115" s="12">
        <f t="shared" si="36"/>
        <v>5.9703107131037735E-2</v>
      </c>
      <c r="M115" s="12">
        <f t="shared" si="63"/>
        <v>5.7656087894562074</v>
      </c>
      <c r="N115" s="12">
        <f t="shared" si="45"/>
        <v>0.25101214574898784</v>
      </c>
      <c r="O115" s="12">
        <f t="shared" si="48"/>
        <v>389.20385246575887</v>
      </c>
      <c r="P115" s="12">
        <f t="shared" si="38"/>
        <v>175.39807376712056</v>
      </c>
      <c r="Q115" s="12">
        <f t="shared" si="64"/>
        <v>143.77614492076899</v>
      </c>
      <c r="R115" s="12">
        <f t="shared" si="49"/>
        <v>0.14552937733568258</v>
      </c>
      <c r="S115" s="12">
        <f t="shared" si="65"/>
        <v>0.88139735561367116</v>
      </c>
      <c r="T115" s="12">
        <f>Population!$B$13*MIN(X114:Y114)</f>
        <v>5.9357553971305634</v>
      </c>
      <c r="U115" s="12">
        <f>W114*Population!$B$14</f>
        <v>1.0523727936741276</v>
      </c>
      <c r="V115" s="12">
        <f>AM114*S114*Population!$B$12</f>
        <v>4.8807744486904623</v>
      </c>
      <c r="W115" s="12">
        <f t="shared" si="66"/>
        <v>175.39807376712056</v>
      </c>
      <c r="X115" s="14">
        <f t="shared" si="67"/>
        <v>23.743283744297713</v>
      </c>
      <c r="Y115" s="13">
        <f t="shared" si="68"/>
        <v>23.743283744297713</v>
      </c>
      <c r="Z115" s="18">
        <f>(G115+Population!$B$11*Z114)*Population!M$28</f>
        <v>82.930643409721725</v>
      </c>
      <c r="AA115" s="18">
        <f>Z114*Population!$B$12*Population!$M$28+AA114*Population!$B$11*Population!$M$29</f>
        <v>82.7852096080656</v>
      </c>
      <c r="AB115" s="14">
        <f>(AA114*Population!$B$12*0.5*Population!$M$29)+(AB114*Population!$B$11*Population!M$30)</f>
        <v>41.147989380384203</v>
      </c>
      <c r="AC115" s="13">
        <f>(AA114*Population!$B$12*0.5*Population!$M$29)+(AC114*Population!$B$11*Population!M$30)</f>
        <v>41.147989380384203</v>
      </c>
      <c r="AD115" s="14">
        <f>(AB114*Population!$B$12*Population!M$30)+(AD114*Population!$B$11*Population!M$32)</f>
        <v>40.874943945326372</v>
      </c>
      <c r="AE115" s="13">
        <f>(AC114*Population!$B$12*Population!M$30)+(AE114*Population!$B$11*Population!M$32)</f>
        <v>40.874943945326372</v>
      </c>
      <c r="AF115" s="14">
        <f>(AD114*Population!$B$12*Population!M$32)+(AF114*Population!$B$11*Population!M$34)</f>
        <v>40.370444431953473</v>
      </c>
      <c r="AG115" s="13">
        <f>(AE114*Population!$B$12*Population!M$32)+(AG114*Population!$B$11*Population!M$34)</f>
        <v>40.370444431953473</v>
      </c>
      <c r="AH115" s="14">
        <f>(AF114*Population!$B$12*Population!M$34)+(AH114*Population!$B$11*Population!M$36)</f>
        <v>39.832396201300504</v>
      </c>
      <c r="AI115" s="13">
        <f>(AG114*Population!$B$12*Population!M$34)+(AI114*Population!$B$11*Population!M$36)</f>
        <v>39.832396201300504</v>
      </c>
      <c r="AJ115" s="14">
        <f>(AH114*Population!$B$12*Population!M$36)+(AJ114*Population!$B$11*Population!M$38)</f>
        <v>39.298445454093994</v>
      </c>
      <c r="AK115" s="13">
        <f>(AI114*Population!$B$12*Population!M$36)+(AK114*Population!$B$11*Population!M$38)</f>
        <v>39.298445454093994</v>
      </c>
      <c r="AL115" s="14">
        <f>(AJ114*Population!$B$12*Population!M$38)+(AL114*Population!$B$11*Population!M$40)</f>
        <v>38.765127478743906</v>
      </c>
      <c r="AM115" s="13">
        <f>(AK114*Population!$B$12*Population!M$38)+(AM114*Population!$B$11*Population!M$40)</f>
        <v>38.765127478743906</v>
      </c>
      <c r="AN115" s="15">
        <f>(AL114+AM114)*Population!$B$12*Population!$M$40+AN114*Population!$B$11*Population!$M$42</f>
        <v>74.114657753194535</v>
      </c>
      <c r="AO115" s="5">
        <f>AN114*Population!M$42*Population!$B$12+AO114*Population!$B$11*Population!M$43</f>
        <v>70.444313205718274</v>
      </c>
      <c r="AP115" s="5">
        <f>AO114*Population!M$43*Population!$B$12+AP114*Population!$B$11*Population!M$44</f>
        <v>53.611737834286195</v>
      </c>
      <c r="AQ115" s="5">
        <f>(AP114*Population!$B$12+AQ114)*Population!M$45</f>
        <v>143.78302480765439</v>
      </c>
    </row>
  </sheetData>
  <mergeCells count="6">
    <mergeCell ref="AH1:AI1"/>
    <mergeCell ref="AJ1:AK1"/>
    <mergeCell ref="AL1:AM1"/>
    <mergeCell ref="AB1:AC1"/>
    <mergeCell ref="AD1:AE1"/>
    <mergeCell ref="AF1:AG1"/>
  </mergeCells>
  <pageMargins left="0.7" right="0.7" top="0.75" bottom="0.75" header="0.3" footer="0.3"/>
  <pageSetup orientation="portrait" horizontalDpi="0" verticalDpi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2313F-8851-C54C-99BB-2F5A73C6B364}">
  <sheetPr>
    <pageSetUpPr fitToPage="1"/>
  </sheetPr>
  <dimension ref="A1:J42"/>
  <sheetViews>
    <sheetView workbookViewId="0">
      <selection activeCell="D1" sqref="D1"/>
    </sheetView>
  </sheetViews>
  <sheetFormatPr baseColWidth="10" defaultRowHeight="16"/>
  <cols>
    <col min="1" max="1" width="19.1640625" bestFit="1" customWidth="1"/>
    <col min="2" max="2" width="22.1640625" bestFit="1" customWidth="1"/>
    <col min="3" max="3" width="4.6640625" customWidth="1"/>
    <col min="4" max="4" width="20.5" style="122" bestFit="1" customWidth="1"/>
    <col min="5" max="5" width="16.33203125" style="123" bestFit="1" customWidth="1"/>
    <col min="6" max="6" width="20.5" style="122" bestFit="1" customWidth="1"/>
    <col min="7" max="7" width="16.33203125" style="123" bestFit="1" customWidth="1"/>
  </cols>
  <sheetData>
    <row r="1" spans="1:8">
      <c r="A1" t="s">
        <v>640</v>
      </c>
      <c r="D1" s="120">
        <f>Vehicle!E25</f>
        <v>989</v>
      </c>
      <c r="E1" s="121"/>
      <c r="F1" s="120">
        <f>Vehicle!B25</f>
        <v>829</v>
      </c>
      <c r="G1" s="121"/>
    </row>
    <row r="2" spans="1:8">
      <c r="D2" s="143" t="s">
        <v>51</v>
      </c>
      <c r="E2" s="144"/>
      <c r="F2" s="143" t="s">
        <v>824</v>
      </c>
      <c r="G2" s="144"/>
    </row>
    <row r="3" spans="1:8">
      <c r="A3" t="s">
        <v>639</v>
      </c>
      <c r="C3" t="s">
        <v>37</v>
      </c>
      <c r="D3" s="122" t="s">
        <v>667</v>
      </c>
      <c r="E3" s="123" t="s">
        <v>38</v>
      </c>
      <c r="F3" s="122" t="s">
        <v>667</v>
      </c>
      <c r="G3" s="123" t="s">
        <v>38</v>
      </c>
    </row>
    <row r="4" spans="1:8">
      <c r="A4" t="s">
        <v>646</v>
      </c>
      <c r="D4" s="122">
        <f>SUM(D5:D7)</f>
        <v>407</v>
      </c>
      <c r="F4" s="124">
        <f>SUM(F5:F7)</f>
        <v>236.8809183190765</v>
      </c>
    </row>
    <row r="5" spans="1:8">
      <c r="A5" t="s">
        <v>48</v>
      </c>
      <c r="B5">
        <f>100000*0.25</f>
        <v>25000</v>
      </c>
      <c r="D5" s="122">
        <f>MAX('Population Model'!I:I)</f>
        <v>248</v>
      </c>
      <c r="F5" s="122">
        <f>'Population Model'!I3</f>
        <v>225</v>
      </c>
    </row>
    <row r="6" spans="1:8">
      <c r="A6" t="s">
        <v>645</v>
      </c>
      <c r="B6">
        <f>CEILING(B5/18,1)</f>
        <v>1389</v>
      </c>
      <c r="D6" s="122">
        <f>CEILING(MAX('Population Model'!G:G),1)</f>
        <v>12</v>
      </c>
      <c r="F6" s="124">
        <f>'Population Model'!G3</f>
        <v>11.880918319076509</v>
      </c>
    </row>
    <row r="7" spans="1:8">
      <c r="A7" t="s">
        <v>641</v>
      </c>
      <c r="B7">
        <f>100000*0.15</f>
        <v>15000</v>
      </c>
      <c r="D7" s="122">
        <f>CEILING(MAX('Population Model'!R:R)*D1,1)</f>
        <v>147</v>
      </c>
      <c r="F7" s="122">
        <f>CEILING(0*F1,1)</f>
        <v>0</v>
      </c>
    </row>
    <row r="8" spans="1:8">
      <c r="A8" t="s">
        <v>642</v>
      </c>
      <c r="D8" s="122">
        <f>D1-SUM(D5:D7)</f>
        <v>582</v>
      </c>
      <c r="E8" s="123">
        <f>SUM(D9:D11)</f>
        <v>582</v>
      </c>
      <c r="F8" s="124">
        <f>F1-SUM(F5:F7)</f>
        <v>592.1190816809235</v>
      </c>
      <c r="G8" s="123">
        <f>SUM(F9:F11)</f>
        <v>594</v>
      </c>
    </row>
    <row r="9" spans="1:8">
      <c r="A9" t="s">
        <v>642</v>
      </c>
      <c r="B9" t="s">
        <v>630</v>
      </c>
      <c r="D9" s="122">
        <f>CEILING(SUM(E14:E23),1)</f>
        <v>118</v>
      </c>
      <c r="F9" s="122">
        <f>CEILING(SUM(G14:G23),1)</f>
        <v>99</v>
      </c>
    </row>
    <row r="10" spans="1:8">
      <c r="A10" t="s">
        <v>642</v>
      </c>
      <c r="B10" t="s">
        <v>650</v>
      </c>
      <c r="D10" s="122">
        <f>D28</f>
        <v>339</v>
      </c>
      <c r="F10" s="122">
        <f>F28</f>
        <v>235</v>
      </c>
    </row>
    <row r="11" spans="1:8">
      <c r="A11" t="s">
        <v>642</v>
      </c>
      <c r="B11" t="s">
        <v>649</v>
      </c>
      <c r="D11" s="122">
        <f>E36</f>
        <v>125</v>
      </c>
      <c r="F11" s="122">
        <f>G36</f>
        <v>260</v>
      </c>
    </row>
    <row r="13" spans="1:8">
      <c r="A13" t="s">
        <v>651</v>
      </c>
      <c r="B13" t="s">
        <v>638</v>
      </c>
      <c r="E13" s="123">
        <f>SUM(E14:E24)</f>
        <v>118</v>
      </c>
      <c r="G13" s="123">
        <f>SUM(G14:G24)</f>
        <v>99</v>
      </c>
    </row>
    <row r="14" spans="1:8">
      <c r="A14" t="s">
        <v>636</v>
      </c>
      <c r="B14">
        <v>1419</v>
      </c>
      <c r="D14" s="122">
        <f t="shared" ref="D14:D24" si="0">FLOOR(B14/100000*$D$1,0.1)</f>
        <v>14</v>
      </c>
      <c r="E14" s="123">
        <f>IF(D14&gt;C14,FLOOR(D14,1),C14)</f>
        <v>14</v>
      </c>
      <c r="F14" s="122">
        <f>FLOOR(B14/100000*$F$1,0.1)</f>
        <v>11.700000000000001</v>
      </c>
      <c r="G14" s="123">
        <f>IF(F14&gt;C14,FLOOR(F14,1),C14)</f>
        <v>11</v>
      </c>
      <c r="H14" t="s">
        <v>661</v>
      </c>
    </row>
    <row r="15" spans="1:8">
      <c r="A15" t="s">
        <v>635</v>
      </c>
      <c r="B15">
        <v>568</v>
      </c>
      <c r="D15" s="122">
        <f t="shared" si="0"/>
        <v>5.6000000000000005</v>
      </c>
      <c r="E15" s="123">
        <f t="shared" ref="E15:E26" si="1">IF(D15&gt;C15,FLOOR(D15,1),C15)</f>
        <v>5</v>
      </c>
      <c r="F15" s="122">
        <f t="shared" ref="F15:F24" si="2">FLOOR(B15/100000*$F$1,0.1)</f>
        <v>4.7</v>
      </c>
      <c r="G15" s="123">
        <f t="shared" ref="G15:G24" si="3">IF(F15&gt;C15,FLOOR(F15,1),C15)</f>
        <v>4</v>
      </c>
      <c r="H15" t="s">
        <v>661</v>
      </c>
    </row>
    <row r="16" spans="1:8">
      <c r="A16" t="s">
        <v>633</v>
      </c>
      <c r="B16">
        <v>508</v>
      </c>
      <c r="D16" s="122">
        <f t="shared" si="0"/>
        <v>5</v>
      </c>
      <c r="E16" s="123">
        <f t="shared" si="1"/>
        <v>5</v>
      </c>
      <c r="F16" s="122">
        <f t="shared" si="2"/>
        <v>4.2</v>
      </c>
      <c r="G16" s="123">
        <f t="shared" si="3"/>
        <v>4</v>
      </c>
      <c r="H16" t="s">
        <v>661</v>
      </c>
    </row>
    <row r="17" spans="1:10">
      <c r="A17" t="s">
        <v>644</v>
      </c>
      <c r="B17">
        <f>FLOOR(B5*(18-4)/(18*12),1)</f>
        <v>1620</v>
      </c>
      <c r="C17">
        <v>1</v>
      </c>
      <c r="D17" s="122">
        <f t="shared" si="0"/>
        <v>16</v>
      </c>
      <c r="E17" s="123">
        <f t="shared" si="1"/>
        <v>16</v>
      </c>
      <c r="F17" s="122">
        <f t="shared" si="2"/>
        <v>13.4</v>
      </c>
      <c r="G17" s="123">
        <f t="shared" si="3"/>
        <v>13</v>
      </c>
      <c r="H17" t="s">
        <v>647</v>
      </c>
    </row>
    <row r="18" spans="1:10">
      <c r="A18" t="s">
        <v>662</v>
      </c>
      <c r="B18">
        <v>300</v>
      </c>
      <c r="C18">
        <v>1</v>
      </c>
      <c r="D18" s="122">
        <f t="shared" si="0"/>
        <v>2.9000000000000004</v>
      </c>
      <c r="E18" s="123">
        <f t="shared" ref="E18" si="4">IF(D18&gt;C18,FLOOR(D18,1),C18)</f>
        <v>2</v>
      </c>
      <c r="F18" s="122">
        <f t="shared" si="2"/>
        <v>2.4000000000000004</v>
      </c>
      <c r="G18" s="123">
        <f t="shared" si="3"/>
        <v>2</v>
      </c>
      <c r="H18" t="s">
        <v>864</v>
      </c>
      <c r="J18" t="s">
        <v>663</v>
      </c>
    </row>
    <row r="19" spans="1:10">
      <c r="A19" t="s">
        <v>637</v>
      </c>
      <c r="B19">
        <v>667</v>
      </c>
      <c r="D19" s="122">
        <f t="shared" si="0"/>
        <v>6.5</v>
      </c>
      <c r="E19" s="123">
        <f t="shared" si="1"/>
        <v>6</v>
      </c>
      <c r="F19" s="122">
        <f t="shared" si="2"/>
        <v>5.5</v>
      </c>
      <c r="G19" s="123">
        <f t="shared" si="3"/>
        <v>5</v>
      </c>
      <c r="H19" t="s">
        <v>661</v>
      </c>
    </row>
    <row r="20" spans="1:10">
      <c r="A20" t="s">
        <v>629</v>
      </c>
      <c r="B20">
        <v>95</v>
      </c>
      <c r="C20">
        <v>8</v>
      </c>
      <c r="D20" s="122">
        <f t="shared" si="0"/>
        <v>0.9</v>
      </c>
      <c r="E20" s="123">
        <f t="shared" si="1"/>
        <v>8</v>
      </c>
      <c r="F20" s="122">
        <f t="shared" si="2"/>
        <v>0.70000000000000007</v>
      </c>
      <c r="G20" s="123">
        <f t="shared" si="3"/>
        <v>8</v>
      </c>
      <c r="H20" t="s">
        <v>652</v>
      </c>
    </row>
    <row r="21" spans="1:10">
      <c r="A21" t="s">
        <v>632</v>
      </c>
      <c r="B21">
        <v>3594</v>
      </c>
      <c r="D21" s="122">
        <f t="shared" si="0"/>
        <v>35.5</v>
      </c>
      <c r="E21" s="123">
        <f t="shared" si="1"/>
        <v>35</v>
      </c>
      <c r="F21" s="122">
        <f t="shared" si="2"/>
        <v>29.700000000000003</v>
      </c>
      <c r="G21" s="123">
        <f t="shared" si="3"/>
        <v>29</v>
      </c>
      <c r="H21" t="s">
        <v>661</v>
      </c>
    </row>
    <row r="22" spans="1:10">
      <c r="A22" t="s">
        <v>653</v>
      </c>
      <c r="B22">
        <f>FLOOR(B5*0.4*4/18,1)</f>
        <v>2222</v>
      </c>
      <c r="D22" s="122">
        <f t="shared" si="0"/>
        <v>21.900000000000002</v>
      </c>
      <c r="E22" s="123">
        <f t="shared" ref="E22" si="5">IF(D22&gt;C22,FLOOR(D22,1),C22)</f>
        <v>21</v>
      </c>
      <c r="F22" s="122">
        <f t="shared" si="2"/>
        <v>18.400000000000002</v>
      </c>
      <c r="G22" s="123">
        <f t="shared" si="3"/>
        <v>18</v>
      </c>
      <c r="H22" t="s">
        <v>654</v>
      </c>
    </row>
    <row r="23" spans="1:10">
      <c r="A23" t="s">
        <v>634</v>
      </c>
      <c r="B23">
        <v>681</v>
      </c>
      <c r="D23" s="122">
        <f t="shared" si="0"/>
        <v>6.7</v>
      </c>
      <c r="E23" s="123">
        <f t="shared" si="1"/>
        <v>6</v>
      </c>
      <c r="F23" s="122">
        <f t="shared" si="2"/>
        <v>5.6000000000000005</v>
      </c>
      <c r="G23" s="123">
        <f t="shared" si="3"/>
        <v>5</v>
      </c>
      <c r="H23" t="s">
        <v>661</v>
      </c>
    </row>
    <row r="24" spans="1:10">
      <c r="A24" t="s">
        <v>742</v>
      </c>
      <c r="B24" s="103">
        <f>1999474/144898471*1000</f>
        <v>13.799138018509526</v>
      </c>
      <c r="C24">
        <v>0</v>
      </c>
      <c r="D24" s="122">
        <f t="shared" si="0"/>
        <v>0.1</v>
      </c>
      <c r="E24" s="123">
        <f t="shared" ref="E24" si="6">IF(D24&gt;C24,FLOOR(D24,1),C24)</f>
        <v>0</v>
      </c>
      <c r="F24" s="122">
        <f t="shared" si="2"/>
        <v>0.1</v>
      </c>
      <c r="G24" s="123">
        <f t="shared" si="3"/>
        <v>0</v>
      </c>
      <c r="H24" t="s">
        <v>743</v>
      </c>
    </row>
    <row r="25" spans="1:10">
      <c r="B25" s="51"/>
    </row>
    <row r="26" spans="1:10">
      <c r="A26" t="s">
        <v>648</v>
      </c>
      <c r="B26">
        <v>300</v>
      </c>
      <c r="D26" s="122">
        <f>FLOOR(B26/100000*$D$1,0.1)</f>
        <v>2.9000000000000004</v>
      </c>
      <c r="E26" s="123">
        <f t="shared" si="1"/>
        <v>2</v>
      </c>
      <c r="F26" s="122">
        <f>FLOOR(D26/100000*$D$1,0.1)</f>
        <v>0</v>
      </c>
      <c r="G26" s="123">
        <f t="shared" ref="G26" si="7">IF(F26&gt;E26,FLOOR(F26,1),E26)</f>
        <v>2</v>
      </c>
      <c r="H26" t="s">
        <v>661</v>
      </c>
    </row>
    <row r="28" spans="1:10">
      <c r="B28" t="s">
        <v>660</v>
      </c>
      <c r="D28" s="122">
        <f>SUM(D29:D33)</f>
        <v>339</v>
      </c>
      <c r="F28" s="122">
        <f>SUM(F29:F33)</f>
        <v>235</v>
      </c>
    </row>
    <row r="29" spans="1:10">
      <c r="A29" t="s">
        <v>723</v>
      </c>
      <c r="D29" s="122">
        <f>Automation!C4</f>
        <v>9</v>
      </c>
      <c r="E29" s="123">
        <f>D29</f>
        <v>9</v>
      </c>
      <c r="F29" s="122">
        <f>Automation!C4</f>
        <v>9</v>
      </c>
      <c r="G29" s="123">
        <f>F29</f>
        <v>9</v>
      </c>
    </row>
    <row r="30" spans="1:10">
      <c r="A30" t="s">
        <v>668</v>
      </c>
      <c r="D30" s="122">
        <f>CEILING((D29+D31)*0.05,1)</f>
        <v>15</v>
      </c>
      <c r="E30" s="123">
        <f t="shared" ref="E30:E33" si="8">D30</f>
        <v>15</v>
      </c>
      <c r="F30" s="122">
        <f>CEILING((F29+F31)*0.05,1)</f>
        <v>12</v>
      </c>
      <c r="G30" s="123">
        <f t="shared" ref="G30:G33" si="9">F30</f>
        <v>12</v>
      </c>
    </row>
    <row r="31" spans="1:10">
      <c r="A31" t="s">
        <v>658</v>
      </c>
      <c r="D31" s="122">
        <f>Automation!C3</f>
        <v>282</v>
      </c>
      <c r="E31" s="123">
        <f t="shared" si="8"/>
        <v>282</v>
      </c>
      <c r="F31" s="122">
        <f>CEILING(Automation!C3*0.75,1)</f>
        <v>212</v>
      </c>
      <c r="G31" s="123">
        <f t="shared" si="9"/>
        <v>212</v>
      </c>
      <c r="H31" t="s">
        <v>659</v>
      </c>
    </row>
    <row r="32" spans="1:10" ht="18" customHeight="1">
      <c r="A32" t="s">
        <v>643</v>
      </c>
      <c r="D32" s="122">
        <f>CEILING(SUM(D29:D31)*0.05,1)</f>
        <v>16</v>
      </c>
      <c r="E32" s="123">
        <f t="shared" si="8"/>
        <v>16</v>
      </c>
      <c r="F32" s="122">
        <f>CEILING(SUM(F29:F31)*0.001,1)</f>
        <v>1</v>
      </c>
      <c r="G32" s="123">
        <f t="shared" si="9"/>
        <v>1</v>
      </c>
    </row>
    <row r="33" spans="1:7" ht="18" customHeight="1">
      <c r="A33" t="s">
        <v>655</v>
      </c>
      <c r="D33" s="122">
        <f>CEILING(SUM(D29:D32)*0.05,1)</f>
        <v>17</v>
      </c>
      <c r="E33" s="123">
        <f t="shared" si="8"/>
        <v>17</v>
      </c>
      <c r="F33" s="122">
        <f>CEILING(SUM(F29:F32)*0.001,1)</f>
        <v>1</v>
      </c>
      <c r="G33" s="123">
        <f t="shared" si="9"/>
        <v>1</v>
      </c>
    </row>
    <row r="35" spans="1:7">
      <c r="B35" t="s">
        <v>660</v>
      </c>
      <c r="D35" s="122">
        <f>SUM(D37:D42)</f>
        <v>122.5</v>
      </c>
      <c r="F35" s="122">
        <f>SUM(F37:F42)</f>
        <v>257.5</v>
      </c>
    </row>
    <row r="36" spans="1:7">
      <c r="A36" t="s">
        <v>649</v>
      </c>
      <c r="B36">
        <f>SUM(B37:B42)</f>
        <v>1.375</v>
      </c>
      <c r="C36">
        <f>SUM(C37:C41)</f>
        <v>43</v>
      </c>
      <c r="D36" s="122">
        <f>D8-D9-D10</f>
        <v>125</v>
      </c>
      <c r="E36" s="123">
        <f>SUM(E37:E42)</f>
        <v>125</v>
      </c>
      <c r="F36" s="122">
        <f>CEILING(F8-F9-F10,1)</f>
        <v>259</v>
      </c>
      <c r="G36" s="123">
        <f>SUM(G37:G42)</f>
        <v>260</v>
      </c>
    </row>
    <row r="37" spans="1:7" ht="17">
      <c r="A37" t="s">
        <v>665</v>
      </c>
      <c r="B37" s="89">
        <v>0.05</v>
      </c>
      <c r="C37" s="89">
        <v>3</v>
      </c>
      <c r="D37" s="122">
        <f>$C37+FLOOR($B37*($D36-$C36)/$B$36,0.5)</f>
        <v>5.5</v>
      </c>
      <c r="E37" s="123">
        <f>CEILING(D37,1)</f>
        <v>6</v>
      </c>
      <c r="F37" s="122">
        <f>$C37+FLOOR($B37*($F$36-$C$36)/$B$36,0.5)</f>
        <v>10.5</v>
      </c>
      <c r="G37" s="123">
        <f>CEILING(F37,1)</f>
        <v>11</v>
      </c>
    </row>
    <row r="38" spans="1:7">
      <c r="A38" t="s">
        <v>657</v>
      </c>
      <c r="B38">
        <v>0.85</v>
      </c>
      <c r="C38">
        <v>30</v>
      </c>
      <c r="D38" s="122">
        <f t="shared" ref="D38:D42" si="10">C38+FLOOR(B38*($D$36-$C$36)/$B$36,0.5)</f>
        <v>80.5</v>
      </c>
      <c r="E38" s="123">
        <f t="shared" ref="E38:E42" si="11">CEILING(D38,1)</f>
        <v>81</v>
      </c>
      <c r="F38" s="122">
        <f t="shared" ref="F38:F42" si="12">$C38+FLOOR($B38*($F$36-$C$36)/$B$36,0.5)</f>
        <v>163.5</v>
      </c>
      <c r="G38" s="123">
        <f t="shared" ref="G38:G42" si="13">CEILING(F38,1)</f>
        <v>164</v>
      </c>
    </row>
    <row r="39" spans="1:7">
      <c r="A39" t="s">
        <v>666</v>
      </c>
      <c r="B39">
        <v>0.1</v>
      </c>
      <c r="C39">
        <v>3</v>
      </c>
      <c r="D39" s="122">
        <f>C39+FLOOR(B39*($D$36-$C$36)/$B$36,0.5)</f>
        <v>8.5</v>
      </c>
      <c r="E39" s="123">
        <f t="shared" si="11"/>
        <v>9</v>
      </c>
      <c r="F39" s="122">
        <f t="shared" si="12"/>
        <v>18.5</v>
      </c>
      <c r="G39" s="123">
        <f t="shared" si="13"/>
        <v>19</v>
      </c>
    </row>
    <row r="40" spans="1:7">
      <c r="A40" t="s">
        <v>656</v>
      </c>
      <c r="B40">
        <v>0.2</v>
      </c>
      <c r="C40">
        <v>6</v>
      </c>
      <c r="D40" s="122">
        <f t="shared" si="10"/>
        <v>17.5</v>
      </c>
      <c r="E40" s="123">
        <f t="shared" si="11"/>
        <v>18</v>
      </c>
      <c r="F40" s="122">
        <f t="shared" si="12"/>
        <v>37</v>
      </c>
      <c r="G40" s="123">
        <f t="shared" si="13"/>
        <v>37</v>
      </c>
    </row>
    <row r="41" spans="1:7">
      <c r="A41" t="s">
        <v>664</v>
      </c>
      <c r="B41">
        <v>0.05</v>
      </c>
      <c r="C41">
        <v>1</v>
      </c>
      <c r="D41" s="122">
        <f t="shared" si="10"/>
        <v>3.5</v>
      </c>
      <c r="E41" s="123">
        <f t="shared" si="11"/>
        <v>4</v>
      </c>
      <c r="F41" s="122">
        <f t="shared" si="12"/>
        <v>8.5</v>
      </c>
      <c r="G41" s="123">
        <f t="shared" si="13"/>
        <v>9</v>
      </c>
    </row>
    <row r="42" spans="1:7">
      <c r="A42" t="s">
        <v>655</v>
      </c>
      <c r="B42">
        <f>SUM(B37:B41)*0.1</f>
        <v>0.125</v>
      </c>
      <c r="D42" s="122">
        <f t="shared" si="10"/>
        <v>7</v>
      </c>
      <c r="E42" s="123">
        <f t="shared" si="11"/>
        <v>7</v>
      </c>
      <c r="F42" s="122">
        <f t="shared" si="12"/>
        <v>19.5</v>
      </c>
      <c r="G42" s="123">
        <f t="shared" si="13"/>
        <v>20</v>
      </c>
    </row>
  </sheetData>
  <sortState ref="A27:D39">
    <sortCondition ref="A30:A39"/>
    <sortCondition ref="B30:B39"/>
  </sortState>
  <mergeCells count="2">
    <mergeCell ref="D2:E2"/>
    <mergeCell ref="F2:G2"/>
  </mergeCells>
  <pageMargins left="0.7" right="0.7" top="0.75" bottom="0.75" header="0.3" footer="0.3"/>
  <pageSetup scale="71" orientation="portrait" horizontalDpi="0" verticalDpi="0" copies="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EB479-7E9A-E744-AB82-0BC477E4AC67}">
  <dimension ref="A1"/>
  <sheetViews>
    <sheetView workbookViewId="0"/>
  </sheetViews>
  <sheetFormatPr baseColWidth="10" defaultRowHeight="16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A1AE5-3090-F34A-BB87-7CAFAB9DCFD1}">
  <dimension ref="A1:AF73"/>
  <sheetViews>
    <sheetView topLeftCell="A14" workbookViewId="0">
      <selection activeCell="E37" sqref="E37"/>
    </sheetView>
  </sheetViews>
  <sheetFormatPr baseColWidth="10" defaultRowHeight="16"/>
  <cols>
    <col min="1" max="1" width="22.83203125" bestFit="1" customWidth="1"/>
    <col min="3" max="3" width="13.6640625" bestFit="1" customWidth="1"/>
    <col min="4" max="4" width="12.6640625" bestFit="1" customWidth="1"/>
    <col min="5" max="5" width="12.1640625" bestFit="1" customWidth="1"/>
    <col min="6" max="6" width="11.6640625" bestFit="1" customWidth="1"/>
    <col min="7" max="7" width="12.1640625" bestFit="1" customWidth="1"/>
    <col min="12" max="16" width="7" customWidth="1"/>
    <col min="17" max="17" width="7.5" customWidth="1"/>
    <col min="18" max="19" width="7" customWidth="1"/>
    <col min="20" max="20" width="9.6640625" customWidth="1"/>
    <col min="24" max="24" width="12.1640625" bestFit="1" customWidth="1"/>
  </cols>
  <sheetData>
    <row r="1" spans="1:29">
      <c r="A1" t="s">
        <v>93</v>
      </c>
      <c r="D1" s="3">
        <f>Vehicle!B41*0.000001</f>
        <v>6.6868799631658735</v>
      </c>
      <c r="E1" t="s">
        <v>81</v>
      </c>
    </row>
    <row r="2" spans="1:29">
      <c r="A2" t="s">
        <v>710</v>
      </c>
      <c r="D2">
        <f>Vehicle!E25</f>
        <v>989</v>
      </c>
      <c r="E2" s="7"/>
      <c r="F2" s="7"/>
      <c r="G2" s="7"/>
      <c r="H2" s="7"/>
      <c r="I2" s="7"/>
      <c r="J2" s="7"/>
      <c r="U2" s="7"/>
      <c r="V2" s="7"/>
      <c r="W2" s="7"/>
      <c r="X2" s="7"/>
      <c r="Y2" s="7"/>
      <c r="Z2" s="7"/>
      <c r="AA2" s="7"/>
      <c r="AB2" s="7"/>
      <c r="AC2" s="7"/>
    </row>
    <row r="4" spans="1:29">
      <c r="A4" t="s">
        <v>285</v>
      </c>
    </row>
    <row r="5" spans="1:29">
      <c r="A5" t="s">
        <v>287</v>
      </c>
      <c r="D5">
        <f>180*Conversion!G16</f>
        <v>69.498388800000001</v>
      </c>
      <c r="E5" t="s">
        <v>288</v>
      </c>
    </row>
    <row r="6" spans="1:29">
      <c r="A6" t="s">
        <v>286</v>
      </c>
      <c r="D6">
        <f>D2/D5</f>
        <v>14.230545730291809</v>
      </c>
      <c r="E6" t="s">
        <v>81</v>
      </c>
      <c r="F6" t="s">
        <v>92</v>
      </c>
    </row>
    <row r="7" spans="1:29">
      <c r="A7" t="s">
        <v>91</v>
      </c>
      <c r="D7">
        <f>C45*0.000001</f>
        <v>5.9755136700198221</v>
      </c>
      <c r="E7" t="s">
        <v>81</v>
      </c>
    </row>
    <row r="8" spans="1:29">
      <c r="D8">
        <f>D7*Conversion!D16</f>
        <v>597.55136700198227</v>
      </c>
      <c r="E8" t="s">
        <v>149</v>
      </c>
    </row>
    <row r="10" spans="1:29">
      <c r="A10" t="s">
        <v>245</v>
      </c>
      <c r="D10" t="s">
        <v>573</v>
      </c>
      <c r="E10" t="s">
        <v>444</v>
      </c>
      <c r="F10" t="s">
        <v>443</v>
      </c>
    </row>
    <row r="11" spans="1:29">
      <c r="C11" t="s">
        <v>254</v>
      </c>
      <c r="D11">
        <f>IF(SUM(D12:D15)&gt;G27,0,G27-SUM(D12:D15))</f>
        <v>5.2447664141414165</v>
      </c>
      <c r="E11" s="59">
        <f>Protein!B10</f>
        <v>632702.39501855907</v>
      </c>
    </row>
    <row r="12" spans="1:29">
      <c r="C12" t="s">
        <v>253</v>
      </c>
      <c r="D12">
        <f>H12/2.2</f>
        <v>18.18181818181818</v>
      </c>
      <c r="E12" s="59">
        <f>Cattle!D8</f>
        <v>2273524.344</v>
      </c>
      <c r="F12">
        <f>Cattle!C18</f>
        <v>509</v>
      </c>
      <c r="H12" s="7">
        <v>40</v>
      </c>
      <c r="I12" s="67">
        <v>67.8</v>
      </c>
      <c r="J12" s="67" t="s">
        <v>306</v>
      </c>
      <c r="K12" s="67" t="s">
        <v>308</v>
      </c>
      <c r="L12" s="67"/>
    </row>
    <row r="13" spans="1:29">
      <c r="C13" t="s">
        <v>271</v>
      </c>
      <c r="D13">
        <f>H13/2.2</f>
        <v>13.636363636363635</v>
      </c>
      <c r="E13" s="59">
        <f>Protein!B27</f>
        <v>96039.256198347095</v>
      </c>
      <c r="F13">
        <f>SUM(Protein!B19:D19)</f>
        <v>5363.8946280991722</v>
      </c>
      <c r="H13" s="7">
        <v>30</v>
      </c>
      <c r="I13" s="67">
        <v>61.5</v>
      </c>
      <c r="J13" s="67" t="s">
        <v>306</v>
      </c>
      <c r="K13" s="67" t="s">
        <v>307</v>
      </c>
      <c r="L13" s="67"/>
    </row>
    <row r="14" spans="1:29">
      <c r="C14" t="s">
        <v>327</v>
      </c>
      <c r="D14">
        <f>H14/2.2</f>
        <v>4.545454545454545</v>
      </c>
      <c r="E14" s="59">
        <f>Protein!B44</f>
        <v>19460.842188114912</v>
      </c>
      <c r="F14">
        <f>Protein!B35</f>
        <v>57.085137085137077</v>
      </c>
      <c r="H14" s="7">
        <v>10</v>
      </c>
      <c r="I14" s="67">
        <v>49.8</v>
      </c>
      <c r="J14" s="67" t="s">
        <v>306</v>
      </c>
      <c r="K14" s="67" t="s">
        <v>322</v>
      </c>
      <c r="L14" s="67"/>
    </row>
    <row r="15" spans="1:29">
      <c r="C15" t="s">
        <v>570</v>
      </c>
      <c r="D15">
        <v>18</v>
      </c>
      <c r="E15" s="59">
        <f>Protein!B60</f>
        <v>99515.670280133025</v>
      </c>
    </row>
    <row r="16" spans="1:29">
      <c r="C16" t="s">
        <v>18</v>
      </c>
      <c r="E16" s="3">
        <f>SUM(E12:E14)</f>
        <v>2389024.4423864619</v>
      </c>
    </row>
    <row r="17" spans="1:32">
      <c r="C17" t="s">
        <v>510</v>
      </c>
      <c r="E17" s="3">
        <f>SUM(Crops!G4:G119)</f>
        <v>2389024.4423864619</v>
      </c>
    </row>
    <row r="19" spans="1:32">
      <c r="B19" t="s">
        <v>255</v>
      </c>
      <c r="D19">
        <v>80</v>
      </c>
      <c r="E19" s="7" t="s">
        <v>150</v>
      </c>
      <c r="F19" s="7"/>
      <c r="G19" s="7"/>
      <c r="H19" s="7"/>
      <c r="I19" s="7"/>
      <c r="J19" s="7"/>
      <c r="U19" s="7"/>
      <c r="V19" s="7"/>
      <c r="W19" s="7"/>
      <c r="X19" s="7"/>
      <c r="Y19" s="7"/>
      <c r="Z19" s="7"/>
      <c r="AA19" s="7"/>
      <c r="AB19" s="7"/>
      <c r="AC19" s="7"/>
    </row>
    <row r="20" spans="1:32">
      <c r="B20" t="s">
        <v>256</v>
      </c>
      <c r="D20">
        <v>1.25E-3</v>
      </c>
      <c r="E20" s="7" t="s">
        <v>258</v>
      </c>
      <c r="F20" s="7" t="s">
        <v>257</v>
      </c>
      <c r="G20" s="7"/>
      <c r="H20" s="7"/>
      <c r="I20" s="7"/>
      <c r="J20" s="7"/>
      <c r="U20" s="7"/>
      <c r="V20" s="7"/>
      <c r="W20" s="7"/>
      <c r="X20" s="7"/>
      <c r="Y20" s="7"/>
      <c r="Z20" s="7"/>
      <c r="AA20" s="7"/>
      <c r="AB20" s="7"/>
      <c r="AC20" s="7"/>
    </row>
    <row r="21" spans="1:32">
      <c r="B21" t="s">
        <v>269</v>
      </c>
      <c r="D21" s="5">
        <f>SUM(AB:AB)+(D19*D20*3020)</f>
        <v>302</v>
      </c>
      <c r="E21" s="7" t="s">
        <v>270</v>
      </c>
      <c r="F21" s="7"/>
      <c r="G21" s="7"/>
      <c r="H21" s="7"/>
      <c r="I21" s="7"/>
      <c r="J21" s="7"/>
      <c r="U21" s="7"/>
      <c r="V21" s="7"/>
      <c r="W21" s="7"/>
      <c r="X21" s="7"/>
      <c r="Y21" s="7"/>
      <c r="Z21" s="7"/>
      <c r="AA21" s="7"/>
      <c r="AB21" s="7"/>
      <c r="AC21" s="7"/>
    </row>
    <row r="22" spans="1:32">
      <c r="D22" s="5"/>
      <c r="E22" s="7"/>
      <c r="F22" s="7"/>
      <c r="G22" s="7"/>
      <c r="H22" s="7"/>
      <c r="I22" s="7"/>
      <c r="J22" s="7"/>
      <c r="U22" s="7"/>
      <c r="V22" s="7"/>
      <c r="W22" s="7"/>
      <c r="X22" s="7"/>
      <c r="Y22" s="7"/>
      <c r="Z22" s="7"/>
      <c r="AA22" s="7"/>
      <c r="AB22" s="7"/>
      <c r="AC22" s="7"/>
    </row>
    <row r="23" spans="1:32">
      <c r="A23" t="s">
        <v>515</v>
      </c>
      <c r="B23" t="s">
        <v>559</v>
      </c>
      <c r="D23" t="s">
        <v>512</v>
      </c>
      <c r="E23" s="7" t="s">
        <v>513</v>
      </c>
      <c r="F23" s="7" t="s">
        <v>564</v>
      </c>
      <c r="G23" s="7" t="s">
        <v>498</v>
      </c>
      <c r="H23" s="7"/>
      <c r="I23" s="7"/>
      <c r="J23" s="7"/>
      <c r="U23" s="7"/>
      <c r="V23" s="7"/>
      <c r="W23" s="7"/>
      <c r="X23" s="7"/>
      <c r="Y23" s="7"/>
      <c r="Z23" s="7"/>
      <c r="AA23" s="7"/>
      <c r="AB23" s="7"/>
      <c r="AC23" s="7"/>
    </row>
    <row r="24" spans="1:32">
      <c r="B24" t="s">
        <v>516</v>
      </c>
      <c r="D24">
        <v>1</v>
      </c>
      <c r="E24" s="7">
        <f>Diet!G5</f>
        <v>54.307692307692307</v>
      </c>
      <c r="F24">
        <v>387</v>
      </c>
      <c r="G24" s="7">
        <f t="shared" ref="G24:G34" si="0">E24/F24*0.1*365.26</f>
        <v>5.1256919101570269</v>
      </c>
      <c r="H24" s="7"/>
      <c r="I24" s="7"/>
      <c r="J24" s="7"/>
      <c r="U24" s="7"/>
      <c r="V24" s="7"/>
      <c r="W24" s="7"/>
      <c r="X24" s="7"/>
      <c r="Y24" s="7"/>
      <c r="Z24" s="7"/>
      <c r="AA24" s="7"/>
      <c r="AB24" s="7"/>
      <c r="AC24" s="7"/>
    </row>
    <row r="25" spans="1:32">
      <c r="B25" t="s">
        <v>517</v>
      </c>
      <c r="D25">
        <v>2</v>
      </c>
      <c r="E25" s="7">
        <f>Diet!H5</f>
        <v>377.57142857142856</v>
      </c>
      <c r="F25">
        <v>387</v>
      </c>
      <c r="G25" s="7">
        <f t="shared" si="0"/>
        <v>35.636108527131782</v>
      </c>
      <c r="H25" s="7"/>
      <c r="I25" s="7" t="s">
        <v>565</v>
      </c>
      <c r="J25" s="7"/>
      <c r="U25" s="7"/>
      <c r="V25" s="7"/>
      <c r="W25" s="7"/>
      <c r="X25" s="7"/>
      <c r="Y25" s="7"/>
      <c r="Z25" s="7"/>
      <c r="AA25" s="7"/>
      <c r="AB25" s="7"/>
      <c r="AC25" s="7"/>
    </row>
    <row r="26" spans="1:32">
      <c r="B26" t="s">
        <v>560</v>
      </c>
      <c r="D26">
        <v>3</v>
      </c>
      <c r="E26" s="7">
        <f>Diet!I5</f>
        <v>666.75</v>
      </c>
      <c r="F26">
        <v>884</v>
      </c>
      <c r="G26" s="7">
        <f t="shared" si="0"/>
        <v>27.549446266968328</v>
      </c>
      <c r="H26" s="7"/>
      <c r="I26" s="7"/>
      <c r="J26" s="7"/>
      <c r="U26" s="7"/>
      <c r="V26" s="7"/>
      <c r="W26" s="7"/>
      <c r="X26" s="7"/>
      <c r="Y26" s="7"/>
      <c r="Z26" s="7"/>
      <c r="AA26" s="7"/>
      <c r="AB26" s="7"/>
      <c r="AC26" s="7"/>
    </row>
    <row r="27" spans="1:32">
      <c r="B27" t="s">
        <v>552</v>
      </c>
      <c r="D27">
        <v>4</v>
      </c>
      <c r="E27" s="7">
        <f>Diet!J5</f>
        <v>470</v>
      </c>
      <c r="F27">
        <v>288</v>
      </c>
      <c r="G27" s="7">
        <f t="shared" si="0"/>
        <v>59.608402777777776</v>
      </c>
      <c r="H27" s="7"/>
      <c r="I27" s="7"/>
      <c r="J27" s="7"/>
      <c r="U27" s="7"/>
      <c r="V27" s="7"/>
      <c r="W27" s="7"/>
      <c r="X27" s="7"/>
      <c r="Y27" s="7"/>
      <c r="Z27" s="7"/>
      <c r="AA27" s="7"/>
      <c r="AB27" s="7"/>
      <c r="AC27" s="7"/>
    </row>
    <row r="28" spans="1:32">
      <c r="B28" t="s">
        <v>553</v>
      </c>
      <c r="D28">
        <v>5</v>
      </c>
      <c r="E28">
        <f>Diet!K5</f>
        <v>358.66666666666669</v>
      </c>
      <c r="F28">
        <v>60</v>
      </c>
      <c r="G28" s="7">
        <f t="shared" si="0"/>
        <v>218.34431111111113</v>
      </c>
      <c r="H28" s="7"/>
      <c r="I28" s="7"/>
      <c r="J28" s="7"/>
      <c r="K28" s="7"/>
      <c r="L28" s="7"/>
      <c r="M28" s="7"/>
      <c r="X28" s="7"/>
      <c r="Y28" s="7"/>
      <c r="Z28" s="7"/>
      <c r="AA28" s="7"/>
      <c r="AB28" s="7"/>
      <c r="AC28" s="7"/>
      <c r="AD28" s="7"/>
      <c r="AE28" s="7"/>
      <c r="AF28" s="7"/>
    </row>
    <row r="29" spans="1:32">
      <c r="B29" t="s">
        <v>554</v>
      </c>
      <c r="D29">
        <v>6</v>
      </c>
      <c r="E29">
        <f>Diet!L5</f>
        <v>219.8</v>
      </c>
      <c r="F29">
        <v>57</v>
      </c>
      <c r="G29" s="7">
        <f t="shared" si="0"/>
        <v>140.84938245614035</v>
      </c>
      <c r="H29" s="7"/>
      <c r="I29" s="7"/>
      <c r="J29" s="7"/>
      <c r="K29" s="7"/>
      <c r="L29" s="7"/>
      <c r="M29" s="7"/>
      <c r="X29" s="7"/>
      <c r="Y29" s="7"/>
      <c r="Z29" s="7"/>
      <c r="AA29" s="7"/>
      <c r="AB29" s="7"/>
      <c r="AC29" s="7"/>
      <c r="AD29" s="7"/>
      <c r="AE29" s="7"/>
      <c r="AF29" s="7"/>
    </row>
    <row r="30" spans="1:32">
      <c r="B30" t="s">
        <v>561</v>
      </c>
      <c r="D30">
        <v>7</v>
      </c>
      <c r="E30">
        <f>Diet!M5</f>
        <v>107.84615384615384</v>
      </c>
      <c r="F30">
        <v>86</v>
      </c>
      <c r="G30" s="7">
        <f t="shared" si="0"/>
        <v>45.804518783542036</v>
      </c>
      <c r="H30" s="7"/>
      <c r="I30" s="7" t="s">
        <v>567</v>
      </c>
      <c r="J30" s="7"/>
      <c r="K30" s="7"/>
      <c r="L30" s="7"/>
      <c r="M30" s="7"/>
      <c r="X30" s="7"/>
      <c r="Y30" s="7"/>
      <c r="Z30" s="7"/>
      <c r="AA30" s="7"/>
      <c r="AB30" s="7"/>
      <c r="AC30" s="7"/>
      <c r="AD30" s="7"/>
      <c r="AE30" s="7"/>
      <c r="AF30" s="7"/>
    </row>
    <row r="31" spans="1:32">
      <c r="B31" t="s">
        <v>556</v>
      </c>
      <c r="D31">
        <v>8</v>
      </c>
      <c r="E31">
        <f>Diet!N5</f>
        <v>43</v>
      </c>
      <c r="F31">
        <v>81</v>
      </c>
      <c r="G31" s="7">
        <f t="shared" si="0"/>
        <v>19.390345679012345</v>
      </c>
      <c r="H31" s="7"/>
      <c r="I31" t="s">
        <v>568</v>
      </c>
      <c r="J31" s="7" t="s">
        <v>563</v>
      </c>
      <c r="K31" s="7"/>
      <c r="L31" s="7"/>
      <c r="M31" s="7"/>
      <c r="X31" s="7"/>
      <c r="Y31" s="7"/>
      <c r="Z31" s="7"/>
      <c r="AA31" s="7"/>
      <c r="AB31" s="7"/>
      <c r="AC31" s="7"/>
      <c r="AD31" s="7"/>
      <c r="AE31" s="7"/>
      <c r="AF31" s="7"/>
    </row>
    <row r="32" spans="1:32">
      <c r="B32" t="s">
        <v>557</v>
      </c>
      <c r="D32">
        <v>9</v>
      </c>
      <c r="E32">
        <f>Diet!O5</f>
        <v>1097.9230769230769</v>
      </c>
      <c r="F32">
        <v>129</v>
      </c>
      <c r="G32" s="7">
        <f t="shared" si="0"/>
        <v>310.87394036970784</v>
      </c>
      <c r="I32" t="s">
        <v>566</v>
      </c>
      <c r="K32" s="7"/>
      <c r="L32" s="7"/>
      <c r="M32" s="7"/>
      <c r="X32" s="7"/>
      <c r="Y32" s="7"/>
      <c r="Z32" s="7"/>
      <c r="AA32" s="7"/>
      <c r="AB32" s="7"/>
      <c r="AC32" s="7"/>
      <c r="AD32" s="7"/>
      <c r="AE32" s="7"/>
      <c r="AF32" s="7"/>
    </row>
    <row r="33" spans="1:32">
      <c r="B33" t="s">
        <v>562</v>
      </c>
      <c r="D33">
        <v>10</v>
      </c>
      <c r="E33">
        <f>Diet!P5</f>
        <v>157</v>
      </c>
      <c r="F33">
        <v>85</v>
      </c>
      <c r="G33" s="7">
        <f t="shared" si="0"/>
        <v>67.465670588235298</v>
      </c>
      <c r="H33" s="7"/>
      <c r="I33" s="7" t="s">
        <v>569</v>
      </c>
      <c r="J33" s="7"/>
      <c r="K33" s="7"/>
      <c r="L33" s="7"/>
      <c r="M33" s="7"/>
      <c r="X33" s="7"/>
      <c r="Y33" s="7"/>
      <c r="Z33" s="7"/>
      <c r="AA33" s="7"/>
      <c r="AB33" s="7"/>
      <c r="AC33" s="7"/>
      <c r="AD33" s="7"/>
      <c r="AE33" s="7"/>
      <c r="AF33" s="7"/>
    </row>
    <row r="34" spans="1:32">
      <c r="B34" t="s">
        <v>574</v>
      </c>
      <c r="D34">
        <v>11</v>
      </c>
      <c r="E34" s="7">
        <f>E27/2</f>
        <v>235</v>
      </c>
      <c r="F34" s="7">
        <f>F26</f>
        <v>884</v>
      </c>
      <c r="G34" s="7">
        <f t="shared" si="0"/>
        <v>9.7099660633484177</v>
      </c>
      <c r="H34" s="7"/>
      <c r="I34" s="7"/>
      <c r="J34" s="7"/>
      <c r="U34" s="7"/>
      <c r="V34" s="7"/>
      <c r="W34" s="7"/>
      <c r="X34" s="7"/>
      <c r="Y34" s="7"/>
      <c r="Z34" s="7"/>
      <c r="AA34" s="7"/>
      <c r="AB34" s="7"/>
      <c r="AC34" s="7"/>
    </row>
    <row r="35" spans="1:32">
      <c r="E35" s="7"/>
      <c r="F35" s="7"/>
      <c r="G35" s="7"/>
      <c r="H35" s="7"/>
      <c r="I35" s="7"/>
      <c r="J35" s="7"/>
      <c r="U35" s="7"/>
      <c r="V35" s="7"/>
      <c r="W35" s="7"/>
      <c r="X35" s="7"/>
      <c r="Y35" s="7"/>
      <c r="Z35" s="7"/>
      <c r="AA35" s="7"/>
      <c r="AB35" s="7"/>
      <c r="AC35" s="7"/>
    </row>
    <row r="36" spans="1:32">
      <c r="A36" t="s">
        <v>316</v>
      </c>
      <c r="D36" t="s">
        <v>318</v>
      </c>
      <c r="E36" s="7" t="s">
        <v>18</v>
      </c>
      <c r="F36" s="7"/>
      <c r="G36" s="7"/>
      <c r="H36" s="7"/>
      <c r="I36" s="7"/>
      <c r="J36" s="7"/>
      <c r="U36" s="7"/>
      <c r="V36" s="7"/>
      <c r="W36" s="7"/>
      <c r="X36" s="7"/>
      <c r="Y36" s="7"/>
      <c r="Z36" s="7"/>
      <c r="AA36" s="7"/>
      <c r="AB36" s="7"/>
      <c r="AC36" s="7"/>
    </row>
    <row r="37" spans="1:32">
      <c r="B37" t="s">
        <v>317</v>
      </c>
      <c r="D37">
        <f>G27</f>
        <v>59.608402777777776</v>
      </c>
      <c r="E37" s="7">
        <f>D37*$D$2</f>
        <v>58952.710347222222</v>
      </c>
      <c r="F37" s="7"/>
      <c r="G37" s="7"/>
      <c r="H37" s="7"/>
      <c r="I37" s="7"/>
      <c r="J37" s="7"/>
      <c r="U37" s="7"/>
      <c r="V37" s="7"/>
      <c r="W37" s="7"/>
      <c r="X37" s="7"/>
      <c r="Y37" s="7"/>
      <c r="Z37" s="7"/>
      <c r="AA37" s="7"/>
      <c r="AB37" s="7"/>
      <c r="AC37" s="7"/>
    </row>
    <row r="38" spans="1:32">
      <c r="B38" t="s">
        <v>319</v>
      </c>
      <c r="D38">
        <f>SUM(Crops!D6:D119)</f>
        <v>1259.7274162917024</v>
      </c>
      <c r="E38" s="58">
        <f>SUM(Crops!F6:F119)</f>
        <v>1021590.6237142157</v>
      </c>
      <c r="F38" s="7"/>
      <c r="G38" s="7"/>
      <c r="H38" s="7"/>
      <c r="I38" s="7"/>
      <c r="J38" s="7"/>
      <c r="U38" s="7"/>
      <c r="V38" s="7"/>
      <c r="W38" s="7"/>
      <c r="X38" s="7"/>
      <c r="Y38" s="7"/>
      <c r="Z38" s="7"/>
      <c r="AA38" s="7"/>
      <c r="AB38" s="7"/>
      <c r="AC38" s="7"/>
    </row>
    <row r="39" spans="1:32">
      <c r="A39" t="s">
        <v>320</v>
      </c>
      <c r="C39">
        <v>0.15</v>
      </c>
      <c r="E39" s="7">
        <f>(E37+E42)*C39</f>
        <v>8842.9065520833337</v>
      </c>
      <c r="F39" s="7"/>
      <c r="G39" s="7"/>
      <c r="H39" s="7"/>
      <c r="I39" s="7"/>
      <c r="J39" s="7"/>
      <c r="U39" s="7"/>
      <c r="V39" s="7"/>
      <c r="W39" s="7"/>
      <c r="X39" s="7"/>
      <c r="Y39" s="7"/>
      <c r="Z39" s="7"/>
      <c r="AA39" s="7"/>
      <c r="AB39" s="7"/>
      <c r="AC39" s="7"/>
    </row>
    <row r="40" spans="1:32">
      <c r="A40" t="s">
        <v>746</v>
      </c>
      <c r="E40" s="7">
        <f>(E37+E38)*7</f>
        <v>7563803.3384300657</v>
      </c>
      <c r="F40" s="7"/>
      <c r="G40" s="7" t="s">
        <v>747</v>
      </c>
      <c r="H40" s="7"/>
      <c r="I40" s="7"/>
      <c r="J40" s="7"/>
      <c r="U40" s="7"/>
      <c r="V40" s="7"/>
      <c r="W40" s="7"/>
      <c r="X40" s="7"/>
      <c r="Y40" s="7"/>
      <c r="Z40" s="7"/>
      <c r="AA40" s="7"/>
      <c r="AB40" s="7"/>
      <c r="AC40" s="7"/>
    </row>
    <row r="41" spans="1:32">
      <c r="E41" s="7"/>
      <c r="F41" s="7"/>
      <c r="G41" s="7"/>
      <c r="H41" s="7"/>
      <c r="I41" s="7"/>
      <c r="J41" s="7"/>
      <c r="U41" s="7"/>
      <c r="V41" s="7"/>
      <c r="W41" s="7"/>
      <c r="X41" s="7"/>
      <c r="Y41" s="7"/>
      <c r="Z41" s="7"/>
      <c r="AA41" s="7"/>
      <c r="AB41" s="7"/>
      <c r="AC41" s="7"/>
    </row>
    <row r="43" spans="1:32">
      <c r="A43" t="s">
        <v>295</v>
      </c>
      <c r="C43" s="3">
        <f>SUM(Crops!X4:X119)</f>
        <v>3558987.881043775</v>
      </c>
    </row>
    <row r="44" spans="1:32">
      <c r="A44" t="s">
        <v>296</v>
      </c>
      <c r="C44" s="3">
        <f>SUM(Crops!Y4:Y119)</f>
        <v>2416525.7889760477</v>
      </c>
      <c r="F44" t="s">
        <v>447</v>
      </c>
      <c r="G44" t="s">
        <v>408</v>
      </c>
    </row>
    <row r="45" spans="1:32">
      <c r="A45" t="s">
        <v>127</v>
      </c>
      <c r="C45" s="50">
        <f>C43+C44</f>
        <v>5975513.6700198222</v>
      </c>
      <c r="D45" s="74">
        <f>C45*Conversion!F18</f>
        <v>1476.6091829985983</v>
      </c>
      <c r="F45" t="s">
        <v>448</v>
      </c>
      <c r="G45" t="s">
        <v>449</v>
      </c>
    </row>
    <row r="46" spans="1:32">
      <c r="C46" s="16"/>
      <c r="D46" s="44"/>
      <c r="F46" t="s">
        <v>488</v>
      </c>
      <c r="G46" t="s">
        <v>133</v>
      </c>
    </row>
    <row r="47" spans="1:32">
      <c r="A47" t="s">
        <v>305</v>
      </c>
      <c r="C47" s="50">
        <f>SUM(Crops!Z4:Z119)</f>
        <v>6546924.2981412606</v>
      </c>
      <c r="D47" s="44"/>
      <c r="F47" t="s">
        <v>492</v>
      </c>
      <c r="G47" t="s">
        <v>493</v>
      </c>
    </row>
    <row r="48" spans="1:32">
      <c r="F48" t="s">
        <v>447</v>
      </c>
      <c r="G48" t="s">
        <v>448</v>
      </c>
      <c r="J48" t="s">
        <v>490</v>
      </c>
      <c r="P48" s="44"/>
    </row>
    <row r="49" spans="1:16">
      <c r="A49" t="s">
        <v>506</v>
      </c>
      <c r="C49">
        <f>SUM(Crops!L4:L119)</f>
        <v>93095</v>
      </c>
      <c r="P49" s="44"/>
    </row>
    <row r="50" spans="1:16">
      <c r="P50" s="44"/>
    </row>
    <row r="51" spans="1:16">
      <c r="A51" t="s">
        <v>701</v>
      </c>
      <c r="C51" t="s">
        <v>680</v>
      </c>
    </row>
    <row r="53" spans="1:16">
      <c r="A53" t="s">
        <v>702</v>
      </c>
      <c r="B53" t="s">
        <v>703</v>
      </c>
      <c r="C53" t="s">
        <v>704</v>
      </c>
      <c r="D53" t="s">
        <v>502</v>
      </c>
      <c r="E53" t="s">
        <v>705</v>
      </c>
    </row>
    <row r="54" spans="1:16">
      <c r="A54" t="s">
        <v>681</v>
      </c>
      <c r="B54">
        <v>10.5</v>
      </c>
    </row>
    <row r="55" spans="1:16">
      <c r="A55" t="s">
        <v>682</v>
      </c>
      <c r="B55">
        <v>24.4</v>
      </c>
    </row>
    <row r="56" spans="1:16">
      <c r="A56" t="s">
        <v>684</v>
      </c>
      <c r="B56">
        <v>5.2</v>
      </c>
    </row>
    <row r="57" spans="1:16">
      <c r="A57" t="s">
        <v>683</v>
      </c>
      <c r="B57">
        <v>8</v>
      </c>
    </row>
    <row r="58" spans="1:16">
      <c r="A58" t="s">
        <v>685</v>
      </c>
      <c r="B58">
        <v>6</v>
      </c>
    </row>
    <row r="59" spans="1:16">
      <c r="A59" t="s">
        <v>686</v>
      </c>
      <c r="B59">
        <v>6.7</v>
      </c>
    </row>
    <row r="60" spans="1:16">
      <c r="A60" t="s">
        <v>687</v>
      </c>
      <c r="B60">
        <v>3.9</v>
      </c>
    </row>
    <row r="61" spans="1:16">
      <c r="A61" t="s">
        <v>688</v>
      </c>
      <c r="B61">
        <v>4.7</v>
      </c>
    </row>
    <row r="62" spans="1:16">
      <c r="A62" t="s">
        <v>689</v>
      </c>
      <c r="B62">
        <v>11</v>
      </c>
    </row>
    <row r="63" spans="1:16">
      <c r="A63" t="s">
        <v>690</v>
      </c>
      <c r="B63">
        <v>17.600000000000001</v>
      </c>
    </row>
    <row r="64" spans="1:16">
      <c r="A64" t="s">
        <v>691</v>
      </c>
      <c r="B64">
        <v>12.6</v>
      </c>
    </row>
    <row r="65" spans="1:2">
      <c r="A65" t="s">
        <v>692</v>
      </c>
      <c r="B65">
        <v>5</v>
      </c>
    </row>
    <row r="66" spans="1:2">
      <c r="A66" t="s">
        <v>693</v>
      </c>
      <c r="B66">
        <v>9.6</v>
      </c>
    </row>
    <row r="67" spans="1:2">
      <c r="A67" t="s">
        <v>694</v>
      </c>
      <c r="B67">
        <v>12.4</v>
      </c>
    </row>
    <row r="68" spans="1:2">
      <c r="A68" t="s">
        <v>695</v>
      </c>
      <c r="B68">
        <v>16.3</v>
      </c>
    </row>
    <row r="69" spans="1:2">
      <c r="A69" t="s">
        <v>696</v>
      </c>
      <c r="B69">
        <v>46.7</v>
      </c>
    </row>
    <row r="70" spans="1:2">
      <c r="A70" t="s">
        <v>697</v>
      </c>
      <c r="B70">
        <v>4.5999999999999996</v>
      </c>
    </row>
    <row r="71" spans="1:2">
      <c r="A71" t="s">
        <v>698</v>
      </c>
      <c r="B71">
        <v>8.3000000000000007</v>
      </c>
    </row>
    <row r="72" spans="1:2">
      <c r="A72" t="s">
        <v>699</v>
      </c>
      <c r="B72">
        <v>18.2</v>
      </c>
    </row>
    <row r="73" spans="1:2">
      <c r="A73" t="s">
        <v>700</v>
      </c>
      <c r="B73">
        <v>84</v>
      </c>
    </row>
  </sheetData>
  <pageMargins left="0.7" right="0.7" top="0.75" bottom="0.75" header="0.3" footer="0.3"/>
  <pageSetup orientation="portrait" horizontalDpi="0" verticalDpi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2C2C1-95D6-9246-A9EE-2B8B6389D5DA}">
  <dimension ref="A1:AE129"/>
  <sheetViews>
    <sheetView workbookViewId="0"/>
  </sheetViews>
  <sheetFormatPr baseColWidth="10" defaultRowHeight="16"/>
  <cols>
    <col min="30" max="30" width="12.1640625" bestFit="1" customWidth="1"/>
  </cols>
  <sheetData>
    <row r="1" spans="1:30">
      <c r="A1" t="s">
        <v>121</v>
      </c>
      <c r="B1" t="s">
        <v>512</v>
      </c>
      <c r="D1" t="s">
        <v>123</v>
      </c>
      <c r="E1" t="s">
        <v>505</v>
      </c>
      <c r="F1" t="s">
        <v>503</v>
      </c>
      <c r="G1" t="s">
        <v>504</v>
      </c>
      <c r="H1" t="s">
        <v>451</v>
      </c>
      <c r="I1" t="s">
        <v>124</v>
      </c>
      <c r="J1" t="s">
        <v>453</v>
      </c>
      <c r="K1" t="s">
        <v>124</v>
      </c>
      <c r="L1" t="s">
        <v>440</v>
      </c>
      <c r="M1" t="s">
        <v>491</v>
      </c>
      <c r="N1" t="s">
        <v>494</v>
      </c>
      <c r="O1" t="s">
        <v>396</v>
      </c>
      <c r="P1" t="s">
        <v>397</v>
      </c>
      <c r="Q1" t="s">
        <v>398</v>
      </c>
      <c r="R1" t="s">
        <v>399</v>
      </c>
      <c r="S1" t="s">
        <v>400</v>
      </c>
      <c r="T1" t="s">
        <v>501</v>
      </c>
      <c r="U1" t="s">
        <v>19</v>
      </c>
      <c r="V1" t="s">
        <v>154</v>
      </c>
      <c r="W1" t="s">
        <v>502</v>
      </c>
      <c r="X1" t="s">
        <v>507</v>
      </c>
      <c r="Y1" t="s">
        <v>508</v>
      </c>
      <c r="Z1" t="s">
        <v>304</v>
      </c>
      <c r="AA1" t="s">
        <v>509</v>
      </c>
      <c r="AB1" t="s">
        <v>30</v>
      </c>
      <c r="AC1" t="s">
        <v>711</v>
      </c>
      <c r="AD1" t="s">
        <v>712</v>
      </c>
    </row>
    <row r="2" spans="1:30">
      <c r="A2" t="s">
        <v>394</v>
      </c>
    </row>
    <row r="3" spans="1:30">
      <c r="A3" t="s">
        <v>514</v>
      </c>
    </row>
    <row r="4" spans="1:30">
      <c r="A4" t="s">
        <v>291</v>
      </c>
      <c r="B4">
        <v>0</v>
      </c>
      <c r="E4">
        <v>0.05</v>
      </c>
      <c r="F4" s="3">
        <f>IF(D4&gt;0,D4*Agriculture!$D$2+Agriculture!$E$16*E4,IF(E4&gt;0,0,Agriculture!$D$2*0.025))</f>
        <v>0</v>
      </c>
      <c r="G4" s="3">
        <f>L4*1/Agriculture!$C$49*Agriculture!$E$16</f>
        <v>641555.51919718087</v>
      </c>
      <c r="K4" s="59">
        <f>IF(I4&gt;0,I4,J4/2000*Conversion!$D$22)</f>
        <v>0</v>
      </c>
      <c r="L4">
        <v>25000</v>
      </c>
      <c r="W4">
        <f t="shared" ref="W4:W14" si="0">IF(N4&gt;0,1,IF(M4&gt;0,FLOOR(365.26/M4,0.1),1))</f>
        <v>1</v>
      </c>
      <c r="X4" s="3">
        <f>IF(K4&gt;0,F4/K4/W4*Conversion!$E$17,0)</f>
        <v>0</v>
      </c>
      <c r="Y4" s="3">
        <f>IF(L4&gt;0,G4/L4/W4*Conversion!$E$17,0)</f>
        <v>256622.20767887234</v>
      </c>
      <c r="Z4" s="3">
        <f t="shared" ref="Z4:Z14" si="1">(X4+Y4)*IF(U4&gt;0,U4,1)</f>
        <v>256622.20767887234</v>
      </c>
      <c r="AA4" s="3">
        <f>(F4*T4)/365.26/Agriculture!$D$2</f>
        <v>0</v>
      </c>
      <c r="AB4" s="4">
        <f>SUM(X4:Y4)*Conversion!$F$18</f>
        <v>63.413913739526137</v>
      </c>
      <c r="AC4">
        <f>16+12.4+4.6+6</f>
        <v>39</v>
      </c>
      <c r="AD4" s="4">
        <f>W4*AB4*AC4</f>
        <v>2473.1426358415192</v>
      </c>
    </row>
    <row r="5" spans="1:30" ht="18">
      <c r="A5" t="s">
        <v>129</v>
      </c>
      <c r="B5">
        <v>0</v>
      </c>
      <c r="D5">
        <v>100</v>
      </c>
      <c r="F5" s="3">
        <f>IF(D5&gt;0,D5*Agriculture!$D$2+Agriculture!$E$16*E5,IF(E5&gt;0,0,Agriculture!$D$2*0.025))</f>
        <v>98900</v>
      </c>
      <c r="G5" s="3">
        <f>L5*1/Agriculture!$C$49*Agriculture!$E$16</f>
        <v>0</v>
      </c>
      <c r="I5">
        <v>5000</v>
      </c>
      <c r="K5" s="59">
        <f>IF(I5&gt;0,I5,J5/2000*Conversion!$D$22)</f>
        <v>5000</v>
      </c>
      <c r="N5">
        <v>1</v>
      </c>
      <c r="T5" s="73">
        <f t="shared" ref="T5:T14" si="2">(O5*4+R5*4+P5*9+Q5*9)*10</f>
        <v>0</v>
      </c>
      <c r="U5">
        <v>0.6</v>
      </c>
      <c r="W5">
        <f t="shared" si="0"/>
        <v>1</v>
      </c>
      <c r="X5" s="3">
        <f>IF(K5&gt;0,F5/K5/W5*Conversion!$E$17,0)</f>
        <v>197800</v>
      </c>
      <c r="Y5" s="3">
        <f>IF(L5&gt;0,G5/L5/W5*Conversion!$E$17,0)</f>
        <v>0</v>
      </c>
      <c r="Z5" s="3">
        <f t="shared" si="1"/>
        <v>118680</v>
      </c>
      <c r="AA5" s="3">
        <f>(F5*T5)/365.26/Agriculture!$D$2</f>
        <v>0</v>
      </c>
      <c r="AB5" s="4">
        <f>SUM(X5:Y5)*Conversion!$F$18</f>
        <v>48.878357999999999</v>
      </c>
      <c r="AC5">
        <f t="shared" ref="AC5:AC14" si="3">16+12.4+4.6</f>
        <v>33</v>
      </c>
      <c r="AD5" s="4">
        <f t="shared" ref="AD5:AD70" si="4">W5*AB5*AC5</f>
        <v>1612.9858139999999</v>
      </c>
    </row>
    <row r="6" spans="1:30" ht="18">
      <c r="A6" t="s">
        <v>144</v>
      </c>
      <c r="B6">
        <v>0</v>
      </c>
      <c r="D6">
        <v>6</v>
      </c>
      <c r="F6" s="3">
        <f>IF(D6&gt;0,D6*Agriculture!$D$2+Agriculture!$E$16*E6,IF(E6&gt;0,0,Agriculture!$D$2*0.025))</f>
        <v>5934</v>
      </c>
      <c r="G6" s="3">
        <f>L6*1/Agriculture!$C$49*Agriculture!$E$16</f>
        <v>0</v>
      </c>
      <c r="I6">
        <v>1500</v>
      </c>
      <c r="K6" s="59">
        <f>IF(I6&gt;0,I6,J6/2000*Conversion!$D$22)</f>
        <v>1500</v>
      </c>
      <c r="N6">
        <v>1</v>
      </c>
      <c r="T6" s="73">
        <f t="shared" si="2"/>
        <v>0</v>
      </c>
      <c r="U6">
        <v>0.9</v>
      </c>
      <c r="W6">
        <f t="shared" si="0"/>
        <v>1</v>
      </c>
      <c r="X6" s="3">
        <f>IF(K6&gt;0,F6/K6/W6*Conversion!$E$17,0)</f>
        <v>39560</v>
      </c>
      <c r="Y6" s="3">
        <f>IF(L6&gt;0,G6/L6/W6*Conversion!$E$17,0)</f>
        <v>0</v>
      </c>
      <c r="Z6" s="3">
        <f t="shared" si="1"/>
        <v>35604</v>
      </c>
      <c r="AA6" s="3">
        <f>(F6*T6)/365.26/Agriculture!$D$2</f>
        <v>0</v>
      </c>
      <c r="AB6" s="4">
        <f>SUM(X6:Y6)*Conversion!$F$18</f>
        <v>9.775671599999999</v>
      </c>
      <c r="AC6">
        <f t="shared" si="3"/>
        <v>33</v>
      </c>
      <c r="AD6" s="4">
        <f t="shared" si="4"/>
        <v>322.59716279999998</v>
      </c>
    </row>
    <row r="7" spans="1:30" ht="18">
      <c r="A7" t="s">
        <v>145</v>
      </c>
      <c r="B7">
        <v>0</v>
      </c>
      <c r="D7">
        <v>12</v>
      </c>
      <c r="F7" s="3">
        <f>IF(D7&gt;0,D7*Agriculture!$D$2+Agriculture!$E$16*E7,IF(E7&gt;0,0,Agriculture!$D$2*0.025))</f>
        <v>11868</v>
      </c>
      <c r="G7" s="3">
        <f>L7*1/Agriculture!$C$49*Agriculture!$E$16</f>
        <v>0</v>
      </c>
      <c r="I7">
        <v>1250</v>
      </c>
      <c r="K7" s="59">
        <f>IF(I7&gt;0,I7,J7/2000*Conversion!$D$22)</f>
        <v>1250</v>
      </c>
      <c r="N7" s="73">
        <v>1</v>
      </c>
      <c r="T7" s="73">
        <f t="shared" si="2"/>
        <v>0</v>
      </c>
      <c r="U7">
        <v>0.9</v>
      </c>
      <c r="W7">
        <f t="shared" si="0"/>
        <v>1</v>
      </c>
      <c r="X7" s="3">
        <f>IF(K7&gt;0,F7/K7/W7*Conversion!$E$17,0)</f>
        <v>94944</v>
      </c>
      <c r="Y7" s="3">
        <f>IF(L7&gt;0,G7/L7/W7*Conversion!$E$17,0)</f>
        <v>0</v>
      </c>
      <c r="Z7" s="3">
        <f t="shared" si="1"/>
        <v>85449.600000000006</v>
      </c>
      <c r="AA7" s="3">
        <f>(F7*T7)/365.26/Agriculture!$D$2</f>
        <v>0</v>
      </c>
      <c r="AB7" s="4">
        <f>SUM(X7:Y7)*Conversion!$F$18</f>
        <v>23.46161184</v>
      </c>
      <c r="AC7">
        <f t="shared" si="3"/>
        <v>33</v>
      </c>
      <c r="AD7" s="4">
        <f t="shared" si="4"/>
        <v>774.23319072000004</v>
      </c>
    </row>
    <row r="8" spans="1:30" ht="18">
      <c r="A8" t="s">
        <v>128</v>
      </c>
      <c r="B8">
        <v>0</v>
      </c>
      <c r="D8">
        <v>40</v>
      </c>
      <c r="F8" s="3">
        <f>IF(D8&gt;0,D8*Agriculture!$D$2+Agriculture!$E$16*E8,IF(E8&gt;0,0,Agriculture!$D$2*0.025))</f>
        <v>39560</v>
      </c>
      <c r="G8" s="3">
        <f>L8*1/Agriculture!$C$49*Agriculture!$E$16</f>
        <v>0</v>
      </c>
      <c r="I8">
        <v>8000</v>
      </c>
      <c r="K8" s="59">
        <f>IF(I8&gt;0,I8,J8/2000*Conversion!$D$22)</f>
        <v>8000</v>
      </c>
      <c r="T8" s="73">
        <f t="shared" si="2"/>
        <v>0</v>
      </c>
      <c r="V8">
        <v>1</v>
      </c>
      <c r="W8">
        <f t="shared" si="0"/>
        <v>1</v>
      </c>
      <c r="X8" s="3">
        <f>IF(K8&gt;0,F8/K8/W8*Conversion!$E$17,0)</f>
        <v>49450</v>
      </c>
      <c r="Y8" s="3">
        <f>IF(L8&gt;0,G8/L8/W8*Conversion!$E$17,0)</f>
        <v>0</v>
      </c>
      <c r="Z8" s="3">
        <f t="shared" si="1"/>
        <v>49450</v>
      </c>
      <c r="AA8" s="3">
        <f>(F8*T8)/365.26/Agriculture!$D$2</f>
        <v>0</v>
      </c>
      <c r="AB8" s="4">
        <f>SUM(X8:Y8)*Conversion!$F$18</f>
        <v>12.2195895</v>
      </c>
      <c r="AC8">
        <f t="shared" si="3"/>
        <v>33</v>
      </c>
      <c r="AD8" s="4">
        <f t="shared" si="4"/>
        <v>403.24645349999997</v>
      </c>
    </row>
    <row r="9" spans="1:30" ht="18">
      <c r="A9" t="s">
        <v>244</v>
      </c>
      <c r="B9">
        <v>0</v>
      </c>
      <c r="E9">
        <v>0.05</v>
      </c>
      <c r="F9" s="3">
        <f>IF(D9&gt;0,D9*Agriculture!$D$2+Agriculture!$E$16*E9,IF(E9&gt;0,0,Agriculture!$D$2*0.025))</f>
        <v>0</v>
      </c>
      <c r="G9" s="3">
        <f>L9*1/Agriculture!$C$49*Agriculture!$E$16</f>
        <v>307946.64921464684</v>
      </c>
      <c r="I9" s="73"/>
      <c r="J9" s="73"/>
      <c r="K9" s="59"/>
      <c r="L9" s="73">
        <v>12000</v>
      </c>
      <c r="M9" s="73"/>
      <c r="N9" s="73"/>
      <c r="O9" s="72"/>
      <c r="P9" s="72"/>
      <c r="Q9" s="72"/>
      <c r="R9" s="72"/>
      <c r="S9" s="72"/>
      <c r="T9" s="73">
        <f t="shared" si="2"/>
        <v>0</v>
      </c>
      <c r="W9">
        <f t="shared" si="0"/>
        <v>1</v>
      </c>
      <c r="X9" s="3">
        <f>IF(K9&gt;0,F9/K9/W9*Conversion!$E$17,0)</f>
        <v>0</v>
      </c>
      <c r="Y9" s="3">
        <f>IF(L9&gt;0,G9/L9/W9*Conversion!$E$17,0)</f>
        <v>256622.20767887236</v>
      </c>
      <c r="Z9" s="3">
        <f t="shared" si="1"/>
        <v>256622.20767887236</v>
      </c>
      <c r="AA9" s="3">
        <f>(F9*T9)/365.26/Agriculture!$D$2</f>
        <v>0</v>
      </c>
      <c r="AB9" s="4">
        <f>SUM(X9:Y9)*Conversion!$F$18</f>
        <v>63.413913739526144</v>
      </c>
      <c r="AC9">
        <f>16+12.4+4.6+6</f>
        <v>39</v>
      </c>
      <c r="AD9" s="4">
        <f t="shared" si="4"/>
        <v>2473.1426358415197</v>
      </c>
    </row>
    <row r="10" spans="1:30" ht="18">
      <c r="A10" t="s">
        <v>796</v>
      </c>
      <c r="D10">
        <v>20</v>
      </c>
      <c r="F10" s="3">
        <f>IF(D10&gt;0,D10*Agriculture!$D$2+Agriculture!$E$16*E10,IF(E10&gt;0,0,Agriculture!$D$2*0.025))</f>
        <v>19780</v>
      </c>
      <c r="G10" s="3">
        <f>L10*1/Agriculture!$C$49*Agriculture!$E$16</f>
        <v>0</v>
      </c>
      <c r="I10" s="73">
        <v>2400</v>
      </c>
      <c r="J10" s="73"/>
      <c r="K10" s="59">
        <v>2400</v>
      </c>
      <c r="L10" s="73"/>
      <c r="M10" s="73"/>
      <c r="N10" s="73"/>
      <c r="O10" s="72"/>
      <c r="P10" s="72"/>
      <c r="Q10" s="72"/>
      <c r="R10" s="72"/>
      <c r="S10" s="72"/>
      <c r="T10" s="73"/>
      <c r="W10">
        <f t="shared" ref="W10" si="5">IF(N10&gt;0,1,IF(M10&gt;0,FLOOR(365.26/M10,0.1),1))</f>
        <v>1</v>
      </c>
      <c r="X10" s="3">
        <f>IF(K10&gt;0,F10/K10/W10*Conversion!$E$17,0)</f>
        <v>82416.666666666672</v>
      </c>
      <c r="Y10" s="3">
        <f>IF(L10&gt;0,G10/L10/W10*Conversion!$E$17,0)</f>
        <v>0</v>
      </c>
      <c r="Z10" s="3">
        <f t="shared" ref="Z10" si="6">(X10+Y10)*IF(U10&gt;0,U10,1)</f>
        <v>82416.666666666672</v>
      </c>
      <c r="AA10" s="3">
        <f>(F10*T10)/365.26/Agriculture!$D$2</f>
        <v>0</v>
      </c>
      <c r="AB10" s="4">
        <f>SUM(X10:Y10)*Conversion!$F$18</f>
        <v>20.365982500000001</v>
      </c>
      <c r="AC10">
        <f t="shared" si="3"/>
        <v>33</v>
      </c>
      <c r="AD10" s="4">
        <f t="shared" ref="AD10" si="7">W10*AB10*AC10</f>
        <v>672.07742250000001</v>
      </c>
    </row>
    <row r="11" spans="1:30" ht="18">
      <c r="A11" t="s">
        <v>476</v>
      </c>
      <c r="B11">
        <v>0</v>
      </c>
      <c r="D11">
        <v>0.1</v>
      </c>
      <c r="F11" s="3">
        <f>IF(D11&gt;0,D11*Agriculture!$D$2+Agriculture!$E$16*E11,IF(E11&gt;0,0,Agriculture!$D$2*0.025))</f>
        <v>98.9</v>
      </c>
      <c r="G11" s="3">
        <f>L11*1/Agriculture!$C$49*Agriculture!$E$16</f>
        <v>0</v>
      </c>
      <c r="I11">
        <v>390</v>
      </c>
      <c r="K11" s="59">
        <f>IF(I11&gt;0,I11,J11/2000*Conversion!$D$22)</f>
        <v>390</v>
      </c>
      <c r="M11">
        <v>150</v>
      </c>
      <c r="T11" s="73">
        <f t="shared" si="2"/>
        <v>0</v>
      </c>
      <c r="U11">
        <v>0.5</v>
      </c>
      <c r="V11">
        <v>1</v>
      </c>
      <c r="W11">
        <f t="shared" si="0"/>
        <v>2.4000000000000004</v>
      </c>
      <c r="X11" s="3">
        <f>IF(K11&gt;0,F11/K11/W11*Conversion!$E$17,0)</f>
        <v>1056.6239316239316</v>
      </c>
      <c r="Y11" s="3">
        <f>IF(L11&gt;0,G11/L11/W11*Conversion!$E$17,0)</f>
        <v>0</v>
      </c>
      <c r="Z11" s="3">
        <f t="shared" si="1"/>
        <v>528.31196581196582</v>
      </c>
      <c r="AA11" s="3">
        <f>(F11*T11)/365.26/Agriculture!$D$2</f>
        <v>0</v>
      </c>
      <c r="AB11" s="4">
        <f>SUM(X11:Y11)*Conversion!$F$18</f>
        <v>0.26110233974358971</v>
      </c>
      <c r="AC11">
        <f t="shared" si="3"/>
        <v>33</v>
      </c>
      <c r="AD11" s="4">
        <f t="shared" si="4"/>
        <v>20.679305307692307</v>
      </c>
    </row>
    <row r="12" spans="1:30" ht="18">
      <c r="A12" t="s">
        <v>146</v>
      </c>
      <c r="B12">
        <v>0</v>
      </c>
      <c r="D12">
        <v>2</v>
      </c>
      <c r="F12" s="3">
        <f>IF(D12&gt;0,D12*Agriculture!$D$2+Agriculture!$E$16*E12,IF(E12&gt;0,0,Agriculture!$D$2*0.025))</f>
        <v>1978</v>
      </c>
      <c r="G12" s="3">
        <f>L12*1/Agriculture!$C$49*Agriculture!$E$16</f>
        <v>0</v>
      </c>
      <c r="I12">
        <v>1650</v>
      </c>
      <c r="K12" s="59">
        <f>IF(I12&gt;0,I12,J12/2000*Conversion!$D$22)</f>
        <v>1650</v>
      </c>
      <c r="T12" s="73">
        <f t="shared" si="2"/>
        <v>0</v>
      </c>
      <c r="U12">
        <v>0.5</v>
      </c>
      <c r="V12">
        <v>1</v>
      </c>
      <c r="W12">
        <f t="shared" si="0"/>
        <v>1</v>
      </c>
      <c r="X12" s="3">
        <f>IF(K12&gt;0,F12/K12/W12*Conversion!$E$17,0)</f>
        <v>11987.878787878788</v>
      </c>
      <c r="Y12" s="3">
        <f>IF(L12&gt;0,G12/L12/W12*Conversion!$E$17,0)</f>
        <v>0</v>
      </c>
      <c r="Z12" s="3">
        <f t="shared" si="1"/>
        <v>5993.939393939394</v>
      </c>
      <c r="AA12" s="3">
        <f>(F12*T12)/365.26/Agriculture!$D$2</f>
        <v>0</v>
      </c>
      <c r="AB12" s="4">
        <f>SUM(X12:Y12)*Conversion!$F$18</f>
        <v>2.9623247272727271</v>
      </c>
      <c r="AC12">
        <f t="shared" si="3"/>
        <v>33</v>
      </c>
      <c r="AD12" s="4">
        <f t="shared" si="4"/>
        <v>97.756715999999997</v>
      </c>
    </row>
    <row r="13" spans="1:30" ht="18">
      <c r="F13" s="3"/>
      <c r="G13" s="3"/>
      <c r="K13" s="59"/>
      <c r="T13" s="73"/>
      <c r="X13" s="3"/>
      <c r="Y13" s="3"/>
      <c r="Z13" s="3"/>
      <c r="AA13" s="3"/>
      <c r="AB13" s="4"/>
      <c r="AD13" s="4"/>
    </row>
    <row r="14" spans="1:30" ht="18">
      <c r="A14" t="s">
        <v>441</v>
      </c>
      <c r="B14">
        <v>0</v>
      </c>
      <c r="F14" s="3">
        <f>IF(D14&gt;0,D14*Agriculture!$D$2+Agriculture!$E$16*E14,IF(E14&gt;0,0,Agriculture!$D$2*0.025))</f>
        <v>24.725000000000001</v>
      </c>
      <c r="G14" s="3">
        <f>L14*1/Agriculture!$C$49*Agriculture!$E$16</f>
        <v>662085.29581149051</v>
      </c>
      <c r="J14">
        <v>12000</v>
      </c>
      <c r="K14" s="59">
        <f>IF(I14&gt;0,I14,J14/2000*Conversion!$D$22)</f>
        <v>13450.21386</v>
      </c>
      <c r="L14">
        <v>25800</v>
      </c>
      <c r="O14" s="72"/>
      <c r="P14" s="72"/>
      <c r="Q14" s="72"/>
      <c r="R14" s="72"/>
      <c r="S14" s="72"/>
      <c r="T14" s="73">
        <f t="shared" si="2"/>
        <v>0</v>
      </c>
      <c r="W14">
        <f t="shared" si="0"/>
        <v>1</v>
      </c>
      <c r="X14" s="3">
        <f>IF(K14&gt;0,F14/K14/W14*Conversion!$E$17,0)</f>
        <v>18.382607337962433</v>
      </c>
      <c r="Y14" s="3">
        <f>IF(L14&gt;0,G14/L14/W14*Conversion!$E$17,0)</f>
        <v>256622.20767887228</v>
      </c>
      <c r="Z14" s="3">
        <f t="shared" si="1"/>
        <v>256640.59028621024</v>
      </c>
      <c r="AA14" s="3">
        <f>(F14*T14)/365.26/Agriculture!$D$2</f>
        <v>0</v>
      </c>
      <c r="AB14" s="4">
        <f>SUM(X14:Y14)*Conversion!$F$18</f>
        <v>63.418456265625409</v>
      </c>
      <c r="AC14">
        <f t="shared" si="3"/>
        <v>33</v>
      </c>
      <c r="AD14" s="4">
        <f t="shared" si="4"/>
        <v>2092.8090567656386</v>
      </c>
    </row>
    <row r="15" spans="1:30" ht="18">
      <c r="F15" s="3"/>
      <c r="G15" s="3"/>
      <c r="K15" s="59"/>
      <c r="O15" s="72"/>
      <c r="P15" s="72"/>
      <c r="Q15" s="72"/>
      <c r="R15" s="72"/>
      <c r="S15" s="72"/>
      <c r="T15" s="73"/>
      <c r="X15" s="3"/>
      <c r="Y15" s="3"/>
      <c r="Z15" s="3"/>
      <c r="AA15" s="3"/>
      <c r="AB15" s="4">
        <f>SUM(X15:Y15)*Conversion!$F$18</f>
        <v>0</v>
      </c>
      <c r="AD15" s="4">
        <f t="shared" si="4"/>
        <v>0</v>
      </c>
    </row>
    <row r="16" spans="1:30" ht="18">
      <c r="A16" t="str">
        <f>Agriculture!B25</f>
        <v>Sugar</v>
      </c>
      <c r="C16">
        <f>SUM(C17:C18)</f>
        <v>1</v>
      </c>
      <c r="D16">
        <f>Agriculture!G25</f>
        <v>35.636108527131782</v>
      </c>
      <c r="F16" s="3"/>
      <c r="G16" s="3"/>
      <c r="K16" s="59"/>
      <c r="O16" s="72"/>
      <c r="P16" s="72"/>
      <c r="Q16" s="72"/>
      <c r="R16" s="72"/>
      <c r="S16" s="72"/>
      <c r="T16" s="73"/>
      <c r="X16" s="3"/>
      <c r="Y16" s="3"/>
      <c r="Z16" s="3"/>
      <c r="AA16" s="3"/>
      <c r="AB16" s="4">
        <f>SUM(X16:Y16)*Conversion!$F$18</f>
        <v>0</v>
      </c>
      <c r="AD16" s="4">
        <f t="shared" si="4"/>
        <v>0</v>
      </c>
    </row>
    <row r="17" spans="1:30" ht="18">
      <c r="A17" t="s">
        <v>303</v>
      </c>
      <c r="B17">
        <v>2</v>
      </c>
      <c r="C17">
        <v>1</v>
      </c>
      <c r="D17">
        <f>$D$16*C17/$C$16</f>
        <v>35.636108527131782</v>
      </c>
      <c r="F17" s="3">
        <f>IF(D17&gt;0,D17*Agriculture!$D$2+Agriculture!$E$16*E17,IF(E17&gt;0,0,Agriculture!$D$2*0.025))</f>
        <v>35244.111333333334</v>
      </c>
      <c r="G17" s="3">
        <f>L17*1/Agriculture!$C$49*Agriculture!$E$16</f>
        <v>0</v>
      </c>
      <c r="H17" t="s">
        <v>452</v>
      </c>
      <c r="I17">
        <v>9339</v>
      </c>
      <c r="K17" s="59">
        <f>IF(I17&gt;0,I17,J17/2000*Conversion!$D$22)</f>
        <v>9339</v>
      </c>
      <c r="O17" s="72">
        <v>0</v>
      </c>
      <c r="P17" s="72">
        <v>0</v>
      </c>
      <c r="Q17" s="72">
        <v>0</v>
      </c>
      <c r="R17" s="72">
        <v>99.98</v>
      </c>
      <c r="S17" s="72">
        <v>3634</v>
      </c>
      <c r="T17" s="73">
        <f>(O17*4+R17*4+P17*9+Q17*9)*10</f>
        <v>3999.2000000000003</v>
      </c>
      <c r="W17">
        <f>IF(N17&gt;0,1,IF(M17&gt;0,FLOOR(365.26/M17,0.1),1))</f>
        <v>1</v>
      </c>
      <c r="X17" s="3">
        <f>IF(K17&gt;0,F17/K17/W17*Conversion!$E$17,0)</f>
        <v>37738.635114394834</v>
      </c>
      <c r="Y17" s="3">
        <f>IF(L17&gt;0,G17/L17/W17*Conversion!$E$17,0)</f>
        <v>0</v>
      </c>
      <c r="Z17" s="3">
        <f>(X17+Y17)*IF(U17&gt;0,U17,1)</f>
        <v>37738.635114394834</v>
      </c>
      <c r="AA17" s="3">
        <f>(F17*T17)/365.26/Agriculture!$D$2</f>
        <v>390.17665559246956</v>
      </c>
      <c r="AB17" s="4">
        <f>SUM(X17:Y17)*Conversion!$F$18</f>
        <v>9.3255941231181065</v>
      </c>
      <c r="AC17">
        <f t="shared" ref="AC17" si="8">16+12.4+4.6</f>
        <v>33</v>
      </c>
      <c r="AD17" s="4">
        <f t="shared" si="4"/>
        <v>307.7446060628975</v>
      </c>
    </row>
    <row r="18" spans="1:30" ht="18">
      <c r="A18" t="s">
        <v>428</v>
      </c>
      <c r="B18">
        <v>2</v>
      </c>
      <c r="C18">
        <v>0</v>
      </c>
      <c r="D18">
        <f>$D$16*C18/$C$16</f>
        <v>0</v>
      </c>
      <c r="F18" s="3">
        <f>IF(D18&gt;0,D18*Agriculture!$D$2+Agriculture!$E$16*E18,IF(E18&gt;0,0,Agriculture!$D$2*0.025))</f>
        <v>24.725000000000001</v>
      </c>
      <c r="G18" s="3">
        <f>L18*1/Agriculture!$C$49*Agriculture!$E$16</f>
        <v>0</v>
      </c>
      <c r="H18" t="s">
        <v>452</v>
      </c>
      <c r="I18">
        <v>7151</v>
      </c>
      <c r="K18" s="59">
        <f>IF(I18&gt;0,I18,J18/2000*Conversion!$D$22)</f>
        <v>7151</v>
      </c>
      <c r="O18" s="72">
        <v>0</v>
      </c>
      <c r="P18" s="72">
        <v>0</v>
      </c>
      <c r="Q18" s="72">
        <v>0</v>
      </c>
      <c r="R18" s="72">
        <v>99.98</v>
      </c>
      <c r="S18" s="72">
        <v>2781</v>
      </c>
      <c r="T18" s="73">
        <f>(O18*4+R18*4+P18*9+Q18*9)*10</f>
        <v>3999.2000000000003</v>
      </c>
      <c r="W18">
        <f>IF(N18&gt;0,1,IF(M18&gt;0,FLOOR(365.26/M18,0.1),1))</f>
        <v>1</v>
      </c>
      <c r="X18" s="3">
        <f>IF(K18&gt;0,F18/K18/W18*Conversion!$E$17,0)</f>
        <v>34.575583834428755</v>
      </c>
      <c r="Y18" s="3">
        <f>IF(L18&gt;0,G18/L18/W18*Conversion!$E$17,0)</f>
        <v>0</v>
      </c>
      <c r="Z18" s="3">
        <f>(X18+Y18)*IF(U18&gt;0,U18,1)</f>
        <v>34.575583834428755</v>
      </c>
      <c r="AA18" s="3">
        <f>(F18*T18)/365.26/Agriculture!$D$2</f>
        <v>0.2737228275748782</v>
      </c>
      <c r="AB18" s="4">
        <f>SUM(X18:Y18)*Conversion!$F$18</f>
        <v>8.5439725213256896E-3</v>
      </c>
      <c r="AC18">
        <f>16+6+10.5</f>
        <v>32.5</v>
      </c>
      <c r="AD18" s="4">
        <f t="shared" si="4"/>
        <v>0.2776791069430849</v>
      </c>
    </row>
    <row r="19" spans="1:30" ht="18">
      <c r="F19" s="3"/>
      <c r="G19" s="3"/>
      <c r="K19" s="59"/>
      <c r="O19" s="72"/>
      <c r="P19" s="72"/>
      <c r="Q19" s="72"/>
      <c r="R19" s="72"/>
      <c r="S19" s="72"/>
      <c r="T19" s="73"/>
      <c r="X19" s="3"/>
      <c r="Y19" s="3"/>
      <c r="Z19" s="3"/>
      <c r="AA19" s="3"/>
      <c r="AB19" s="4">
        <f>SUM(X19:Y19)*Conversion!$F$18</f>
        <v>0</v>
      </c>
      <c r="AD19" s="4">
        <f t="shared" si="4"/>
        <v>0</v>
      </c>
    </row>
    <row r="20" spans="1:30" ht="18">
      <c r="A20" t="str">
        <f>Agriculture!B26</f>
        <v>Oil &amp; Fats</v>
      </c>
      <c r="C20">
        <f>SUM(C21:C43)</f>
        <v>4.9999999999999982</v>
      </c>
      <c r="D20">
        <f>Agriculture!G26</f>
        <v>27.549446266968328</v>
      </c>
      <c r="F20" s="3"/>
      <c r="G20" s="3"/>
      <c r="K20" s="59"/>
      <c r="O20" s="72"/>
      <c r="P20" s="72"/>
      <c r="Q20" s="72"/>
      <c r="R20" s="72"/>
      <c r="S20" s="72"/>
      <c r="T20" s="73"/>
      <c r="X20" s="3"/>
      <c r="Y20" s="3"/>
      <c r="Z20" s="3"/>
      <c r="AA20" s="3"/>
      <c r="AB20" s="4">
        <f>SUM(X20:Y20)*Conversion!$F$18</f>
        <v>0</v>
      </c>
      <c r="AD20" s="4">
        <f t="shared" si="4"/>
        <v>0</v>
      </c>
    </row>
    <row r="21" spans="1:30">
      <c r="A21" t="s">
        <v>454</v>
      </c>
      <c r="B21">
        <v>3</v>
      </c>
      <c r="C21">
        <v>0.2</v>
      </c>
      <c r="D21">
        <f>$D$20*C21/$C$20</f>
        <v>1.1019778506787337</v>
      </c>
      <c r="F21" s="3">
        <f>IF(D21&gt;0,D21*Agriculture!$D$2+Agriculture!$E$16*E21,IF(E21&gt;0,0,Agriculture!$D$2*0.025))</f>
        <v>1089.8560943212676</v>
      </c>
      <c r="G21" s="3">
        <f>L21*1/Agriculture!$C$49*Agriculture!$E$16</f>
        <v>0</v>
      </c>
      <c r="J21">
        <v>1150</v>
      </c>
      <c r="K21" s="59">
        <f>IF(I21&gt;0,I21,J21/2000*Conversion!$D$22)</f>
        <v>1288.9788282499999</v>
      </c>
      <c r="N21">
        <v>1</v>
      </c>
      <c r="W21">
        <f t="shared" ref="W21:W43" si="9">IF(N21&gt;0,1,IF(M21&gt;0,FLOOR(365.26/M21,0.1),1))</f>
        <v>1</v>
      </c>
      <c r="X21" s="3">
        <f>IF(K21&gt;0,F21/K21/W21*Conversion!$E$17,0)</f>
        <v>8455.1900344315654</v>
      </c>
      <c r="Y21" s="3">
        <f>IF(L21&gt;0,G21/L21/W21*Conversion!$E$17,0)</f>
        <v>0</v>
      </c>
      <c r="Z21" s="3">
        <f t="shared" ref="Z21:Z43" si="10">(X21+Y21)*IF(U21&gt;0,U21,1)</f>
        <v>8455.1900344315654</v>
      </c>
      <c r="AA21" s="3">
        <f>(F21*T21)/365.26/Agriculture!$D$2</f>
        <v>0</v>
      </c>
      <c r="AB21" s="4">
        <f>SUM(X21:Y21)*Conversion!$F$18</f>
        <v>2.0893620094083838</v>
      </c>
      <c r="AC21">
        <f>1.5+9.4+3.9</f>
        <v>14.8</v>
      </c>
      <c r="AD21" s="4">
        <f t="shared" si="4"/>
        <v>30.92255773924408</v>
      </c>
    </row>
    <row r="22" spans="1:30" ht="18">
      <c r="A22" t="s">
        <v>450</v>
      </c>
      <c r="B22">
        <v>3</v>
      </c>
      <c r="C22">
        <v>1</v>
      </c>
      <c r="D22">
        <f t="shared" ref="D22:D43" si="11">$D$20*C22/$C$20</f>
        <v>5.5098892533936672</v>
      </c>
      <c r="F22" s="3">
        <f>IF(D22&gt;0,D22*Agriculture!$D$2+Agriculture!$E$16*E22,IF(E22&gt;0,0,Agriculture!$D$2*0.025))</f>
        <v>5449.2804716063365</v>
      </c>
      <c r="G22" s="3">
        <f>L22*1/Agriculture!$C$49*Agriculture!$E$16</f>
        <v>0</v>
      </c>
      <c r="I22" s="59"/>
      <c r="J22">
        <v>3680</v>
      </c>
      <c r="K22" s="59">
        <f>IF(I22&gt;0,I22,J22/2000*Conversion!$D$22)</f>
        <v>4124.7322504000003</v>
      </c>
      <c r="N22">
        <v>1</v>
      </c>
      <c r="T22" s="73">
        <f t="shared" ref="T22:T43" si="12">(O22*4+R22*4+P22*9+Q22*9)*10</f>
        <v>0</v>
      </c>
      <c r="W22">
        <f t="shared" si="9"/>
        <v>1</v>
      </c>
      <c r="X22" s="3">
        <f>IF(K22&gt;0,F22/K22/W22*Conversion!$E$17,0)</f>
        <v>13211.234428799316</v>
      </c>
      <c r="Y22" s="3">
        <f>IF(L22&gt;0,G22/L22/W22*Conversion!$E$17,0)</f>
        <v>0</v>
      </c>
      <c r="Z22" s="3">
        <f t="shared" si="10"/>
        <v>13211.234428799316</v>
      </c>
      <c r="AA22" s="3">
        <f>(F22*T22)/365.26/Agriculture!$D$2</f>
        <v>0</v>
      </c>
      <c r="AB22" s="4">
        <f>SUM(X22:Y22)*Conversion!$F$18</f>
        <v>3.2646281397005987</v>
      </c>
      <c r="AC22">
        <f t="shared" ref="AC22:AC85" si="13">1.5+9.4+3.9</f>
        <v>14.8</v>
      </c>
      <c r="AD22" s="4">
        <f t="shared" si="4"/>
        <v>48.316496467568861</v>
      </c>
    </row>
    <row r="23" spans="1:30" ht="18">
      <c r="A23" t="s">
        <v>402</v>
      </c>
      <c r="B23">
        <v>3</v>
      </c>
      <c r="C23">
        <v>0</v>
      </c>
      <c r="D23">
        <f t="shared" si="11"/>
        <v>0</v>
      </c>
      <c r="F23" s="3">
        <f>IF(D23&gt;0,D23*Agriculture!$D$2+Agriculture!$E$16*E23,IF(E23&gt;0,0,Agriculture!$D$2*0.025))</f>
        <v>24.725000000000001</v>
      </c>
      <c r="G23" s="3">
        <f>L23*1/Agriculture!$C$49*Agriculture!$E$16</f>
        <v>0</v>
      </c>
      <c r="H23" t="s">
        <v>452</v>
      </c>
      <c r="I23" s="73">
        <v>3370</v>
      </c>
      <c r="J23" s="73"/>
      <c r="K23" s="59">
        <f>IF(I23&gt;0,I23,J23/2000*Conversion!$D$22)</f>
        <v>3370</v>
      </c>
      <c r="L23" s="73"/>
      <c r="M23" s="73"/>
      <c r="N23" s="73"/>
      <c r="O23" s="72">
        <v>27</v>
      </c>
      <c r="P23" s="72">
        <v>34</v>
      </c>
      <c r="Q23" s="72">
        <v>53</v>
      </c>
      <c r="R23" s="72">
        <v>30</v>
      </c>
      <c r="S23" s="73">
        <v>1747</v>
      </c>
      <c r="T23" s="73">
        <f t="shared" si="12"/>
        <v>10110</v>
      </c>
      <c r="W23">
        <f t="shared" si="9"/>
        <v>1</v>
      </c>
      <c r="X23" s="3">
        <f>IF(K23&gt;0,F23/K23/W23*Conversion!$E$17,0)</f>
        <v>73.367952522255194</v>
      </c>
      <c r="Y23" s="3">
        <f>IF(L23&gt;0,G23/L23/W23*Conversion!$E$17,0)</f>
        <v>0</v>
      </c>
      <c r="Z23" s="3">
        <f t="shared" si="10"/>
        <v>73.367952522255194</v>
      </c>
      <c r="AA23" s="3">
        <f>(F23*T23)/365.26/Agriculture!$D$2</f>
        <v>0.69197284126375735</v>
      </c>
      <c r="AB23" s="4">
        <f>SUM(X23:Y23)*Conversion!$F$18</f>
        <v>1.8129954747774481E-2</v>
      </c>
      <c r="AC23">
        <f t="shared" si="13"/>
        <v>14.8</v>
      </c>
      <c r="AD23" s="4">
        <f t="shared" si="4"/>
        <v>0.26832333026706234</v>
      </c>
    </row>
    <row r="24" spans="1:30" ht="18">
      <c r="A24" t="s">
        <v>403</v>
      </c>
      <c r="B24">
        <v>3</v>
      </c>
      <c r="C24">
        <v>0</v>
      </c>
      <c r="D24">
        <f t="shared" si="11"/>
        <v>0</v>
      </c>
      <c r="F24" s="3">
        <f>IF(D24&gt;0,D24*Agriculture!$D$2+Agriculture!$E$16*E24,IF(E24&gt;0,0,Agriculture!$D$2*0.025))</f>
        <v>24.725000000000001</v>
      </c>
      <c r="G24" s="3">
        <f>L24*1/Agriculture!$C$49*Agriculture!$E$16</f>
        <v>0</v>
      </c>
      <c r="H24" t="s">
        <v>452</v>
      </c>
      <c r="I24" s="73">
        <v>1500</v>
      </c>
      <c r="J24" s="73"/>
      <c r="K24" s="59">
        <f>IF(I24&gt;0,I24,J24/2000*Conversion!$D$22)</f>
        <v>1500</v>
      </c>
      <c r="L24" s="73"/>
      <c r="M24" s="73"/>
      <c r="N24" s="73"/>
      <c r="O24" s="72">
        <v>15.62</v>
      </c>
      <c r="P24" s="72">
        <v>30.75</v>
      </c>
      <c r="Q24" s="72">
        <v>76</v>
      </c>
      <c r="R24" s="72">
        <v>43.85</v>
      </c>
      <c r="S24" s="72">
        <v>751</v>
      </c>
      <c r="T24" s="73">
        <f t="shared" si="12"/>
        <v>11986.300000000001</v>
      </c>
      <c r="W24">
        <f t="shared" si="9"/>
        <v>1</v>
      </c>
      <c r="X24" s="3">
        <f>IF(K24&gt;0,F24/K24/W24*Conversion!$E$17,0)</f>
        <v>164.83333333333337</v>
      </c>
      <c r="Y24" s="3">
        <f>IF(L24&gt;0,G24/L24/W24*Conversion!$E$17,0)</f>
        <v>0</v>
      </c>
      <c r="Z24" s="3">
        <f t="shared" si="10"/>
        <v>164.83333333333337</v>
      </c>
      <c r="AA24" s="3">
        <f>(F24*T24)/365.26/Agriculture!$D$2</f>
        <v>0.82039506105240112</v>
      </c>
      <c r="AB24" s="4">
        <f>SUM(X24:Y24)*Conversion!$F$18</f>
        <v>4.0731965000000009E-2</v>
      </c>
      <c r="AC24">
        <f t="shared" si="13"/>
        <v>14.8</v>
      </c>
      <c r="AD24" s="4">
        <f t="shared" si="4"/>
        <v>0.60283308200000019</v>
      </c>
    </row>
    <row r="25" spans="1:30" ht="18">
      <c r="A25" t="s">
        <v>489</v>
      </c>
      <c r="B25">
        <v>3</v>
      </c>
      <c r="C25">
        <v>0</v>
      </c>
      <c r="D25">
        <f t="shared" si="11"/>
        <v>0</v>
      </c>
      <c r="F25" s="3">
        <f>IF(D25&gt;0,D25*Agriculture!$D$2+Agriculture!$E$16*E25,IF(E25&gt;0,0,Agriculture!$D$2*0.025))</f>
        <v>24.725000000000001</v>
      </c>
      <c r="G25" s="3">
        <f>L25*1/Agriculture!$C$49*Agriculture!$E$16</f>
        <v>0</v>
      </c>
      <c r="H25" t="s">
        <v>452</v>
      </c>
      <c r="I25">
        <v>8000</v>
      </c>
      <c r="K25" s="59">
        <f>IF(I25&gt;0,I25,J25/2000*Conversion!$D$22)</f>
        <v>8000</v>
      </c>
      <c r="O25" s="72">
        <v>8.6</v>
      </c>
      <c r="P25" s="72">
        <v>21.8</v>
      </c>
      <c r="Q25" s="72">
        <v>9.1999999999999993</v>
      </c>
      <c r="R25" s="72">
        <v>48</v>
      </c>
      <c r="S25" s="73">
        <v>3290</v>
      </c>
      <c r="T25" s="73">
        <f t="shared" si="12"/>
        <v>5054</v>
      </c>
      <c r="V25">
        <v>1</v>
      </c>
      <c r="W25">
        <f t="shared" si="9"/>
        <v>1</v>
      </c>
      <c r="X25" s="3">
        <f>IF(K25&gt;0,F25/K25/W25*Conversion!$E$17,0)</f>
        <v>30.90625</v>
      </c>
      <c r="Y25" s="3">
        <f>IF(L25&gt;0,G25/L25/W25*Conversion!$E$17,0)</f>
        <v>0</v>
      </c>
      <c r="Z25" s="3">
        <f t="shared" si="10"/>
        <v>30.90625</v>
      </c>
      <c r="AA25" s="3">
        <f>(F25*T25)/365.26/Agriculture!$D$2</f>
        <v>0.34591797623610582</v>
      </c>
      <c r="AB25" s="4">
        <f>SUM(X25:Y25)*Conversion!$F$18</f>
        <v>7.6372434374999999E-3</v>
      </c>
      <c r="AC25">
        <f t="shared" si="13"/>
        <v>14.8</v>
      </c>
      <c r="AD25" s="4">
        <f t="shared" si="4"/>
        <v>0.113031202875</v>
      </c>
    </row>
    <row r="26" spans="1:30" ht="18">
      <c r="A26" t="s">
        <v>404</v>
      </c>
      <c r="B26">
        <v>3</v>
      </c>
      <c r="C26">
        <v>0.1</v>
      </c>
      <c r="D26">
        <f t="shared" si="11"/>
        <v>0.55098892533936683</v>
      </c>
      <c r="F26" s="3">
        <f>IF(D26&gt;0,D26*Agriculture!$D$2+Agriculture!$E$16*E26,IF(E26&gt;0,0,Agriculture!$D$2*0.025))</f>
        <v>544.92804716063381</v>
      </c>
      <c r="G26" s="3">
        <f>L26*1/Agriculture!$C$49*Agriculture!$E$16</f>
        <v>0</v>
      </c>
      <c r="H26" t="s">
        <v>452</v>
      </c>
      <c r="I26" s="73">
        <v>1350</v>
      </c>
      <c r="J26" s="73"/>
      <c r="K26" s="59">
        <f>IF(I26&gt;0,I26,J26/2000*Conversion!$D$22)</f>
        <v>1350</v>
      </c>
      <c r="L26" s="73"/>
      <c r="M26" s="73"/>
      <c r="N26" s="73">
        <v>1</v>
      </c>
      <c r="O26" s="72">
        <v>0</v>
      </c>
      <c r="P26" s="72">
        <v>100</v>
      </c>
      <c r="Q26" s="72">
        <v>3</v>
      </c>
      <c r="R26" s="72">
        <v>0</v>
      </c>
      <c r="S26" s="73">
        <v>1188</v>
      </c>
      <c r="T26" s="73">
        <f t="shared" si="12"/>
        <v>9270</v>
      </c>
      <c r="W26">
        <f t="shared" si="9"/>
        <v>1</v>
      </c>
      <c r="X26" s="3">
        <f>IF(K26&gt;0,F26/K26/W26*Conversion!$E$17,0)</f>
        <v>4036.5040530417318</v>
      </c>
      <c r="Y26" s="3">
        <f>IF(L26&gt;0,G26/L26/W26*Conversion!$E$17,0)</f>
        <v>0</v>
      </c>
      <c r="Z26" s="3">
        <f t="shared" si="10"/>
        <v>4036.5040530417318</v>
      </c>
      <c r="AA26" s="3">
        <f>(F26*T26)/365.26/Agriculture!$D$2</f>
        <v>13.983648190045258</v>
      </c>
      <c r="AB26" s="4">
        <f>SUM(X26:Y26)*Conversion!$F$18</f>
        <v>0.9974605165471423</v>
      </c>
      <c r="AC26">
        <f t="shared" si="13"/>
        <v>14.8</v>
      </c>
      <c r="AD26" s="4">
        <f t="shared" si="4"/>
        <v>14.762415644897708</v>
      </c>
    </row>
    <row r="27" spans="1:30" ht="18">
      <c r="A27" t="s">
        <v>405</v>
      </c>
      <c r="B27">
        <v>3</v>
      </c>
      <c r="C27">
        <v>0.1</v>
      </c>
      <c r="D27">
        <f t="shared" si="11"/>
        <v>0.55098892533936683</v>
      </c>
      <c r="F27" s="3">
        <f>IF(D27&gt;0,D27*Agriculture!$D$2+Agriculture!$E$16*E27,IF(E27&gt;0,0,Agriculture!$D$2*0.025))</f>
        <v>544.92804716063381</v>
      </c>
      <c r="G27" s="3">
        <f>L27*1/Agriculture!$C$49*Agriculture!$E$16</f>
        <v>0</v>
      </c>
      <c r="H27" t="s">
        <v>452</v>
      </c>
      <c r="I27" s="73">
        <v>3333</v>
      </c>
      <c r="J27" s="73"/>
      <c r="K27" s="59">
        <f>IF(I27&gt;0,I27,J27/2000*Conversion!$D$22)</f>
        <v>3333</v>
      </c>
      <c r="L27" s="73"/>
      <c r="M27" s="73"/>
      <c r="N27" s="73"/>
      <c r="O27" s="72">
        <v>35</v>
      </c>
      <c r="P27" s="72">
        <v>5</v>
      </c>
      <c r="Q27" s="72">
        <v>0</v>
      </c>
      <c r="R27" s="72">
        <v>30</v>
      </c>
      <c r="S27" s="72">
        <v>979</v>
      </c>
      <c r="T27" s="73">
        <f t="shared" si="12"/>
        <v>3050</v>
      </c>
      <c r="W27">
        <f t="shared" si="9"/>
        <v>1</v>
      </c>
      <c r="X27" s="3">
        <f>IF(K27&gt;0,F27/K27/W27*Conversion!$E$17,0)</f>
        <v>1634.9476362455259</v>
      </c>
      <c r="Y27" s="3">
        <f>IF(L27&gt;0,G27/L27/W27*Conversion!$E$17,0)</f>
        <v>0</v>
      </c>
      <c r="Z27" s="3">
        <f t="shared" si="10"/>
        <v>1634.9476362455259</v>
      </c>
      <c r="AA27" s="3">
        <f>(F27*T27)/365.26/Agriculture!$D$2</f>
        <v>4.6008766968325823</v>
      </c>
      <c r="AB27" s="4">
        <f>SUM(X27:Y27)*Conversion!$F$18</f>
        <v>0.4040119103926319</v>
      </c>
      <c r="AC27">
        <f t="shared" si="13"/>
        <v>14.8</v>
      </c>
      <c r="AD27" s="4">
        <f t="shared" si="4"/>
        <v>5.9793762738109528</v>
      </c>
    </row>
    <row r="28" spans="1:30" ht="18">
      <c r="A28" t="s">
        <v>406</v>
      </c>
      <c r="B28">
        <v>3</v>
      </c>
      <c r="C28">
        <v>0.2</v>
      </c>
      <c r="D28">
        <f t="shared" si="11"/>
        <v>1.1019778506787337</v>
      </c>
      <c r="E28">
        <v>0.05</v>
      </c>
      <c r="F28" s="3">
        <f>IF(D28&gt;0,D28*Agriculture!$D$2+Agriculture!$E$16*E28,IF(E28&gt;0,0,Agriculture!$D$2*0.025))</f>
        <v>120541.07821364436</v>
      </c>
      <c r="G28" s="3">
        <f>L28*1/Agriculture!$C$49*Agriculture!$E$16</f>
        <v>51324.441535774458</v>
      </c>
      <c r="H28" t="s">
        <v>452</v>
      </c>
      <c r="I28" s="73">
        <v>2000</v>
      </c>
      <c r="J28" s="73"/>
      <c r="K28" s="59">
        <f>IF(I28&gt;0,I28,J28/2000*Conversion!$D$22)</f>
        <v>2000</v>
      </c>
      <c r="L28" s="73">
        <f>I28</f>
        <v>2000</v>
      </c>
      <c r="M28" s="73"/>
      <c r="N28" s="73"/>
      <c r="O28" s="72">
        <v>18.29</v>
      </c>
      <c r="P28" s="72">
        <v>42.16</v>
      </c>
      <c r="Q28" s="72">
        <v>68</v>
      </c>
      <c r="R28" s="72">
        <v>28.88</v>
      </c>
      <c r="S28" s="73">
        <v>1106</v>
      </c>
      <c r="T28" s="73">
        <f t="shared" si="12"/>
        <v>11801.199999999999</v>
      </c>
      <c r="W28">
        <f t="shared" si="9"/>
        <v>1</v>
      </c>
      <c r="X28" s="3">
        <f>IF(K28&gt;0,F28/K28/W28*Conversion!$E$17,0)</f>
        <v>602705.39106822177</v>
      </c>
      <c r="Y28" s="3">
        <f>IF(L28&gt;0,G28/L28/W28*Conversion!$E$17,0)</f>
        <v>256622.20767887231</v>
      </c>
      <c r="Z28" s="3">
        <f t="shared" si="10"/>
        <v>859327.59874709405</v>
      </c>
      <c r="AA28" s="3">
        <f>(F28*T28)/365.26/Agriculture!$D$2</f>
        <v>3937.8832497638832</v>
      </c>
      <c r="AB28" s="4">
        <f>SUM(X28:Y28)*Conversion!$F$18</f>
        <v>212.3484429263944</v>
      </c>
      <c r="AC28">
        <f t="shared" si="13"/>
        <v>14.8</v>
      </c>
      <c r="AD28" s="4">
        <f t="shared" si="4"/>
        <v>3142.7569553106373</v>
      </c>
    </row>
    <row r="29" spans="1:30" ht="18">
      <c r="A29" t="s">
        <v>407</v>
      </c>
      <c r="B29">
        <v>3</v>
      </c>
      <c r="C29">
        <v>0</v>
      </c>
      <c r="D29">
        <f t="shared" si="11"/>
        <v>0</v>
      </c>
      <c r="F29" s="3">
        <f>IF(D29&gt;0,D29*Agriculture!$D$2+Agriculture!$E$16*E29,IF(E29&gt;0,0,Agriculture!$D$2*0.025))</f>
        <v>24.725000000000001</v>
      </c>
      <c r="G29" s="3">
        <f>L29*1/Agriculture!$C$49*Agriculture!$E$16</f>
        <v>0</v>
      </c>
      <c r="H29" t="s">
        <v>452</v>
      </c>
      <c r="I29" s="73">
        <v>1071</v>
      </c>
      <c r="J29" s="73"/>
      <c r="K29" s="59">
        <f>IF(I29&gt;0,I29,J29/2000*Conversion!$D$22)</f>
        <v>1071</v>
      </c>
      <c r="L29" s="73"/>
      <c r="M29" s="73"/>
      <c r="N29" s="73"/>
      <c r="O29" s="72">
        <v>9</v>
      </c>
      <c r="P29" s="72">
        <v>1.8</v>
      </c>
      <c r="Q29" s="72"/>
      <c r="R29" s="72">
        <v>75</v>
      </c>
      <c r="S29" s="72">
        <v>366</v>
      </c>
      <c r="T29" s="73">
        <f t="shared" si="12"/>
        <v>3522</v>
      </c>
      <c r="W29">
        <f t="shared" si="9"/>
        <v>1</v>
      </c>
      <c r="X29" s="3">
        <f>IF(K29&gt;0,F29/K29/W29*Conversion!$E$17,0)</f>
        <v>230.859010270775</v>
      </c>
      <c r="Y29" s="3">
        <f>IF(L29&gt;0,G29/L29/W29*Conversion!$E$17,0)</f>
        <v>0</v>
      </c>
      <c r="Z29" s="3">
        <f t="shared" si="10"/>
        <v>230.859010270775</v>
      </c>
      <c r="AA29" s="3">
        <f>(F29*T29)/365.26/Agriculture!$D$2</f>
        <v>0.2410611619120627</v>
      </c>
      <c r="AB29" s="4">
        <f>SUM(X29:Y29)*Conversion!$F$18</f>
        <v>5.704757002801121E-2</v>
      </c>
      <c r="AC29">
        <f t="shared" si="13"/>
        <v>14.8</v>
      </c>
      <c r="AD29" s="4">
        <f t="shared" si="4"/>
        <v>0.84430403641456597</v>
      </c>
    </row>
    <row r="30" spans="1:30" ht="18">
      <c r="A30" t="s">
        <v>409</v>
      </c>
      <c r="B30">
        <v>3</v>
      </c>
      <c r="C30">
        <v>0.2</v>
      </c>
      <c r="D30">
        <f t="shared" si="11"/>
        <v>1.1019778506787337</v>
      </c>
      <c r="F30" s="3">
        <f>IF(D30&gt;0,D30*Agriculture!$D$2+Agriculture!$E$16*E30,IF(E30&gt;0,0,Agriculture!$D$2*0.025))</f>
        <v>1089.8560943212676</v>
      </c>
      <c r="G30" s="3">
        <f>L30*1/Agriculture!$C$49*Agriculture!$E$16</f>
        <v>0</v>
      </c>
      <c r="H30" t="s">
        <v>452</v>
      </c>
      <c r="I30" s="73">
        <v>2035</v>
      </c>
      <c r="J30" s="73"/>
      <c r="K30" s="59">
        <f>IF(I30&gt;0,I30,J30/2000*Conversion!$D$22)</f>
        <v>2035</v>
      </c>
      <c r="L30" s="73"/>
      <c r="M30" s="73"/>
      <c r="N30" s="73"/>
      <c r="O30" s="72">
        <v>25</v>
      </c>
      <c r="P30" s="72">
        <v>33</v>
      </c>
      <c r="Q30" s="72">
        <v>82</v>
      </c>
      <c r="R30" s="72">
        <v>30</v>
      </c>
      <c r="S30" s="72">
        <v>1022</v>
      </c>
      <c r="T30" s="73">
        <f t="shared" si="12"/>
        <v>12550</v>
      </c>
      <c r="W30">
        <f t="shared" si="9"/>
        <v>1</v>
      </c>
      <c r="X30" s="3">
        <f>IF(K30&gt;0,F30/K30/W30*Conversion!$E$17,0)</f>
        <v>5355.5582030529122</v>
      </c>
      <c r="Y30" s="3">
        <f>IF(L30&gt;0,G30/L30/W30*Conversion!$E$17,0)</f>
        <v>0</v>
      </c>
      <c r="Z30" s="3">
        <f t="shared" si="10"/>
        <v>5355.5582030529122</v>
      </c>
      <c r="AA30" s="3">
        <f>(F30*T30)/365.26/Agriculture!$D$2</f>
        <v>37.86295248868781</v>
      </c>
      <c r="AB30" s="4">
        <f>SUM(X30:Y30)*Conversion!$F$18</f>
        <v>1.323411987556405</v>
      </c>
      <c r="AC30">
        <f t="shared" si="13"/>
        <v>14.8</v>
      </c>
      <c r="AD30" s="4">
        <f t="shared" si="4"/>
        <v>19.586497415834796</v>
      </c>
    </row>
    <row r="31" spans="1:30" ht="18">
      <c r="A31" t="s">
        <v>412</v>
      </c>
      <c r="B31">
        <v>3</v>
      </c>
      <c r="C31">
        <v>0.2</v>
      </c>
      <c r="D31">
        <f t="shared" si="11"/>
        <v>1.1019778506787337</v>
      </c>
      <c r="F31" s="3">
        <f>IF(D31&gt;0,D31*Agriculture!$D$2+Agriculture!$E$16*E31,IF(E31&gt;0,0,Agriculture!$D$2*0.025))</f>
        <v>1089.8560943212676</v>
      </c>
      <c r="G31" s="3">
        <f>L31*1/Agriculture!$C$49*Agriculture!$E$16</f>
        <v>24456.096391796531</v>
      </c>
      <c r="H31" t="s">
        <v>452</v>
      </c>
      <c r="I31">
        <v>953</v>
      </c>
      <c r="K31" s="59">
        <f>IF(I31&gt;0,I31,J31/2000*Conversion!$D$22)</f>
        <v>953</v>
      </c>
      <c r="L31">
        <f>I31</f>
        <v>953</v>
      </c>
      <c r="O31" s="72">
        <v>11.02</v>
      </c>
      <c r="P31" s="72">
        <v>4.22</v>
      </c>
      <c r="Q31" s="72">
        <v>50.57</v>
      </c>
      <c r="R31" s="72">
        <v>72.849999999999994</v>
      </c>
      <c r="S31" s="72">
        <v>345</v>
      </c>
      <c r="T31" s="73">
        <f t="shared" si="12"/>
        <v>8285.9</v>
      </c>
      <c r="W31">
        <f t="shared" si="9"/>
        <v>1</v>
      </c>
      <c r="X31" s="3">
        <f>IF(K31&gt;0,F31/K31/W31*Conversion!$E$17,0)</f>
        <v>11436.055554263039</v>
      </c>
      <c r="Y31" s="3">
        <f>IF(L31&gt;0,G31/L31/W31*Conversion!$E$17,0)</f>
        <v>256622.20767887231</v>
      </c>
      <c r="Z31" s="3">
        <f t="shared" si="10"/>
        <v>268058.26323313534</v>
      </c>
      <c r="AA31" s="3">
        <f>(F31*T31)/365.26/Agriculture!$D$2</f>
        <v>24.998297850678746</v>
      </c>
      <c r="AB31" s="4">
        <f>SUM(X31:Y31)*Conversion!$F$18</f>
        <v>66.239877427540065</v>
      </c>
      <c r="AC31">
        <f t="shared" si="13"/>
        <v>14.8</v>
      </c>
      <c r="AD31" s="4">
        <f t="shared" si="4"/>
        <v>980.35018592759297</v>
      </c>
    </row>
    <row r="32" spans="1:30" ht="18">
      <c r="A32" t="s">
        <v>414</v>
      </c>
      <c r="B32">
        <v>3</v>
      </c>
      <c r="C32">
        <v>2</v>
      </c>
      <c r="D32">
        <f t="shared" si="11"/>
        <v>11.019778506787334</v>
      </c>
      <c r="F32" s="3">
        <f>IF(D32&gt;0,D32*Agriculture!$D$2+Agriculture!$E$16*E32,IF(E32&gt;0,0,Agriculture!$D$2*0.025))</f>
        <v>10898.560943212673</v>
      </c>
      <c r="G32" s="3">
        <f>L32*1/Agriculture!$C$49*Agriculture!$E$16</f>
        <v>0</v>
      </c>
      <c r="H32" t="s">
        <v>452</v>
      </c>
      <c r="I32">
        <v>2000</v>
      </c>
      <c r="K32" s="59">
        <f>IF(I32&gt;0,I32,J32/2000*Conversion!$D$22)</f>
        <v>2000</v>
      </c>
      <c r="N32">
        <v>1</v>
      </c>
      <c r="O32" s="72">
        <v>0</v>
      </c>
      <c r="P32" s="72">
        <v>100</v>
      </c>
      <c r="Q32" s="72">
        <v>8</v>
      </c>
      <c r="R32" s="72">
        <v>0</v>
      </c>
      <c r="S32" s="72">
        <v>1760</v>
      </c>
      <c r="T32" s="73">
        <f t="shared" si="12"/>
        <v>9720</v>
      </c>
      <c r="W32">
        <f t="shared" si="9"/>
        <v>1</v>
      </c>
      <c r="X32" s="3">
        <f>IF(K32&gt;0,F32/K32/W32*Conversion!$E$17,0)</f>
        <v>54492.804716063358</v>
      </c>
      <c r="Y32" s="3">
        <f>IF(L32&gt;0,G32/L32/W32*Conversion!$E$17,0)</f>
        <v>0</v>
      </c>
      <c r="Z32" s="3">
        <f t="shared" si="10"/>
        <v>54492.804716063358</v>
      </c>
      <c r="AA32" s="3">
        <f>(F32*T32)/365.26/Agriculture!$D$2</f>
        <v>293.24932126696842</v>
      </c>
      <c r="AB32" s="4">
        <f>SUM(X32:Y32)*Conversion!$F$18</f>
        <v>13.465716973386415</v>
      </c>
      <c r="AC32">
        <f t="shared" si="13"/>
        <v>14.8</v>
      </c>
      <c r="AD32" s="4">
        <f t="shared" si="4"/>
        <v>199.29261120611895</v>
      </c>
    </row>
    <row r="33" spans="1:30" ht="18">
      <c r="A33" t="s">
        <v>464</v>
      </c>
      <c r="B33">
        <v>3</v>
      </c>
      <c r="C33">
        <v>0</v>
      </c>
      <c r="D33">
        <f t="shared" si="11"/>
        <v>0</v>
      </c>
      <c r="F33" s="3">
        <f>IF(D33&gt;0,D33*Agriculture!$D$2+Agriculture!$E$16*E33,IF(E33&gt;0,0,Agriculture!$D$2*0.025))</f>
        <v>24.725000000000001</v>
      </c>
      <c r="G33" s="3">
        <f>L33*1/Agriculture!$C$49*Agriculture!$E$16</f>
        <v>0</v>
      </c>
      <c r="J33">
        <v>4320</v>
      </c>
      <c r="K33" s="59">
        <f>IF(I33&gt;0,I33,J33/2000*Conversion!$D$22)</f>
        <v>4842.0769896000002</v>
      </c>
      <c r="N33">
        <v>1</v>
      </c>
      <c r="O33" s="72"/>
      <c r="P33" s="72"/>
      <c r="Q33" s="72"/>
      <c r="R33" s="72"/>
      <c r="S33" s="72"/>
      <c r="T33" s="73">
        <f t="shared" si="12"/>
        <v>0</v>
      </c>
      <c r="W33">
        <f t="shared" si="9"/>
        <v>1</v>
      </c>
      <c r="X33" s="3">
        <f>IF(K33&gt;0,F33/K33/W33*Conversion!$E$17,0)</f>
        <v>51.062798161006761</v>
      </c>
      <c r="Y33" s="3">
        <f>IF(L33&gt;0,G33/L33/W33*Conversion!$E$17,0)</f>
        <v>0</v>
      </c>
      <c r="Z33" s="3">
        <f t="shared" si="10"/>
        <v>51.062798161006761</v>
      </c>
      <c r="AA33" s="3">
        <f>(F33*T33)/365.26/Agriculture!$D$2</f>
        <v>0</v>
      </c>
      <c r="AB33" s="4">
        <f>SUM(X33:Y33)*Conversion!$F$18</f>
        <v>1.261812805356638E-2</v>
      </c>
      <c r="AC33">
        <f t="shared" si="13"/>
        <v>14.8</v>
      </c>
      <c r="AD33" s="4">
        <f t="shared" si="4"/>
        <v>0.18674829519278244</v>
      </c>
    </row>
    <row r="34" spans="1:30" ht="18">
      <c r="A34" t="s">
        <v>416</v>
      </c>
      <c r="B34">
        <v>3</v>
      </c>
      <c r="C34">
        <v>0</v>
      </c>
      <c r="D34">
        <f t="shared" si="11"/>
        <v>0</v>
      </c>
      <c r="F34" s="3">
        <f>IF(D34&gt;0,D34*Agriculture!$D$2+Agriculture!$E$16*E34,IF(E34&gt;0,0,Agriculture!$D$2*0.025))</f>
        <v>24.725000000000001</v>
      </c>
      <c r="G34" s="3">
        <f>L34*1/Agriculture!$C$49*Agriculture!$E$16</f>
        <v>0</v>
      </c>
      <c r="H34" t="s">
        <v>452</v>
      </c>
      <c r="I34">
        <v>291</v>
      </c>
      <c r="K34" s="59">
        <f>IF(I34&gt;0,I34,J34/2000*Conversion!$D$22)</f>
        <v>291</v>
      </c>
      <c r="N34">
        <v>1</v>
      </c>
      <c r="O34" s="72"/>
      <c r="P34" s="72">
        <v>100</v>
      </c>
      <c r="Q34" s="72">
        <v>2.2999999999999998</v>
      </c>
      <c r="R34" s="72"/>
      <c r="S34" s="72">
        <v>256</v>
      </c>
      <c r="T34" s="73">
        <f t="shared" si="12"/>
        <v>9207</v>
      </c>
      <c r="W34">
        <f t="shared" si="9"/>
        <v>1</v>
      </c>
      <c r="X34" s="3">
        <f>IF(K34&gt;0,F34/K34/W34*Conversion!$E$17,0)</f>
        <v>849.65635738831622</v>
      </c>
      <c r="Y34" s="3">
        <f>IF(L34&gt;0,G34/L34/W34*Conversion!$E$17,0)</f>
        <v>0</v>
      </c>
      <c r="Z34" s="3">
        <f t="shared" si="10"/>
        <v>849.65635738831622</v>
      </c>
      <c r="AA34" s="3">
        <f>(F34*T34)/365.26/Agriculture!$D$2</f>
        <v>0.63016755188085205</v>
      </c>
      <c r="AB34" s="4">
        <f>SUM(X34:Y34)*Conversion!$F$18</f>
        <v>0.2099585824742268</v>
      </c>
      <c r="AC34">
        <f t="shared" si="13"/>
        <v>14.8</v>
      </c>
      <c r="AD34" s="4">
        <f t="shared" si="4"/>
        <v>3.1073870206185568</v>
      </c>
    </row>
    <row r="35" spans="1:30" ht="18">
      <c r="A35" t="s">
        <v>415</v>
      </c>
      <c r="B35">
        <v>3</v>
      </c>
      <c r="C35">
        <v>0</v>
      </c>
      <c r="D35">
        <f t="shared" si="11"/>
        <v>0</v>
      </c>
      <c r="F35" s="3">
        <f>IF(D35&gt;0,D35*Agriculture!$D$2+Agriculture!$E$16*E35,IF(E35&gt;0,0,Agriculture!$D$2*0.025))</f>
        <v>24.725000000000001</v>
      </c>
      <c r="G35" s="3">
        <f>L35*1/Agriculture!$C$49*Agriculture!$E$16</f>
        <v>0</v>
      </c>
      <c r="H35" t="s">
        <v>452</v>
      </c>
      <c r="I35">
        <v>4000</v>
      </c>
      <c r="K35" s="59">
        <f>IF(I35&gt;0,I35,J35/2000*Conversion!$D$22)</f>
        <v>4000</v>
      </c>
      <c r="N35">
        <v>1</v>
      </c>
      <c r="O35" s="72">
        <v>0</v>
      </c>
      <c r="P35" s="72">
        <v>100</v>
      </c>
      <c r="Q35" s="72">
        <v>10.8</v>
      </c>
      <c r="R35" s="72">
        <v>0</v>
      </c>
      <c r="S35" s="72">
        <v>3520</v>
      </c>
      <c r="T35" s="73">
        <f t="shared" si="12"/>
        <v>9972</v>
      </c>
      <c r="W35">
        <f t="shared" si="9"/>
        <v>1</v>
      </c>
      <c r="X35" s="3">
        <f>IF(K35&gt;0,F35/K35/W35*Conversion!$E$17,0)</f>
        <v>61.8125</v>
      </c>
      <c r="Y35" s="3">
        <f>IF(L35&gt;0,G35/L35/W35*Conversion!$E$17,0)</f>
        <v>0</v>
      </c>
      <c r="Z35" s="3">
        <f t="shared" si="10"/>
        <v>61.8125</v>
      </c>
      <c r="AA35" s="3">
        <f>(F35*T35)/365.26/Agriculture!$D$2</f>
        <v>0.68252751464710082</v>
      </c>
      <c r="AB35" s="4">
        <f>SUM(X35:Y35)*Conversion!$F$18</f>
        <v>1.5274486875E-2</v>
      </c>
      <c r="AC35">
        <f t="shared" si="13"/>
        <v>14.8</v>
      </c>
      <c r="AD35" s="4">
        <f t="shared" si="4"/>
        <v>0.22606240575</v>
      </c>
    </row>
    <row r="36" spans="1:30" ht="18">
      <c r="A36" t="s">
        <v>455</v>
      </c>
      <c r="B36">
        <v>3</v>
      </c>
      <c r="C36">
        <v>0.1</v>
      </c>
      <c r="D36">
        <f t="shared" si="11"/>
        <v>0.55098892533936683</v>
      </c>
      <c r="F36" s="3">
        <f>IF(D36&gt;0,D36*Agriculture!$D$2+Agriculture!$E$16*E36,IF(E36&gt;0,0,Agriculture!$D$2*0.025))</f>
        <v>544.92804716063381</v>
      </c>
      <c r="G36" s="3">
        <f>L36*1/Agriculture!$C$49*Agriculture!$E$16</f>
        <v>0</v>
      </c>
      <c r="J36">
        <v>962</v>
      </c>
      <c r="K36" s="59">
        <f>IF(I36&gt;0,I36,J36/2000*Conversion!$D$22)</f>
        <v>1078.2588111100001</v>
      </c>
      <c r="N36">
        <v>1</v>
      </c>
      <c r="O36" s="72"/>
      <c r="P36" s="72"/>
      <c r="Q36" s="72"/>
      <c r="R36" s="72"/>
      <c r="S36" s="72"/>
      <c r="T36" s="73">
        <f t="shared" si="12"/>
        <v>0</v>
      </c>
      <c r="W36">
        <f t="shared" si="9"/>
        <v>1</v>
      </c>
      <c r="X36" s="3">
        <f>IF(K36&gt;0,F36/K36/W36*Conversion!$E$17,0)</f>
        <v>5053.7778272330033</v>
      </c>
      <c r="Y36" s="3">
        <f>IF(L36&gt;0,G36/L36/W36*Conversion!$E$17,0)</f>
        <v>0</v>
      </c>
      <c r="Z36" s="3">
        <f t="shared" si="10"/>
        <v>5053.7778272330033</v>
      </c>
      <c r="AA36" s="3">
        <f>(F36*T36)/365.26/Agriculture!$D$2</f>
        <v>0</v>
      </c>
      <c r="AB36" s="4">
        <f>SUM(X36:Y36)*Conversion!$F$18</f>
        <v>1.2488390388875474</v>
      </c>
      <c r="AC36">
        <f t="shared" si="13"/>
        <v>14.8</v>
      </c>
      <c r="AD36" s="4">
        <f t="shared" si="4"/>
        <v>18.482817775535704</v>
      </c>
    </row>
    <row r="37" spans="1:30" ht="18">
      <c r="A37" t="s">
        <v>456</v>
      </c>
      <c r="B37">
        <v>3</v>
      </c>
      <c r="C37">
        <v>0.1</v>
      </c>
      <c r="D37">
        <f t="shared" si="11"/>
        <v>0.55098892533936683</v>
      </c>
      <c r="F37" s="3">
        <f>IF(D37&gt;0,D37*Agriculture!$D$2+Agriculture!$E$16*E37,IF(E37&gt;0,0,Agriculture!$D$2*0.025))</f>
        <v>544.92804716063381</v>
      </c>
      <c r="G37" s="3">
        <f>L37*1/Agriculture!$C$49*Agriculture!$E$16</f>
        <v>0</v>
      </c>
      <c r="J37">
        <v>1490</v>
      </c>
      <c r="K37" s="59">
        <f>IF(I37&gt;0,I37,J37/2000*Conversion!$D$22)</f>
        <v>1670.0682209500001</v>
      </c>
      <c r="N37">
        <v>1</v>
      </c>
      <c r="O37" s="72"/>
      <c r="P37" s="72"/>
      <c r="Q37" s="72"/>
      <c r="R37" s="72"/>
      <c r="S37" s="72"/>
      <c r="T37" s="73">
        <f t="shared" si="12"/>
        <v>0</v>
      </c>
      <c r="W37">
        <f t="shared" si="9"/>
        <v>1</v>
      </c>
      <c r="X37" s="3">
        <f>IF(K37&gt;0,F37/K37/W37*Conversion!$E$17,0)</f>
        <v>3262.9089059047983</v>
      </c>
      <c r="Y37" s="3">
        <f>IF(L37&gt;0,G37/L37/W37*Conversion!$E$17,0)</f>
        <v>0</v>
      </c>
      <c r="Z37" s="3">
        <f t="shared" si="10"/>
        <v>3262.9089059047983</v>
      </c>
      <c r="AA37" s="3">
        <f>(F37*T37)/365.26/Agriculture!$D$2</f>
        <v>0</v>
      </c>
      <c r="AB37" s="4">
        <f>SUM(X37:Y37)*Conversion!$F$18</f>
        <v>0.80629741973813462</v>
      </c>
      <c r="AC37">
        <f t="shared" si="13"/>
        <v>14.8</v>
      </c>
      <c r="AD37" s="4">
        <f t="shared" si="4"/>
        <v>11.933201812124393</v>
      </c>
    </row>
    <row r="38" spans="1:30" ht="18">
      <c r="A38" t="s">
        <v>436</v>
      </c>
      <c r="B38">
        <v>3</v>
      </c>
      <c r="C38">
        <v>0.1</v>
      </c>
      <c r="D38">
        <f t="shared" si="11"/>
        <v>0.55098892533936683</v>
      </c>
      <c r="F38" s="3">
        <f>IF(D38&gt;0,D38*Agriculture!$D$2+Agriculture!$E$16*E38,IF(E38&gt;0,0,Agriculture!$D$2*0.025))</f>
        <v>544.92804716063381</v>
      </c>
      <c r="G38" s="3">
        <f>L38*1/Agriculture!$C$49*Agriculture!$E$16</f>
        <v>0</v>
      </c>
      <c r="I38">
        <v>924</v>
      </c>
      <c r="K38" s="59">
        <f>IF(I38&gt;0,I38,J38/2000*Conversion!$D$22)</f>
        <v>924</v>
      </c>
      <c r="M38">
        <v>150</v>
      </c>
      <c r="O38" s="72">
        <v>30.23</v>
      </c>
      <c r="P38" s="72">
        <v>49</v>
      </c>
      <c r="Q38" s="72">
        <v>42</v>
      </c>
      <c r="R38" s="72">
        <v>11</v>
      </c>
      <c r="S38" s="72">
        <v>543</v>
      </c>
      <c r="T38" s="73">
        <f t="shared" si="12"/>
        <v>9839.2000000000007</v>
      </c>
      <c r="W38">
        <f t="shared" si="9"/>
        <v>2.4000000000000004</v>
      </c>
      <c r="X38" s="3">
        <f>IF(K38&gt;0,F38/K38/W38*Conversion!$E$17,0)</f>
        <v>2457.2873699523529</v>
      </c>
      <c r="Y38" s="3">
        <f>IF(L38&gt;0,G38/L38/W38*Conversion!$E$17,0)</f>
        <v>0</v>
      </c>
      <c r="Z38" s="3">
        <f t="shared" si="10"/>
        <v>2457.2873699523529</v>
      </c>
      <c r="AA38" s="3">
        <f>(F38*T38)/365.26/Agriculture!$D$2</f>
        <v>14.842277375565621</v>
      </c>
      <c r="AB38" s="4">
        <f>SUM(X38:Y38)*Conversion!$F$18</f>
        <v>0.60722028198892586</v>
      </c>
      <c r="AC38">
        <f t="shared" si="13"/>
        <v>14.8</v>
      </c>
      <c r="AD38" s="4">
        <f t="shared" si="4"/>
        <v>21.568464416246652</v>
      </c>
    </row>
    <row r="39" spans="1:30" ht="18">
      <c r="A39" t="s">
        <v>420</v>
      </c>
      <c r="B39">
        <v>3</v>
      </c>
      <c r="C39">
        <v>0.2</v>
      </c>
      <c r="D39">
        <f t="shared" si="11"/>
        <v>1.1019778506787337</v>
      </c>
      <c r="F39" s="3">
        <f>IF(D39&gt;0,D39*Agriculture!$D$2+Agriculture!$E$16*E39,IF(E39&gt;0,0,Agriculture!$D$2*0.025))</f>
        <v>1089.8560943212676</v>
      </c>
      <c r="G39" s="3">
        <f>L39*1/Agriculture!$C$49*Agriculture!$E$16</f>
        <v>244945.89722948364</v>
      </c>
      <c r="H39" t="s">
        <v>452</v>
      </c>
      <c r="I39">
        <v>1909</v>
      </c>
      <c r="K39" s="59">
        <f>IF(I39&gt;0,I39,J39/2000*Conversion!$D$22)</f>
        <v>1909</v>
      </c>
      <c r="L39">
        <f>I39*5</f>
        <v>9545</v>
      </c>
      <c r="O39" s="72">
        <v>0</v>
      </c>
      <c r="P39" s="72">
        <v>44</v>
      </c>
      <c r="Q39" s="72">
        <v>0</v>
      </c>
      <c r="R39" s="72">
        <v>0</v>
      </c>
      <c r="S39" s="72">
        <v>739</v>
      </c>
      <c r="T39" s="73">
        <f t="shared" si="12"/>
        <v>3960</v>
      </c>
      <c r="W39">
        <f t="shared" si="9"/>
        <v>1</v>
      </c>
      <c r="X39" s="3">
        <f>IF(K39&gt;0,F39/K39/W39*Conversion!$E$17,0)</f>
        <v>5709.041877010307</v>
      </c>
      <c r="Y39" s="3">
        <f>IF(L39&gt;0,G39/L39/W39*Conversion!$E$17,0)</f>
        <v>256622.20767887234</v>
      </c>
      <c r="Z39" s="3">
        <f t="shared" si="10"/>
        <v>262331.24955588265</v>
      </c>
      <c r="AA39" s="3">
        <f>(F39*T39)/365.26/Agriculture!$D$2</f>
        <v>11.947194570135753</v>
      </c>
      <c r="AB39" s="4">
        <f>SUM(X39:Y39)*Conversion!$F$18</f>
        <v>64.824675077754151</v>
      </c>
      <c r="AC39">
        <f t="shared" si="13"/>
        <v>14.8</v>
      </c>
      <c r="AD39" s="4">
        <f t="shared" si="4"/>
        <v>959.40519115076142</v>
      </c>
    </row>
    <row r="40" spans="1:30" ht="18">
      <c r="A40" t="s">
        <v>424</v>
      </c>
      <c r="B40">
        <v>3</v>
      </c>
      <c r="C40">
        <v>0.2</v>
      </c>
      <c r="D40">
        <f t="shared" si="11"/>
        <v>1.1019778506787337</v>
      </c>
      <c r="F40" s="3">
        <f>IF(D40&gt;0,D40*Agriculture!$D$2+Agriculture!$E$16*E40,IF(E40&gt;0,0,Agriculture!$D$2*0.025))</f>
        <v>1089.8560943212676</v>
      </c>
      <c r="G40" s="3">
        <f>L40*1/Agriculture!$C$49*Agriculture!$E$16</f>
        <v>0</v>
      </c>
      <c r="H40" t="s">
        <v>452</v>
      </c>
      <c r="I40">
        <v>890</v>
      </c>
      <c r="K40" s="59">
        <f>IF(I40&gt;0,I40,J40/2000*Conversion!$D$22)</f>
        <v>890</v>
      </c>
      <c r="O40" s="72">
        <v>16.18</v>
      </c>
      <c r="P40" s="72">
        <v>38.450000000000003</v>
      </c>
      <c r="Q40" s="72">
        <v>73.400000000000006</v>
      </c>
      <c r="R40" s="72">
        <v>34.39</v>
      </c>
      <c r="S40" s="72">
        <v>475</v>
      </c>
      <c r="T40" s="73">
        <f t="shared" si="12"/>
        <v>12089.300000000001</v>
      </c>
      <c r="W40">
        <f t="shared" si="9"/>
        <v>1</v>
      </c>
      <c r="X40" s="3">
        <f>IF(K40&gt;0,F40/K40/W40*Conversion!$E$17,0)</f>
        <v>12245.574093497389</v>
      </c>
      <c r="Y40" s="3">
        <f>IF(L40&gt;0,G40/L40/W40*Conversion!$E$17,0)</f>
        <v>0</v>
      </c>
      <c r="Z40" s="3">
        <f t="shared" si="10"/>
        <v>12245.574093497389</v>
      </c>
      <c r="AA40" s="3">
        <f>(F40*T40)/365.26/Agriculture!$D$2</f>
        <v>36.473035180995502</v>
      </c>
      <c r="AB40" s="4">
        <f>SUM(X40:Y40)*Conversion!$F$18</f>
        <v>3.0260038142441394</v>
      </c>
      <c r="AC40">
        <f t="shared" si="13"/>
        <v>14.8</v>
      </c>
      <c r="AD40" s="4">
        <f t="shared" si="4"/>
        <v>44.784856450813265</v>
      </c>
    </row>
    <row r="41" spans="1:30" ht="18">
      <c r="A41" t="s">
        <v>425</v>
      </c>
      <c r="B41">
        <v>3</v>
      </c>
      <c r="C41">
        <v>0.1</v>
      </c>
      <c r="D41">
        <f t="shared" si="11"/>
        <v>0.55098892533936683</v>
      </c>
      <c r="F41" s="3">
        <f>IF(D41&gt;0,D41*Agriculture!$D$2+Agriculture!$E$16*E41,IF(E41&gt;0,0,Agriculture!$D$2*0.025))</f>
        <v>544.92804716063381</v>
      </c>
      <c r="G41" s="3">
        <f>L41*1/Agriculture!$C$49*Agriculture!$E$16</f>
        <v>0</v>
      </c>
      <c r="H41" t="s">
        <v>452</v>
      </c>
      <c r="I41">
        <v>478</v>
      </c>
      <c r="K41" s="59">
        <f>IF(I41&gt;0,I41,J41/2000*Conversion!$D$22)</f>
        <v>478</v>
      </c>
      <c r="O41" s="72">
        <v>17.73</v>
      </c>
      <c r="P41" s="72">
        <v>49.67</v>
      </c>
      <c r="Q41" s="72">
        <v>44</v>
      </c>
      <c r="R41" s="72">
        <v>23.45</v>
      </c>
      <c r="S41" s="72">
        <v>285</v>
      </c>
      <c r="T41" s="73">
        <f t="shared" si="12"/>
        <v>10077.5</v>
      </c>
      <c r="W41">
        <f t="shared" si="9"/>
        <v>1</v>
      </c>
      <c r="X41" s="3">
        <f>IF(K41&gt;0,F41/K41/W41*Conversion!$E$17,0)</f>
        <v>11400.168350640875</v>
      </c>
      <c r="Y41" s="3">
        <f>IF(L41&gt;0,G41/L41/W41*Conversion!$E$17,0)</f>
        <v>0</v>
      </c>
      <c r="Z41" s="3">
        <f t="shared" si="10"/>
        <v>11400.168350640875</v>
      </c>
      <c r="AA41" s="3">
        <f>(F41*T41)/365.26/Agriculture!$D$2</f>
        <v>15.201749151583718</v>
      </c>
      <c r="AB41" s="4">
        <f>SUM(X41:Y41)*Conversion!$F$18</f>
        <v>2.8170956011268666</v>
      </c>
      <c r="AC41">
        <f t="shared" si="13"/>
        <v>14.8</v>
      </c>
      <c r="AD41" s="4">
        <f t="shared" si="4"/>
        <v>41.693014896677631</v>
      </c>
    </row>
    <row r="42" spans="1:30" ht="18">
      <c r="A42" t="s">
        <v>429</v>
      </c>
      <c r="B42">
        <v>3</v>
      </c>
      <c r="C42">
        <v>0.1</v>
      </c>
      <c r="D42">
        <f t="shared" si="11"/>
        <v>0.55098892533936683</v>
      </c>
      <c r="F42" s="3">
        <f>IF(D42&gt;0,D42*Agriculture!$D$2+Agriculture!$E$16*E42,IF(E42&gt;0,0,Agriculture!$D$2*0.025))</f>
        <v>544.92804716063381</v>
      </c>
      <c r="G42" s="3">
        <f>L42*1/Agriculture!$C$49*Agriculture!$E$16</f>
        <v>0</v>
      </c>
      <c r="H42" t="s">
        <v>452</v>
      </c>
      <c r="I42">
        <v>1424</v>
      </c>
      <c r="K42" s="59">
        <f>IF(I42&gt;0,I42,J42/2000*Conversion!$D$22)</f>
        <v>1424</v>
      </c>
      <c r="O42" s="72">
        <v>20.78</v>
      </c>
      <c r="P42" s="72">
        <v>51.64</v>
      </c>
      <c r="Q42" s="72">
        <v>45</v>
      </c>
      <c r="R42" s="72">
        <v>20</v>
      </c>
      <c r="S42" s="72">
        <v>868</v>
      </c>
      <c r="T42" s="73">
        <f t="shared" si="12"/>
        <v>10328.800000000001</v>
      </c>
      <c r="W42">
        <f t="shared" si="9"/>
        <v>1</v>
      </c>
      <c r="X42" s="3">
        <f>IF(K42&gt;0,F42/K42/W42*Conversion!$E$17,0)</f>
        <v>3826.741904217934</v>
      </c>
      <c r="Y42" s="3">
        <f>IF(L42&gt;0,G42/L42/W42*Conversion!$E$17,0)</f>
        <v>0</v>
      </c>
      <c r="Z42" s="3">
        <f t="shared" si="10"/>
        <v>3826.741904217934</v>
      </c>
      <c r="AA42" s="3">
        <f>(F42*T42)/365.26/Agriculture!$D$2</f>
        <v>15.580831221719468</v>
      </c>
      <c r="AB42" s="4">
        <f>SUM(X42:Y42)*Conversion!$F$18</f>
        <v>0.9456261919512936</v>
      </c>
      <c r="AC42">
        <f t="shared" si="13"/>
        <v>14.8</v>
      </c>
      <c r="AD42" s="4">
        <f t="shared" si="4"/>
        <v>13.995267640879145</v>
      </c>
    </row>
    <row r="43" spans="1:30" ht="18">
      <c r="A43" t="s">
        <v>457</v>
      </c>
      <c r="B43">
        <v>3</v>
      </c>
      <c r="C43">
        <v>0.1</v>
      </c>
      <c r="D43">
        <f t="shared" si="11"/>
        <v>0.55098892533936683</v>
      </c>
      <c r="F43" s="3">
        <f>IF(D43&gt;0,D43*Agriculture!$D$2+Agriculture!$E$16*E43,IF(E43&gt;0,0,Agriculture!$D$2*0.025))</f>
        <v>544.92804716063381</v>
      </c>
      <c r="G43" s="3">
        <f>L43*1/Agriculture!$C$49*Agriculture!$E$16</f>
        <v>0</v>
      </c>
      <c r="J43">
        <v>2760</v>
      </c>
      <c r="K43" s="59">
        <f>IF(I43&gt;0,I43,J43/2000*Conversion!$D$22)</f>
        <v>3093.5491877999998</v>
      </c>
      <c r="T43" s="73">
        <f t="shared" si="12"/>
        <v>0</v>
      </c>
      <c r="W43">
        <f t="shared" si="9"/>
        <v>1</v>
      </c>
      <c r="X43" s="3">
        <f>IF(K43&gt;0,F43/K43/W43*Conversion!$E$17,0)</f>
        <v>1761.4979238399094</v>
      </c>
      <c r="Y43" s="3">
        <f>IF(L43&gt;0,G43/L43/W43*Conversion!$E$17,0)</f>
        <v>0</v>
      </c>
      <c r="Z43" s="3">
        <f t="shared" si="10"/>
        <v>1761.4979238399094</v>
      </c>
      <c r="AA43" s="3">
        <f>(F43*T43)/365.26/Agriculture!$D$2</f>
        <v>0</v>
      </c>
      <c r="AB43" s="4">
        <f>SUM(X43:Y43)*Conversion!$F$18</f>
        <v>0.43528375196007996</v>
      </c>
      <c r="AC43">
        <f t="shared" si="13"/>
        <v>14.8</v>
      </c>
      <c r="AD43" s="4">
        <f t="shared" si="4"/>
        <v>6.4421995290091836</v>
      </c>
    </row>
    <row r="44" spans="1:30" ht="18">
      <c r="F44" s="3"/>
      <c r="G44" s="3"/>
      <c r="K44" s="59"/>
      <c r="T44" s="73"/>
      <c r="X44" s="3"/>
      <c r="Y44" s="3"/>
      <c r="Z44" s="3"/>
      <c r="AA44" s="3"/>
      <c r="AB44" s="4">
        <f>SUM(X44:Y44)*Conversion!$F$18</f>
        <v>0</v>
      </c>
      <c r="AC44">
        <f t="shared" si="13"/>
        <v>14.8</v>
      </c>
      <c r="AD44" s="4">
        <f t="shared" si="4"/>
        <v>0</v>
      </c>
    </row>
    <row r="45" spans="1:30" ht="18">
      <c r="A45" t="str">
        <f>Agriculture!B29</f>
        <v>Fruits &amp; Vegetables</v>
      </c>
      <c r="B45">
        <f>COUNT(B46:B81)</f>
        <v>36</v>
      </c>
      <c r="C45">
        <f>SUM(C46:C81)</f>
        <v>35.400000000000006</v>
      </c>
      <c r="D45">
        <f>Agriculture!G29</f>
        <v>140.84938245614035</v>
      </c>
      <c r="F45" s="3"/>
      <c r="G45" s="3"/>
      <c r="K45" s="59"/>
      <c r="T45" s="73"/>
      <c r="X45" s="3"/>
      <c r="Y45" s="3"/>
      <c r="Z45" s="3"/>
      <c r="AA45" s="3"/>
      <c r="AB45" s="4">
        <f>SUM(X45:Y45)*Conversion!$F$18</f>
        <v>0</v>
      </c>
      <c r="AC45">
        <f t="shared" si="13"/>
        <v>14.8</v>
      </c>
      <c r="AD45" s="4">
        <f t="shared" si="4"/>
        <v>0</v>
      </c>
    </row>
    <row r="46" spans="1:30" ht="18">
      <c r="A46" t="s">
        <v>130</v>
      </c>
      <c r="B46">
        <v>6</v>
      </c>
      <c r="C46">
        <v>1</v>
      </c>
      <c r="D46">
        <f>$D$45*C46/$C$45</f>
        <v>3.9787961145802351</v>
      </c>
      <c r="F46" s="3">
        <f>IF(D46&gt;0,D46*Agriculture!$D$2+Agriculture!$E$16*E46,IF(E46&gt;0,0,Agriculture!$D$2*0.025))</f>
        <v>3935.0293573198524</v>
      </c>
      <c r="G46" s="3">
        <f>L46*1/Agriculture!$C$49*Agriculture!$E$16</f>
        <v>0</v>
      </c>
      <c r="J46">
        <v>25400</v>
      </c>
      <c r="K46" s="59">
        <f>IF(I46&gt;0,I46,J46/2000*Conversion!$D$22)</f>
        <v>28469.619337</v>
      </c>
      <c r="N46">
        <v>1</v>
      </c>
      <c r="R46">
        <v>98</v>
      </c>
      <c r="T46" s="73">
        <f t="shared" ref="T46:T81" si="14">(O46*4+R46*4+P46*9+Q46*9)*10</f>
        <v>3920</v>
      </c>
      <c r="W46">
        <f t="shared" ref="W46:W81" si="15">IF(N46&gt;0,1,IF(M46&gt;0,FLOOR(365.26/M46,0.1),1))</f>
        <v>1</v>
      </c>
      <c r="X46" s="3">
        <f>IF(K46&gt;0,F46/K46/W46*Conversion!$E$17,0)</f>
        <v>1382.1854485443596</v>
      </c>
      <c r="Y46" s="3">
        <f>IF(L46&gt;0,G46/L46/W46*Conversion!$E$17,0)</f>
        <v>0</v>
      </c>
      <c r="Z46" s="3">
        <f t="shared" ref="Z46:Z81" si="16">(X46+Y46)*IF(U46&gt;0,U46,1)</f>
        <v>1382.1854485443596</v>
      </c>
      <c r="AA46" s="3">
        <f>(F46*T46)/365.26/Agriculture!$D$2</f>
        <v>42.700763207453655</v>
      </c>
      <c r="AB46" s="4">
        <f>SUM(X46:Y46)*Conversion!$F$18</f>
        <v>0.34155184618979667</v>
      </c>
      <c r="AC46">
        <f t="shared" si="13"/>
        <v>14.8</v>
      </c>
      <c r="AD46" s="4">
        <f t="shared" si="4"/>
        <v>5.0549673236089907</v>
      </c>
    </row>
    <row r="47" spans="1:30" ht="18">
      <c r="A47" t="s">
        <v>458</v>
      </c>
      <c r="B47">
        <v>6</v>
      </c>
      <c r="C47">
        <v>1</v>
      </c>
      <c r="D47">
        <f t="shared" ref="D47:D81" si="17">$D$45*C47/$C$45</f>
        <v>3.9787961145802351</v>
      </c>
      <c r="F47" s="3">
        <f>IF(D47&gt;0,D47*Agriculture!$D$2+Agriculture!$E$16*E47,IF(E47&gt;0,0,Agriculture!$D$2*0.025))</f>
        <v>3935.0293573198524</v>
      </c>
      <c r="G47" s="3">
        <f>L47*1/Agriculture!$C$49*Agriculture!$E$16</f>
        <v>0</v>
      </c>
      <c r="J47">
        <v>11260</v>
      </c>
      <c r="K47" s="59">
        <f>IF(I47&gt;0,I47,J47/2000*Conversion!$D$22)</f>
        <v>12620.7840053</v>
      </c>
      <c r="N47">
        <v>1</v>
      </c>
      <c r="R47">
        <v>98</v>
      </c>
      <c r="T47" s="73">
        <f t="shared" si="14"/>
        <v>3920</v>
      </c>
      <c r="W47">
        <f t="shared" si="15"/>
        <v>1</v>
      </c>
      <c r="X47" s="3">
        <f>IF(K47&gt;0,F47/K47/W47*Conversion!$E$17,0)</f>
        <v>3117.8961272670281</v>
      </c>
      <c r="Y47" s="3">
        <f>IF(L47&gt;0,G47/L47/W47*Conversion!$E$17,0)</f>
        <v>0</v>
      </c>
      <c r="Z47" s="3">
        <f t="shared" si="16"/>
        <v>3117.8961272670281</v>
      </c>
      <c r="AA47" s="3">
        <f>(F47*T47)/365.26/Agriculture!$D$2</f>
        <v>42.700763207453655</v>
      </c>
      <c r="AB47" s="4">
        <f>SUM(X47:Y47)*Conversion!$F$18</f>
        <v>0.77046331200895524</v>
      </c>
      <c r="AC47">
        <f t="shared" si="13"/>
        <v>14.8</v>
      </c>
      <c r="AD47" s="4">
        <f t="shared" si="4"/>
        <v>11.402857017732538</v>
      </c>
    </row>
    <row r="48" spans="1:30" ht="18">
      <c r="A48" t="s">
        <v>480</v>
      </c>
      <c r="B48">
        <v>6</v>
      </c>
      <c r="C48">
        <v>0.1</v>
      </c>
      <c r="D48">
        <f t="shared" si="17"/>
        <v>0.39787961145802353</v>
      </c>
      <c r="F48" s="3">
        <f>IF(D48&gt;0,D48*Agriculture!$D$2+Agriculture!$E$16*E48,IF(E48&gt;0,0,Agriculture!$D$2*0.025))</f>
        <v>393.50293573198525</v>
      </c>
      <c r="G48" s="3">
        <f>L48*1/Agriculture!$C$49*Agriculture!$E$16</f>
        <v>0</v>
      </c>
      <c r="J48">
        <v>4400</v>
      </c>
      <c r="K48" s="59">
        <f>IF(I48&gt;0,I48,J48/2000*Conversion!$D$22)</f>
        <v>4931.7450820000004</v>
      </c>
      <c r="N48">
        <v>1</v>
      </c>
      <c r="T48" s="73">
        <f t="shared" si="14"/>
        <v>0</v>
      </c>
      <c r="W48">
        <f t="shared" si="15"/>
        <v>1</v>
      </c>
      <c r="X48" s="3">
        <f>IF(K48&gt;0,F48/K48/W48*Conversion!$E$17,0)</f>
        <v>797.89796347788047</v>
      </c>
      <c r="Y48" s="3">
        <f>IF(L48&gt;0,G48/L48/W48*Conversion!$E$17,0)</f>
        <v>0</v>
      </c>
      <c r="Z48" s="3">
        <f t="shared" si="16"/>
        <v>797.89796347788047</v>
      </c>
      <c r="AA48" s="3">
        <f>(F48*T48)/365.26/Agriculture!$D$2</f>
        <v>0</v>
      </c>
      <c r="AB48" s="4">
        <f>SUM(X48:Y48)*Conversion!$F$18</f>
        <v>0.19716856575501904</v>
      </c>
      <c r="AC48">
        <f t="shared" si="13"/>
        <v>14.8</v>
      </c>
      <c r="AD48" s="4">
        <f t="shared" si="4"/>
        <v>2.9180947731742819</v>
      </c>
    </row>
    <row r="49" spans="1:30" ht="18">
      <c r="A49" t="s">
        <v>478</v>
      </c>
      <c r="B49">
        <v>6</v>
      </c>
      <c r="C49">
        <v>0.1</v>
      </c>
      <c r="D49">
        <f t="shared" si="17"/>
        <v>0.39787961145802353</v>
      </c>
      <c r="F49" s="3">
        <f>IF(D49&gt;0,D49*Agriculture!$D$2+Agriculture!$E$16*E49,IF(E49&gt;0,0,Agriculture!$D$2*0.025))</f>
        <v>393.50293573198525</v>
      </c>
      <c r="G49" s="3">
        <f>L49*1/Agriculture!$C$49*Agriculture!$E$16</f>
        <v>0</v>
      </c>
      <c r="J49">
        <v>10800</v>
      </c>
      <c r="K49" s="59">
        <f>IF(I49&gt;0,I49,J49/2000*Conversion!$D$22)</f>
        <v>12105.192474000001</v>
      </c>
      <c r="M49">
        <v>60</v>
      </c>
      <c r="O49" s="72"/>
      <c r="R49" s="72"/>
      <c r="S49" s="72"/>
      <c r="T49" s="73">
        <f t="shared" si="14"/>
        <v>0</v>
      </c>
      <c r="W49">
        <f t="shared" si="15"/>
        <v>6</v>
      </c>
      <c r="X49" s="3">
        <f>IF(K49&gt;0,F49/K49/W49*Conversion!$E$17,0)</f>
        <v>54.17825677936225</v>
      </c>
      <c r="Y49" s="3">
        <f>IF(L49&gt;0,G49/L49/W49*Conversion!$E$17,0)</f>
        <v>0</v>
      </c>
      <c r="Z49" s="3">
        <f t="shared" si="16"/>
        <v>54.17825677936225</v>
      </c>
      <c r="AA49" s="3">
        <f>(F49*T49)/365.26/Agriculture!$D$2</f>
        <v>0</v>
      </c>
      <c r="AB49" s="4">
        <f>SUM(X49:Y49)*Conversion!$F$18</f>
        <v>1.3387989032748205E-2</v>
      </c>
      <c r="AC49">
        <f t="shared" si="13"/>
        <v>14.8</v>
      </c>
      <c r="AD49" s="4">
        <f t="shared" si="4"/>
        <v>1.1888534261080408</v>
      </c>
    </row>
    <row r="50" spans="1:30" ht="18">
      <c r="A50" t="s">
        <v>395</v>
      </c>
      <c r="B50">
        <v>6</v>
      </c>
      <c r="C50">
        <v>2</v>
      </c>
      <c r="D50">
        <f t="shared" si="17"/>
        <v>7.9575922291604702</v>
      </c>
      <c r="F50" s="3">
        <f>IF(D50&gt;0,D50*Agriculture!$D$2+Agriculture!$E$16*E50,IF(E50&gt;0,0,Agriculture!$D$2*0.025))</f>
        <v>7870.0587146397047</v>
      </c>
      <c r="G50" s="3">
        <f>L50*1/Agriculture!$C$49*Agriculture!$E$16</f>
        <v>0</v>
      </c>
      <c r="H50" t="s">
        <v>452</v>
      </c>
      <c r="I50">
        <v>16951</v>
      </c>
      <c r="J50">
        <v>7300</v>
      </c>
      <c r="K50" s="59">
        <f>IF(I50&gt;0,I50,J50/2000*Conversion!$D$22)</f>
        <v>16951</v>
      </c>
      <c r="M50">
        <v>150</v>
      </c>
      <c r="O50" s="72">
        <v>2.82</v>
      </c>
      <c r="P50" s="72">
        <v>0.37</v>
      </c>
      <c r="R50" s="72">
        <v>6.64</v>
      </c>
      <c r="S50" s="72">
        <v>675</v>
      </c>
      <c r="T50" s="73">
        <f t="shared" si="14"/>
        <v>411.69999999999993</v>
      </c>
      <c r="W50">
        <f t="shared" si="15"/>
        <v>2.4000000000000004</v>
      </c>
      <c r="X50" s="3">
        <f>IF(K50&gt;0,F50/K50/W50*Conversion!$E$17,0)</f>
        <v>1934.5119055512218</v>
      </c>
      <c r="Y50" s="3">
        <f>IF(L50&gt;0,G50/L50/W50*Conversion!$E$17,0)</f>
        <v>0</v>
      </c>
      <c r="Z50" s="3">
        <f t="shared" si="16"/>
        <v>1934.5119055512218</v>
      </c>
      <c r="AA50" s="3">
        <f>(F50*T50)/365.26/Agriculture!$D$2</f>
        <v>8.9693388839329931</v>
      </c>
      <c r="AB50" s="4">
        <f>SUM(X50:Y50)*Conversion!$F$18</f>
        <v>0.47803723698076239</v>
      </c>
      <c r="AC50">
        <f t="shared" si="13"/>
        <v>14.8</v>
      </c>
      <c r="AD50" s="4">
        <f t="shared" si="4"/>
        <v>16.979882657556683</v>
      </c>
    </row>
    <row r="51" spans="1:30" ht="18">
      <c r="A51" t="s">
        <v>401</v>
      </c>
      <c r="B51">
        <v>6</v>
      </c>
      <c r="C51">
        <v>1</v>
      </c>
      <c r="D51">
        <f t="shared" si="17"/>
        <v>3.9787961145802351</v>
      </c>
      <c r="F51" s="3">
        <f>IF(D51&gt;0,D51*Agriculture!$D$2+Agriculture!$E$16*E51,IF(E51&gt;0,0,Agriculture!$D$2*0.025))</f>
        <v>3935.0293573198524</v>
      </c>
      <c r="G51" s="3">
        <f>L51*1/Agriculture!$C$49*Agriculture!$E$16</f>
        <v>0</v>
      </c>
      <c r="H51" t="s">
        <v>452</v>
      </c>
      <c r="I51" s="73">
        <v>22422</v>
      </c>
      <c r="J51" s="73">
        <v>13700</v>
      </c>
      <c r="K51" s="59">
        <f>IF(I51&gt;0,I51,J51/2000*Conversion!$D$22)</f>
        <v>22422</v>
      </c>
      <c r="L51" s="73"/>
      <c r="M51" s="73">
        <v>150</v>
      </c>
      <c r="N51" s="73"/>
      <c r="O51" s="72">
        <v>1.28</v>
      </c>
      <c r="P51" s="72">
        <v>0.1</v>
      </c>
      <c r="R51" s="72">
        <v>5.8</v>
      </c>
      <c r="S51" s="72">
        <v>635</v>
      </c>
      <c r="T51" s="73">
        <f t="shared" si="14"/>
        <v>292.2</v>
      </c>
      <c r="W51">
        <f t="shared" si="15"/>
        <v>2.4000000000000004</v>
      </c>
      <c r="X51" s="3">
        <f>IF(K51&gt;0,F51/K51/W51*Conversion!$E$17,0)</f>
        <v>731.24411985993152</v>
      </c>
      <c r="Y51" s="3">
        <f>IF(L51&gt;0,G51/L51/W51*Conversion!$E$17,0)</f>
        <v>0</v>
      </c>
      <c r="Z51" s="3">
        <f t="shared" si="16"/>
        <v>731.24411985993152</v>
      </c>
      <c r="AA51" s="3">
        <f>(F51*T51)/365.26/Agriculture!$D$2</f>
        <v>3.1829497472494785</v>
      </c>
      <c r="AB51" s="4">
        <f>SUM(X51:Y51)*Conversion!$F$18</f>
        <v>0.18069773445858767</v>
      </c>
      <c r="AC51">
        <f t="shared" si="13"/>
        <v>14.8</v>
      </c>
      <c r="AD51" s="4">
        <f t="shared" si="4"/>
        <v>6.4183835279690351</v>
      </c>
    </row>
    <row r="52" spans="1:30" ht="18">
      <c r="A52" t="s">
        <v>479</v>
      </c>
      <c r="B52">
        <v>6</v>
      </c>
      <c r="C52">
        <v>1</v>
      </c>
      <c r="D52">
        <f t="shared" si="17"/>
        <v>3.9787961145802351</v>
      </c>
      <c r="F52" s="3">
        <f>IF(D52&gt;0,D52*Agriculture!$D$2+Agriculture!$E$16*E52,IF(E52&gt;0,0,Agriculture!$D$2*0.025))</f>
        <v>3935.0293573198524</v>
      </c>
      <c r="G52" s="3">
        <f>L52*1/Agriculture!$C$49*Agriculture!$E$16</f>
        <v>0</v>
      </c>
      <c r="I52" s="73"/>
      <c r="J52" s="73">
        <v>9800</v>
      </c>
      <c r="K52" s="59">
        <f>IF(I52&gt;0,I52,J52/2000*Conversion!$D$22)</f>
        <v>10984.341319000001</v>
      </c>
      <c r="L52" s="73"/>
      <c r="M52" s="73">
        <v>150</v>
      </c>
      <c r="N52" s="73"/>
      <c r="O52" s="72"/>
      <c r="P52" s="72"/>
      <c r="Q52" s="72"/>
      <c r="R52" s="72"/>
      <c r="S52" s="73"/>
      <c r="T52" s="73">
        <f t="shared" si="14"/>
        <v>0</v>
      </c>
      <c r="W52">
        <f t="shared" si="15"/>
        <v>2.4000000000000004</v>
      </c>
      <c r="X52" s="3">
        <f>IF(K52&gt;0,F52/K52/W52*Conversion!$E$17,0)</f>
        <v>1492.6662582069187</v>
      </c>
      <c r="Y52" s="3">
        <f>IF(L52&gt;0,G52/L52/W52*Conversion!$E$17,0)</f>
        <v>0</v>
      </c>
      <c r="Z52" s="3">
        <f t="shared" si="16"/>
        <v>1492.6662582069187</v>
      </c>
      <c r="AA52" s="3">
        <f>(F52*T52)/365.26/Agriculture!$D$2</f>
        <v>0</v>
      </c>
      <c r="AB52" s="4">
        <f>SUM(X52:Y52)*Conversion!$F$18</f>
        <v>0.36885275906551163</v>
      </c>
      <c r="AC52">
        <f t="shared" si="13"/>
        <v>14.8</v>
      </c>
      <c r="AD52" s="4">
        <f t="shared" si="4"/>
        <v>13.101650002006975</v>
      </c>
    </row>
    <row r="53" spans="1:30" ht="18">
      <c r="A53" t="s">
        <v>469</v>
      </c>
      <c r="B53">
        <v>6</v>
      </c>
      <c r="C53">
        <v>2</v>
      </c>
      <c r="D53">
        <f t="shared" si="17"/>
        <v>7.9575922291604702</v>
      </c>
      <c r="F53" s="3">
        <f>IF(D53&gt;0,D53*Agriculture!$D$2+Agriculture!$E$16*E53,IF(E53&gt;0,0,Agriculture!$D$2*0.025))</f>
        <v>7870.0587146397047</v>
      </c>
      <c r="G53" s="3">
        <f>L53*1/Agriculture!$C$49*Agriculture!$E$16</f>
        <v>0</v>
      </c>
      <c r="I53" s="73"/>
      <c r="J53" s="73">
        <v>19400</v>
      </c>
      <c r="K53" s="59">
        <f>IF(I53&gt;0,I53,J53/2000*Conversion!$D$22)</f>
        <v>21744.512406999998</v>
      </c>
      <c r="L53" s="73"/>
      <c r="M53" s="73">
        <v>150</v>
      </c>
      <c r="N53" s="73"/>
      <c r="O53" s="72"/>
      <c r="P53" s="72"/>
      <c r="Q53" s="72"/>
      <c r="R53" s="72"/>
      <c r="S53" s="73"/>
      <c r="T53" s="73">
        <f t="shared" si="14"/>
        <v>0</v>
      </c>
      <c r="W53">
        <f t="shared" si="15"/>
        <v>2.4000000000000004</v>
      </c>
      <c r="X53" s="3">
        <f>IF(K53&gt;0,F53/K53/W53*Conversion!$E$17,0)</f>
        <v>1508.0545701471965</v>
      </c>
      <c r="Y53" s="3">
        <f>IF(L53&gt;0,G53/L53/W53*Conversion!$E$17,0)</f>
        <v>0</v>
      </c>
      <c r="Z53" s="3">
        <f t="shared" si="16"/>
        <v>1508.0545701471965</v>
      </c>
      <c r="AA53" s="3">
        <f>(F53*T53)/365.26/Agriculture!$D$2</f>
        <v>0</v>
      </c>
      <c r="AB53" s="4">
        <f>SUM(X53:Y53)*Conversion!$F$18</f>
        <v>0.37265536482907369</v>
      </c>
      <c r="AC53">
        <f t="shared" si="13"/>
        <v>14.8</v>
      </c>
      <c r="AD53" s="4">
        <f t="shared" si="4"/>
        <v>13.2367185587287</v>
      </c>
    </row>
    <row r="54" spans="1:30" ht="18">
      <c r="A54" t="s">
        <v>474</v>
      </c>
      <c r="B54">
        <v>6</v>
      </c>
      <c r="C54">
        <v>1</v>
      </c>
      <c r="D54">
        <f t="shared" si="17"/>
        <v>3.9787961145802351</v>
      </c>
      <c r="F54" s="3">
        <f>IF(D54&gt;0,D54*Agriculture!$D$2+Agriculture!$E$16*E54,IF(E54&gt;0,0,Agriculture!$D$2*0.025))</f>
        <v>3935.0293573198524</v>
      </c>
      <c r="G54" s="3">
        <f>L54*1/Agriculture!$C$49*Agriculture!$E$16</f>
        <v>0</v>
      </c>
      <c r="I54" s="73"/>
      <c r="J54" s="73">
        <v>10800</v>
      </c>
      <c r="K54" s="59">
        <f>IF(I54&gt;0,I54,J54/2000*Conversion!$D$22)</f>
        <v>12105.192474000001</v>
      </c>
      <c r="L54" s="73"/>
      <c r="M54" s="73">
        <v>150</v>
      </c>
      <c r="N54" s="73"/>
      <c r="O54" s="72"/>
      <c r="P54" s="72"/>
      <c r="Q54" s="72"/>
      <c r="R54" s="72"/>
      <c r="S54" s="73"/>
      <c r="T54" s="73">
        <f t="shared" si="14"/>
        <v>0</v>
      </c>
      <c r="W54">
        <f t="shared" si="15"/>
        <v>2.4000000000000004</v>
      </c>
      <c r="X54" s="3">
        <f>IF(K54&gt;0,F54/K54/W54*Conversion!$E$17,0)</f>
        <v>1354.4564194840559</v>
      </c>
      <c r="Y54" s="3">
        <f>IF(L54&gt;0,G54/L54/W54*Conversion!$E$17,0)</f>
        <v>0</v>
      </c>
      <c r="Z54" s="3">
        <f t="shared" si="16"/>
        <v>1354.4564194840559</v>
      </c>
      <c r="AA54" s="3">
        <f>(F54*T54)/365.26/Agriculture!$D$2</f>
        <v>0</v>
      </c>
      <c r="AB54" s="4">
        <f>SUM(X54:Y54)*Conversion!$F$18</f>
        <v>0.33469972581870505</v>
      </c>
      <c r="AC54">
        <f t="shared" si="13"/>
        <v>14.8</v>
      </c>
      <c r="AD54" s="4">
        <f t="shared" si="4"/>
        <v>11.888534261080405</v>
      </c>
    </row>
    <row r="55" spans="1:30" ht="18">
      <c r="A55" t="s">
        <v>471</v>
      </c>
      <c r="B55">
        <v>6</v>
      </c>
      <c r="C55">
        <v>2</v>
      </c>
      <c r="D55">
        <f t="shared" si="17"/>
        <v>7.9575922291604702</v>
      </c>
      <c r="F55" s="3">
        <f>IF(D55&gt;0,D55*Agriculture!$D$2+Agriculture!$E$16*E55,IF(E55&gt;0,0,Agriculture!$D$2*0.025))</f>
        <v>7870.0587146397047</v>
      </c>
      <c r="G55" s="3">
        <f>L55*1/Agriculture!$C$49*Agriculture!$E$16</f>
        <v>0</v>
      </c>
      <c r="I55" s="73"/>
      <c r="J55" s="73">
        <v>32000</v>
      </c>
      <c r="K55" s="59">
        <f>IF(I55&gt;0,I55,J55/2000*Conversion!$D$22)</f>
        <v>35867.236960000002</v>
      </c>
      <c r="L55" s="73"/>
      <c r="M55" s="73"/>
      <c r="N55" s="73"/>
      <c r="O55" s="72"/>
      <c r="P55" s="72"/>
      <c r="Q55" s="72"/>
      <c r="R55" s="72"/>
      <c r="S55" s="73"/>
      <c r="T55" s="73">
        <f t="shared" si="14"/>
        <v>0</v>
      </c>
      <c r="W55">
        <f t="shared" si="15"/>
        <v>1</v>
      </c>
      <c r="X55" s="3">
        <f>IF(K55&gt;0,F55/K55/W55*Conversion!$E$17,0)</f>
        <v>2194.219399564171</v>
      </c>
      <c r="Y55" s="3">
        <f>IF(L55&gt;0,G55/L55/W55*Conversion!$E$17,0)</f>
        <v>0</v>
      </c>
      <c r="Z55" s="3">
        <f t="shared" si="16"/>
        <v>2194.219399564171</v>
      </c>
      <c r="AA55" s="3">
        <f>(F55*T55)/365.26/Agriculture!$D$2</f>
        <v>0</v>
      </c>
      <c r="AB55" s="4">
        <f>SUM(X55:Y55)*Conversion!$F$18</f>
        <v>0.54221355582630226</v>
      </c>
      <c r="AC55">
        <f t="shared" si="13"/>
        <v>14.8</v>
      </c>
      <c r="AD55" s="4">
        <f t="shared" si="4"/>
        <v>8.0247606262292734</v>
      </c>
    </row>
    <row r="56" spans="1:30" ht="18">
      <c r="A56" t="s">
        <v>459</v>
      </c>
      <c r="B56">
        <v>6</v>
      </c>
      <c r="C56">
        <v>1</v>
      </c>
      <c r="D56">
        <f t="shared" si="17"/>
        <v>3.9787961145802351</v>
      </c>
      <c r="F56" s="3">
        <f>IF(D56&gt;0,D56*Agriculture!$D$2+Agriculture!$E$16*E56,IF(E56&gt;0,0,Agriculture!$D$2*0.025))</f>
        <v>3935.0293573198524</v>
      </c>
      <c r="G56" s="3">
        <f>L56*1/Agriculture!$C$49*Agriculture!$E$16</f>
        <v>0</v>
      </c>
      <c r="I56" s="73"/>
      <c r="J56" s="73">
        <v>6660</v>
      </c>
      <c r="K56" s="59">
        <f>IF(I56&gt;0,I56,J56/2000*Conversion!$D$22)</f>
        <v>7464.8686923000005</v>
      </c>
      <c r="L56" s="73"/>
      <c r="M56" s="73"/>
      <c r="N56" s="73">
        <v>1</v>
      </c>
      <c r="O56" s="72"/>
      <c r="P56" s="72"/>
      <c r="Q56" s="72"/>
      <c r="R56" s="72"/>
      <c r="S56" s="73"/>
      <c r="T56" s="73">
        <f t="shared" si="14"/>
        <v>0</v>
      </c>
      <c r="W56">
        <f t="shared" si="15"/>
        <v>1</v>
      </c>
      <c r="X56" s="3">
        <f>IF(K56&gt;0,F56/K56/W56*Conversion!$E$17,0)</f>
        <v>5271.3979569109215</v>
      </c>
      <c r="Y56" s="3">
        <f>IF(L56&gt;0,G56/L56/W56*Conversion!$E$17,0)</f>
        <v>0</v>
      </c>
      <c r="Z56" s="3">
        <f t="shared" si="16"/>
        <v>5271.3979569109215</v>
      </c>
      <c r="AA56" s="3">
        <f>(F56*T56)/365.26/Agriculture!$D$2</f>
        <v>0</v>
      </c>
      <c r="AB56" s="4">
        <f>SUM(X56:Y56)*Conversion!$F$18</f>
        <v>1.3026151491322577</v>
      </c>
      <c r="AC56">
        <f t="shared" si="13"/>
        <v>14.8</v>
      </c>
      <c r="AD56" s="4">
        <f t="shared" si="4"/>
        <v>19.278704207157414</v>
      </c>
    </row>
    <row r="57" spans="1:30" ht="18">
      <c r="A57" t="s">
        <v>481</v>
      </c>
      <c r="B57">
        <v>6</v>
      </c>
      <c r="C57">
        <v>2</v>
      </c>
      <c r="D57">
        <f t="shared" si="17"/>
        <v>7.9575922291604702</v>
      </c>
      <c r="F57" s="3">
        <f>IF(D57&gt;0,D57*Agriculture!$D$2+Agriculture!$E$16*E57,IF(E57&gt;0,0,Agriculture!$D$2*0.025))</f>
        <v>7870.0587146397047</v>
      </c>
      <c r="G57" s="3">
        <f>L57*1/Agriculture!$C$49*Agriculture!$E$16</f>
        <v>0</v>
      </c>
      <c r="J57">
        <v>8400</v>
      </c>
      <c r="K57" s="59">
        <f>IF(I57&gt;0,I57,J57/2000*Conversion!$D$22)</f>
        <v>9415.1497020000006</v>
      </c>
      <c r="M57">
        <v>150</v>
      </c>
      <c r="T57" s="73">
        <f t="shared" si="14"/>
        <v>0</v>
      </c>
      <c r="W57">
        <f t="shared" si="15"/>
        <v>2.4000000000000004</v>
      </c>
      <c r="X57" s="3">
        <f>IF(K57&gt;0,F57/K57/W57*Conversion!$E$17,0)</f>
        <v>3482.8879358161435</v>
      </c>
      <c r="Y57" s="3">
        <f>IF(L57&gt;0,G57/L57/W57*Conversion!$E$17,0)</f>
        <v>0</v>
      </c>
      <c r="Z57" s="3">
        <f t="shared" si="16"/>
        <v>3482.8879358161435</v>
      </c>
      <c r="AA57" s="3">
        <f>(F57*T57)/365.26/Agriculture!$D$2</f>
        <v>0</v>
      </c>
      <c r="AB57" s="4">
        <f>SUM(X57:Y57)*Conversion!$F$18</f>
        <v>0.86065643781952716</v>
      </c>
      <c r="AC57">
        <f t="shared" si="13"/>
        <v>14.8</v>
      </c>
      <c r="AD57" s="4">
        <f t="shared" si="4"/>
        <v>30.570516671349612</v>
      </c>
    </row>
    <row r="58" spans="1:30" ht="18">
      <c r="A58" t="s">
        <v>460</v>
      </c>
      <c r="B58">
        <v>6</v>
      </c>
      <c r="C58">
        <v>0</v>
      </c>
      <c r="D58">
        <f t="shared" si="17"/>
        <v>0</v>
      </c>
      <c r="F58" s="3">
        <f>IF(D58&gt;0,D58*Agriculture!$D$2+Agriculture!$E$16*E58,IF(E58&gt;0,0,Agriculture!$D$2*0.025))</f>
        <v>24.725000000000001</v>
      </c>
      <c r="G58" s="3">
        <f>L58*1/Agriculture!$C$49*Agriculture!$E$16</f>
        <v>0</v>
      </c>
      <c r="J58">
        <v>9420</v>
      </c>
      <c r="K58" s="59">
        <f>IF(I58&gt;0,I58,J58/2000*Conversion!$D$22)</f>
        <v>10558.4178801</v>
      </c>
      <c r="T58" s="73">
        <f t="shared" si="14"/>
        <v>0</v>
      </c>
      <c r="W58">
        <f t="shared" si="15"/>
        <v>1</v>
      </c>
      <c r="X58" s="3">
        <f>IF(K58&gt;0,F58/K58/W58*Conversion!$E$17,0)</f>
        <v>23.417334188487175</v>
      </c>
      <c r="Y58" s="3">
        <f>IF(L58&gt;0,G58/L58/W58*Conversion!$E$17,0)</f>
        <v>0</v>
      </c>
      <c r="Z58" s="3">
        <f t="shared" si="16"/>
        <v>23.417334188487175</v>
      </c>
      <c r="AA58" s="3">
        <f>(F58*T58)/365.26/Agriculture!$D$2</f>
        <v>0</v>
      </c>
      <c r="AB58" s="4">
        <f>SUM(X58:Y58)*Conversion!$F$18</f>
        <v>5.7866574513170651E-3</v>
      </c>
      <c r="AC58">
        <f t="shared" si="13"/>
        <v>14.8</v>
      </c>
      <c r="AD58" s="4">
        <f t="shared" si="4"/>
        <v>8.5642530279492562E-2</v>
      </c>
    </row>
    <row r="59" spans="1:30" ht="18">
      <c r="A59" t="s">
        <v>461</v>
      </c>
      <c r="B59">
        <v>6</v>
      </c>
      <c r="C59">
        <v>0</v>
      </c>
      <c r="D59">
        <f t="shared" si="17"/>
        <v>0</v>
      </c>
      <c r="F59" s="3">
        <f>IF(D59&gt;0,D59*Agriculture!$D$2+Agriculture!$E$16*E59,IF(E59&gt;0,0,Agriculture!$D$2*0.025))</f>
        <v>24.725000000000001</v>
      </c>
      <c r="G59" s="3">
        <f>L59*1/Agriculture!$C$49*Agriculture!$E$16</f>
        <v>0</v>
      </c>
      <c r="I59" s="73"/>
      <c r="J59" s="73">
        <v>4620</v>
      </c>
      <c r="K59" s="59">
        <f>IF(I59&gt;0,I59,J59/2000*Conversion!$D$22)</f>
        <v>5178.3323361000002</v>
      </c>
      <c r="L59" s="73"/>
      <c r="M59" s="73"/>
      <c r="N59" s="73">
        <v>1</v>
      </c>
      <c r="O59" s="72"/>
      <c r="P59" s="72"/>
      <c r="Q59" s="72"/>
      <c r="R59" s="72"/>
      <c r="S59" s="72"/>
      <c r="T59" s="73">
        <f t="shared" si="14"/>
        <v>0</v>
      </c>
      <c r="W59">
        <f t="shared" si="15"/>
        <v>1</v>
      </c>
      <c r="X59" s="3">
        <f>IF(K59&gt;0,F59/K59/W59*Conversion!$E$17,0)</f>
        <v>47.747032046655669</v>
      </c>
      <c r="Y59" s="3">
        <f>IF(L59&gt;0,G59/L59/W59*Conversion!$E$17,0)</f>
        <v>0</v>
      </c>
      <c r="Z59" s="3">
        <f t="shared" si="16"/>
        <v>47.747032046655669</v>
      </c>
      <c r="AA59" s="3">
        <f>(F59*T59)/365.26/Agriculture!$D$2</f>
        <v>0</v>
      </c>
      <c r="AB59" s="4">
        <f>SUM(X59:Y59)*Conversion!$F$18</f>
        <v>1.1798769089049081E-2</v>
      </c>
      <c r="AC59">
        <f t="shared" si="13"/>
        <v>14.8</v>
      </c>
      <c r="AD59" s="4">
        <f t="shared" si="4"/>
        <v>0.1746217825179264</v>
      </c>
    </row>
    <row r="60" spans="1:30" ht="18">
      <c r="A60" t="s">
        <v>137</v>
      </c>
      <c r="B60">
        <v>6</v>
      </c>
      <c r="C60">
        <v>1</v>
      </c>
      <c r="D60">
        <f t="shared" si="17"/>
        <v>3.9787961145802351</v>
      </c>
      <c r="F60" s="3">
        <f>IF(D60&gt;0,D60*Agriculture!$D$2+Agriculture!$E$16*E60,IF(E60&gt;0,0,Agriculture!$D$2*0.025))</f>
        <v>3935.0293573198524</v>
      </c>
      <c r="G60" s="3">
        <f>L60*1/Agriculture!$C$49*Agriculture!$E$16</f>
        <v>0</v>
      </c>
      <c r="I60">
        <v>4000</v>
      </c>
      <c r="K60" s="59">
        <f>IF(I60&gt;0,I60,J60/2000*Conversion!$D$22)</f>
        <v>4000</v>
      </c>
      <c r="T60" s="73">
        <f t="shared" si="14"/>
        <v>0</v>
      </c>
      <c r="U60">
        <v>0.5</v>
      </c>
      <c r="V60">
        <v>1</v>
      </c>
      <c r="W60">
        <f t="shared" si="15"/>
        <v>1</v>
      </c>
      <c r="X60" s="3">
        <f>IF(K60&gt;0,F60/K60/W60*Conversion!$E$17,0)</f>
        <v>9837.5733932996318</v>
      </c>
      <c r="Y60" s="3">
        <f>IF(L60&gt;0,G60/L60/W60*Conversion!$E$17,0)</f>
        <v>0</v>
      </c>
      <c r="Z60" s="3">
        <f t="shared" si="16"/>
        <v>4918.7866966498159</v>
      </c>
      <c r="AA60" s="3">
        <f>(F60*T60)/365.26/Agriculture!$D$2</f>
        <v>0</v>
      </c>
      <c r="AB60" s="4">
        <f>SUM(X60:Y60)*Conversion!$F$18</f>
        <v>2.430962761218272</v>
      </c>
      <c r="AC60">
        <f t="shared" si="13"/>
        <v>14.8</v>
      </c>
      <c r="AD60" s="4">
        <f t="shared" si="4"/>
        <v>35.978248866030427</v>
      </c>
    </row>
    <row r="61" spans="1:30" ht="18">
      <c r="A61" t="s">
        <v>147</v>
      </c>
      <c r="B61">
        <v>6</v>
      </c>
      <c r="C61">
        <v>1</v>
      </c>
      <c r="D61">
        <f t="shared" si="17"/>
        <v>3.9787961145802351</v>
      </c>
      <c r="F61" s="3">
        <f>IF(D61&gt;0,D61*Agriculture!$D$2+Agriculture!$E$16*E61,IF(E61&gt;0,0,Agriculture!$D$2*0.025))</f>
        <v>3935.0293573198524</v>
      </c>
      <c r="G61" s="3">
        <f>L61*1/Agriculture!$C$49*Agriculture!$E$16</f>
        <v>0</v>
      </c>
      <c r="I61">
        <v>2000</v>
      </c>
      <c r="J61">
        <v>14770</v>
      </c>
      <c r="K61" s="59">
        <f>IF(I61&gt;0,I61,J61/2000*Conversion!$D$22)</f>
        <v>2000</v>
      </c>
      <c r="N61">
        <v>1</v>
      </c>
      <c r="R61" s="72">
        <v>98</v>
      </c>
      <c r="T61" s="73">
        <f t="shared" si="14"/>
        <v>3920</v>
      </c>
      <c r="U61">
        <v>2</v>
      </c>
      <c r="W61">
        <f t="shared" si="15"/>
        <v>1</v>
      </c>
      <c r="X61" s="3">
        <f>IF(K61&gt;0,F61/K61/W61*Conversion!$E$17,0)</f>
        <v>19675.146786599264</v>
      </c>
      <c r="Y61" s="3">
        <f>IF(L61&gt;0,G61/L61/W61*Conversion!$E$17,0)</f>
        <v>0</v>
      </c>
      <c r="Z61" s="3">
        <f t="shared" si="16"/>
        <v>39350.293573198527</v>
      </c>
      <c r="AA61" s="3">
        <f>(F61*T61)/365.26/Agriculture!$D$2</f>
        <v>42.700763207453655</v>
      </c>
      <c r="AB61" s="4">
        <f>SUM(X61:Y61)*Conversion!$F$18</f>
        <v>4.8619255224365441</v>
      </c>
      <c r="AC61">
        <f t="shared" si="13"/>
        <v>14.8</v>
      </c>
      <c r="AD61" s="4">
        <f t="shared" si="4"/>
        <v>71.956497732060853</v>
      </c>
    </row>
    <row r="62" spans="1:30" ht="18">
      <c r="A62" t="s">
        <v>462</v>
      </c>
      <c r="B62">
        <v>6</v>
      </c>
      <c r="C62">
        <v>0</v>
      </c>
      <c r="D62">
        <f t="shared" si="17"/>
        <v>0</v>
      </c>
      <c r="F62" s="3">
        <f>IF(D62&gt;0,D62*Agriculture!$D$2+Agriculture!$E$16*E62,IF(E62&gt;0,0,Agriculture!$D$2*0.025))</f>
        <v>24.725000000000001</v>
      </c>
      <c r="G62" s="3">
        <f>L62*1/Agriculture!$C$49*Agriculture!$E$16</f>
        <v>0</v>
      </c>
      <c r="I62" s="73"/>
      <c r="J62" s="73">
        <v>7860</v>
      </c>
      <c r="K62" s="59">
        <f>IF(I62&gt;0,I62,J62/2000*Conversion!$D$22)</f>
        <v>8809.8900783000008</v>
      </c>
      <c r="L62" s="73"/>
      <c r="M62" s="73"/>
      <c r="N62" s="73">
        <v>1</v>
      </c>
      <c r="O62" s="72"/>
      <c r="P62" s="72"/>
      <c r="Q62" s="72"/>
      <c r="R62" s="72"/>
      <c r="S62" s="72"/>
      <c r="T62" s="73">
        <f t="shared" si="14"/>
        <v>0</v>
      </c>
      <c r="W62">
        <f t="shared" si="15"/>
        <v>1</v>
      </c>
      <c r="X62" s="3">
        <f>IF(K62&gt;0,F62/K62/W62*Conversion!$E$17,0)</f>
        <v>28.065049370935011</v>
      </c>
      <c r="Y62" s="3">
        <f>IF(L62&gt;0,G62/L62/W62*Conversion!$E$17,0)</f>
        <v>0</v>
      </c>
      <c r="Z62" s="3">
        <f t="shared" si="16"/>
        <v>28.065049370935011</v>
      </c>
      <c r="AA62" s="3">
        <f>(F62*T62)/365.26/Agriculture!$D$2</f>
        <v>0</v>
      </c>
      <c r="AB62" s="4">
        <f>SUM(X62:Y62)*Conversion!$F$18</f>
        <v>6.9351543500517504E-3</v>
      </c>
      <c r="AC62">
        <f t="shared" si="13"/>
        <v>14.8</v>
      </c>
      <c r="AD62" s="4">
        <f t="shared" si="4"/>
        <v>0.10264028438076592</v>
      </c>
    </row>
    <row r="63" spans="1:30" ht="18">
      <c r="A63" t="s">
        <v>496</v>
      </c>
      <c r="B63">
        <v>6</v>
      </c>
      <c r="C63">
        <v>1</v>
      </c>
      <c r="D63">
        <f t="shared" si="17"/>
        <v>3.9787961145802351</v>
      </c>
      <c r="F63" s="3">
        <f>IF(D63&gt;0,D63*Agriculture!$D$2+Agriculture!$E$16*E63,IF(E63&gt;0,0,Agriculture!$D$2*0.025))</f>
        <v>3935.0293573198524</v>
      </c>
      <c r="G63" s="3">
        <f>L63*1/Agriculture!$C$49*Agriculture!$E$16</f>
        <v>0</v>
      </c>
      <c r="I63" s="73"/>
      <c r="J63" s="73"/>
      <c r="K63" s="73">
        <f>320*50</f>
        <v>16000</v>
      </c>
      <c r="M63" s="73"/>
      <c r="N63" s="73"/>
      <c r="O63" s="72"/>
      <c r="P63" s="72"/>
      <c r="Q63" s="72"/>
      <c r="R63" s="72"/>
      <c r="S63" s="72"/>
      <c r="T63" s="73">
        <f t="shared" si="14"/>
        <v>0</v>
      </c>
      <c r="W63">
        <f t="shared" si="15"/>
        <v>1</v>
      </c>
      <c r="X63" s="3">
        <f>IF(K63&gt;0,F63/K63/W63*Conversion!$E$17,0)</f>
        <v>2459.3933483249079</v>
      </c>
      <c r="Y63" s="3">
        <f>IF(L63&gt;0,G63/L63/W63*Conversion!$E$17,0)</f>
        <v>0</v>
      </c>
      <c r="Z63" s="3">
        <f t="shared" si="16"/>
        <v>2459.3933483249079</v>
      </c>
      <c r="AA63" s="3">
        <f>(F63*T63)/365.26/Agriculture!$D$2</f>
        <v>0</v>
      </c>
      <c r="AB63" s="4">
        <f>SUM(X63:Y63)*Conversion!$F$18</f>
        <v>0.60774069030456801</v>
      </c>
      <c r="AC63">
        <f t="shared" si="13"/>
        <v>14.8</v>
      </c>
      <c r="AD63" s="4">
        <f t="shared" si="4"/>
        <v>8.9945622165076067</v>
      </c>
    </row>
    <row r="64" spans="1:30" ht="18">
      <c r="A64" t="s">
        <v>473</v>
      </c>
      <c r="B64">
        <v>6</v>
      </c>
      <c r="C64">
        <v>2</v>
      </c>
      <c r="D64">
        <f t="shared" si="17"/>
        <v>7.9575922291604702</v>
      </c>
      <c r="F64" s="3">
        <f>IF(D64&gt;0,D64*Agriculture!$D$2+Agriculture!$E$16*E64,IF(E64&gt;0,0,Agriculture!$D$2*0.025))</f>
        <v>7870.0587146397047</v>
      </c>
      <c r="G64" s="3">
        <f>L64*1/Agriculture!$C$49*Agriculture!$E$16</f>
        <v>0</v>
      </c>
      <c r="I64" s="72"/>
      <c r="J64" s="72">
        <v>9100</v>
      </c>
      <c r="K64" s="59">
        <f>IF(I64&gt;0,I64,J64/2000*Conversion!$D$22)</f>
        <v>10199.745510500001</v>
      </c>
      <c r="L64" s="72"/>
      <c r="M64" s="72">
        <v>150</v>
      </c>
      <c r="N64" s="72"/>
      <c r="O64" s="72"/>
      <c r="P64" s="72"/>
      <c r="Q64" s="72"/>
      <c r="R64" s="72"/>
      <c r="S64" s="72"/>
      <c r="T64" s="73">
        <f t="shared" si="14"/>
        <v>0</v>
      </c>
      <c r="W64">
        <f t="shared" si="15"/>
        <v>2.4000000000000004</v>
      </c>
      <c r="X64" s="3">
        <f>IF(K64&gt;0,F64/K64/W64*Conversion!$E$17,0)</f>
        <v>3214.973479214902</v>
      </c>
      <c r="Y64" s="3">
        <f>IF(L64&gt;0,G64/L64/W64*Conversion!$E$17,0)</f>
        <v>0</v>
      </c>
      <c r="Z64" s="3">
        <f t="shared" si="16"/>
        <v>3214.973479214902</v>
      </c>
      <c r="AA64" s="3">
        <f>(F64*T64)/365.26/Agriculture!$D$2</f>
        <v>0</v>
      </c>
      <c r="AB64" s="4">
        <f>SUM(X64:Y64)*Conversion!$F$18</f>
        <v>0.79445209644879433</v>
      </c>
      <c r="AC64">
        <f t="shared" si="13"/>
        <v>14.8</v>
      </c>
      <c r="AD64" s="4">
        <f t="shared" si="4"/>
        <v>28.218938465861179</v>
      </c>
    </row>
    <row r="65" spans="1:30" ht="18">
      <c r="A65" t="s">
        <v>497</v>
      </c>
      <c r="B65">
        <v>6</v>
      </c>
      <c r="C65">
        <v>1</v>
      </c>
      <c r="D65">
        <f t="shared" si="17"/>
        <v>3.9787961145802351</v>
      </c>
      <c r="F65" s="3">
        <f>IF(D65&gt;0,D65*Agriculture!$D$2+Agriculture!$E$16*E65,IF(E65&gt;0,0,Agriculture!$D$2*0.025))</f>
        <v>3935.0293573198524</v>
      </c>
      <c r="G65" s="3">
        <f>L65*1/Agriculture!$C$49*Agriculture!$E$16</f>
        <v>0</v>
      </c>
      <c r="I65" s="73"/>
      <c r="J65" s="73"/>
      <c r="K65" s="73">
        <f>K64</f>
        <v>10199.745510500001</v>
      </c>
      <c r="M65" s="73"/>
      <c r="N65" s="73"/>
      <c r="O65" s="72"/>
      <c r="P65" s="72"/>
      <c r="Q65" s="72"/>
      <c r="R65" s="72"/>
      <c r="S65" s="72"/>
      <c r="T65" s="73">
        <f t="shared" si="14"/>
        <v>0</v>
      </c>
      <c r="W65">
        <f t="shared" si="15"/>
        <v>1</v>
      </c>
      <c r="X65" s="3">
        <f>IF(K65&gt;0,F65/K65/W65*Conversion!$E$17,0)</f>
        <v>3857.9681750578829</v>
      </c>
      <c r="Y65" s="3">
        <f>IF(L65&gt;0,G65/L65/W65*Conversion!$E$17,0)</f>
        <v>0</v>
      </c>
      <c r="Z65" s="3">
        <f t="shared" si="16"/>
        <v>3857.9681750578829</v>
      </c>
      <c r="AA65" s="3">
        <f>(F65*T65)/365.26/Agriculture!$D$2</f>
        <v>0</v>
      </c>
      <c r="AB65" s="4">
        <f>SUM(X65:Y65)*Conversion!$F$18</f>
        <v>0.95334251573855344</v>
      </c>
      <c r="AC65">
        <f t="shared" si="13"/>
        <v>14.8</v>
      </c>
      <c r="AD65" s="4">
        <f t="shared" si="4"/>
        <v>14.109469232930591</v>
      </c>
    </row>
    <row r="66" spans="1:30" ht="18">
      <c r="A66" t="s">
        <v>463</v>
      </c>
      <c r="B66">
        <v>6</v>
      </c>
      <c r="C66">
        <v>1</v>
      </c>
      <c r="D66">
        <f t="shared" si="17"/>
        <v>3.9787961145802351</v>
      </c>
      <c r="F66" s="3">
        <f>IF(D66&gt;0,D66*Agriculture!$D$2+Agriculture!$E$16*E66,IF(E66&gt;0,0,Agriculture!$D$2*0.025))</f>
        <v>3935.0293573198524</v>
      </c>
      <c r="G66" s="3">
        <f>L66*1/Agriculture!$C$49*Agriculture!$E$16</f>
        <v>0</v>
      </c>
      <c r="J66">
        <v>16080</v>
      </c>
      <c r="K66" s="59">
        <f>IF(I66&gt;0,I66,J66/2000*Conversion!$D$22)</f>
        <v>18023.2865724</v>
      </c>
      <c r="N66">
        <v>1</v>
      </c>
      <c r="O66" s="72"/>
      <c r="P66" s="72"/>
      <c r="Q66" s="72"/>
      <c r="R66" s="72"/>
      <c r="S66" s="72"/>
      <c r="T66" s="73">
        <f t="shared" si="14"/>
        <v>0</v>
      </c>
      <c r="W66">
        <f t="shared" si="15"/>
        <v>1</v>
      </c>
      <c r="X66" s="3">
        <f>IF(K66&gt;0,F66/K66/W66*Conversion!$E$17,0)</f>
        <v>2183.3028851384788</v>
      </c>
      <c r="Y66" s="3">
        <f>IF(L66&gt;0,G66/L66/W66*Conversion!$E$17,0)</f>
        <v>0</v>
      </c>
      <c r="Z66" s="3">
        <f t="shared" si="16"/>
        <v>2183.3028851384788</v>
      </c>
      <c r="AA66" s="3">
        <f>(F66*T66)/365.26/Agriculture!$D$2</f>
        <v>0</v>
      </c>
      <c r="AB66" s="4">
        <f>SUM(X66:Y66)*Conversion!$F$18</f>
        <v>0.53951597594656941</v>
      </c>
      <c r="AC66">
        <f t="shared" si="13"/>
        <v>14.8</v>
      </c>
      <c r="AD66" s="4">
        <f t="shared" si="4"/>
        <v>7.9848364440092281</v>
      </c>
    </row>
    <row r="67" spans="1:30" ht="18">
      <c r="A67" t="s">
        <v>470</v>
      </c>
      <c r="B67">
        <v>6</v>
      </c>
      <c r="C67">
        <v>2</v>
      </c>
      <c r="D67">
        <f t="shared" si="17"/>
        <v>7.9575922291604702</v>
      </c>
      <c r="F67" s="3">
        <f>IF(D67&gt;0,D67*Agriculture!$D$2+Agriculture!$E$16*E67,IF(E67&gt;0,0,Agriculture!$D$2*0.025))</f>
        <v>7870.0587146397047</v>
      </c>
      <c r="G67" s="3">
        <f>L67*1/Agriculture!$C$49*Agriculture!$E$16</f>
        <v>0</v>
      </c>
      <c r="J67">
        <v>19800</v>
      </c>
      <c r="K67" s="59">
        <f>IF(I67&gt;0,I67,J67/2000*Conversion!$D$22)</f>
        <v>22192.852869000002</v>
      </c>
      <c r="M67">
        <v>30</v>
      </c>
      <c r="O67" s="72"/>
      <c r="P67" s="72"/>
      <c r="Q67" s="72"/>
      <c r="R67" s="72"/>
      <c r="S67" s="72"/>
      <c r="T67" s="73">
        <f t="shared" si="14"/>
        <v>0</v>
      </c>
      <c r="W67">
        <f t="shared" si="15"/>
        <v>12.100000000000001</v>
      </c>
      <c r="X67" s="3">
        <f>IF(K67&gt;0,F67/K67/W67*Conversion!$E$17,0)</f>
        <v>293.07546867874385</v>
      </c>
      <c r="Y67" s="3">
        <f>IF(L67&gt;0,G67/L67/W67*Conversion!$E$17,0)</f>
        <v>0</v>
      </c>
      <c r="Z67" s="3">
        <f t="shared" si="16"/>
        <v>293.07546867874385</v>
      </c>
      <c r="AA67" s="3">
        <f>(F67*T67)/365.26/Agriculture!$D$2</f>
        <v>0</v>
      </c>
      <c r="AB67" s="4">
        <f>SUM(X67:Y67)*Conversion!$F$18</f>
        <v>7.2421879065204392E-2</v>
      </c>
      <c r="AC67">
        <f t="shared" si="13"/>
        <v>14.8</v>
      </c>
      <c r="AD67" s="4">
        <f t="shared" si="4"/>
        <v>12.969310102996804</v>
      </c>
    </row>
    <row r="68" spans="1:30" ht="18">
      <c r="A68" t="s">
        <v>495</v>
      </c>
      <c r="B68">
        <v>6</v>
      </c>
      <c r="C68">
        <v>1</v>
      </c>
      <c r="D68">
        <f t="shared" si="17"/>
        <v>3.9787961145802351</v>
      </c>
      <c r="F68" s="3">
        <f>IF(D68&gt;0,D68*Agriculture!$D$2+Agriculture!$E$16*E68,IF(E68&gt;0,0,Agriculture!$D$2*0.025))</f>
        <v>3935.0293573198524</v>
      </c>
      <c r="G68" s="3">
        <f>L68*1/Agriculture!$C$49*Agriculture!$E$16</f>
        <v>0</v>
      </c>
      <c r="K68" s="59">
        <v>40000</v>
      </c>
      <c r="O68" s="72"/>
      <c r="P68" s="72"/>
      <c r="Q68" s="72"/>
      <c r="R68" s="72"/>
      <c r="S68" s="72"/>
      <c r="T68" s="73">
        <f t="shared" si="14"/>
        <v>0</v>
      </c>
      <c r="W68">
        <f t="shared" si="15"/>
        <v>1</v>
      </c>
      <c r="X68" s="3">
        <f>IF(K68&gt;0,F68/K68/W68*Conversion!$E$17,0)</f>
        <v>983.75733932996309</v>
      </c>
      <c r="Y68" s="3">
        <f>IF(L68&gt;0,G68/L68/W68*Conversion!$E$17,0)</f>
        <v>0</v>
      </c>
      <c r="Z68" s="3">
        <f t="shared" si="16"/>
        <v>983.75733932996309</v>
      </c>
      <c r="AA68" s="3">
        <f>(F68*T68)/365.26/Agriculture!$D$2</f>
        <v>0</v>
      </c>
      <c r="AB68" s="4">
        <f>SUM(X68:Y68)*Conversion!$F$18</f>
        <v>0.24309627612182716</v>
      </c>
      <c r="AC68">
        <f t="shared" si="13"/>
        <v>14.8</v>
      </c>
      <c r="AD68" s="4">
        <f t="shared" si="4"/>
        <v>3.5978248866030422</v>
      </c>
    </row>
    <row r="69" spans="1:30" ht="18">
      <c r="A69" t="s">
        <v>131</v>
      </c>
      <c r="B69">
        <v>6</v>
      </c>
      <c r="C69">
        <v>0</v>
      </c>
      <c r="D69">
        <f t="shared" si="17"/>
        <v>0</v>
      </c>
      <c r="F69" s="3">
        <f>IF(D69&gt;0,D69*Agriculture!$D$2+Agriculture!$E$16*E69,IF(E69&gt;0,0,Agriculture!$D$2*0.025))</f>
        <v>24.725000000000001</v>
      </c>
      <c r="G69" s="3">
        <f>L69*1/Agriculture!$C$49*Agriculture!$E$16</f>
        <v>0</v>
      </c>
      <c r="I69">
        <v>40000</v>
      </c>
      <c r="K69" s="59">
        <f>IF(I69&gt;0,I69,J69/2000*Conversion!$D$22)</f>
        <v>40000</v>
      </c>
      <c r="P69">
        <v>1</v>
      </c>
      <c r="Q69">
        <v>1</v>
      </c>
      <c r="R69">
        <v>98</v>
      </c>
      <c r="T69" s="73">
        <f t="shared" si="14"/>
        <v>4100</v>
      </c>
      <c r="U69">
        <v>4</v>
      </c>
      <c r="W69">
        <f t="shared" si="15"/>
        <v>1</v>
      </c>
      <c r="X69" s="3">
        <f>IF(K69&gt;0,F69/K69/W69*Conversion!$E$17,0)</f>
        <v>6.1812500000000004</v>
      </c>
      <c r="Y69" s="3">
        <f>IF(L69&gt;0,G69/L69/W69*Conversion!$E$17,0)</f>
        <v>0</v>
      </c>
      <c r="Z69" s="3">
        <f t="shared" si="16"/>
        <v>24.725000000000001</v>
      </c>
      <c r="AA69" s="3">
        <f>(F69*T69)/365.26/Agriculture!$D$2</f>
        <v>0.28062202266878389</v>
      </c>
      <c r="AB69" s="4">
        <f>SUM(X69:Y69)*Conversion!$F$18</f>
        <v>1.5274486874999999E-3</v>
      </c>
      <c r="AC69">
        <f t="shared" si="13"/>
        <v>14.8</v>
      </c>
      <c r="AD69" s="4">
        <f t="shared" si="4"/>
        <v>2.2606240574999999E-2</v>
      </c>
    </row>
    <row r="70" spans="1:30" ht="18">
      <c r="A70" t="s">
        <v>511</v>
      </c>
      <c r="B70">
        <v>6</v>
      </c>
      <c r="C70">
        <v>0</v>
      </c>
      <c r="D70">
        <f t="shared" si="17"/>
        <v>0</v>
      </c>
      <c r="F70" s="3">
        <f>IF(D70&gt;0,D70*Agriculture!$D$2+Agriculture!$E$16*E70,IF(E70&gt;0,0,Agriculture!$D$2*0.025))</f>
        <v>24.725000000000001</v>
      </c>
      <c r="G70" s="3">
        <f>L70*1/Agriculture!$C$49*Agriculture!$E$16</f>
        <v>0</v>
      </c>
      <c r="I70">
        <v>1000</v>
      </c>
      <c r="K70" s="59">
        <f>IF(I70&gt;0,I70,J70/2000*Conversion!$D$22)</f>
        <v>1000</v>
      </c>
      <c r="P70">
        <v>18</v>
      </c>
      <c r="Q70">
        <v>2</v>
      </c>
      <c r="R70">
        <v>80</v>
      </c>
      <c r="T70" s="73">
        <f t="shared" si="14"/>
        <v>5000</v>
      </c>
      <c r="U70">
        <v>1</v>
      </c>
      <c r="V70">
        <v>1</v>
      </c>
      <c r="W70">
        <f t="shared" si="15"/>
        <v>1</v>
      </c>
      <c r="X70" s="3">
        <f>IF(K70&gt;0,F70/K70/W70*Conversion!$E$17,0)</f>
        <v>247.25</v>
      </c>
      <c r="Y70" s="3">
        <f>IF(L70&gt;0,G70/L70/W70*Conversion!$E$17,0)</f>
        <v>0</v>
      </c>
      <c r="Z70" s="3">
        <f t="shared" si="16"/>
        <v>247.25</v>
      </c>
      <c r="AA70" s="3">
        <f>(F70*T70)/365.26/Agriculture!$D$2</f>
        <v>0.34222197886437056</v>
      </c>
      <c r="AB70" s="4">
        <f>SUM(X70:Y70)*Conversion!$F$18</f>
        <v>6.1097947499999999E-2</v>
      </c>
      <c r="AC70">
        <f t="shared" si="13"/>
        <v>14.8</v>
      </c>
      <c r="AD70" s="4">
        <f t="shared" si="4"/>
        <v>0.904249623</v>
      </c>
    </row>
    <row r="71" spans="1:30" ht="18">
      <c r="A71" t="s">
        <v>465</v>
      </c>
      <c r="B71">
        <v>6</v>
      </c>
      <c r="C71">
        <v>1</v>
      </c>
      <c r="D71">
        <f t="shared" si="17"/>
        <v>3.9787961145802351</v>
      </c>
      <c r="F71" s="3">
        <f>IF(D71&gt;0,D71*Agriculture!$D$2+Agriculture!$E$16*E71,IF(E71&gt;0,0,Agriculture!$D$2*0.025))</f>
        <v>3935.0293573198524</v>
      </c>
      <c r="G71" s="3">
        <f>L71*1/Agriculture!$C$49*Agriculture!$E$16</f>
        <v>0</v>
      </c>
      <c r="J71">
        <v>31400</v>
      </c>
      <c r="K71" s="59">
        <f>IF(I71&gt;0,I71,J71/2000*Conversion!$D$22)</f>
        <v>35194.726266999998</v>
      </c>
      <c r="N71">
        <v>1</v>
      </c>
      <c r="O71" s="72"/>
      <c r="P71" s="72"/>
      <c r="Q71" s="72"/>
      <c r="R71" s="72">
        <v>98</v>
      </c>
      <c r="S71" s="72"/>
      <c r="T71" s="73">
        <f t="shared" si="14"/>
        <v>3920</v>
      </c>
      <c r="W71">
        <f t="shared" si="15"/>
        <v>1</v>
      </c>
      <c r="X71" s="3">
        <f>IF(K71&gt;0,F71/K71/W71*Conversion!$E$17,0)</f>
        <v>1118.073579395756</v>
      </c>
      <c r="Y71" s="3">
        <f>IF(L71&gt;0,G71/L71/W71*Conversion!$E$17,0)</f>
        <v>0</v>
      </c>
      <c r="Z71" s="3">
        <f t="shared" si="16"/>
        <v>1118.073579395756</v>
      </c>
      <c r="AA71" s="3">
        <f>(F71*T71)/365.26/Agriculture!$D$2</f>
        <v>42.700763207453655</v>
      </c>
      <c r="AB71" s="4">
        <f>SUM(X71:Y71)*Conversion!$F$18</f>
        <v>0.27628716220448524</v>
      </c>
      <c r="AC71">
        <f t="shared" si="13"/>
        <v>14.8</v>
      </c>
      <c r="AD71" s="4">
        <f t="shared" ref="AD71:AD119" si="18">W71*AB71*AC71</f>
        <v>4.0890500006263819</v>
      </c>
    </row>
    <row r="72" spans="1:30" ht="18">
      <c r="A72" t="s">
        <v>466</v>
      </c>
      <c r="B72">
        <v>6</v>
      </c>
      <c r="C72">
        <v>1</v>
      </c>
      <c r="D72">
        <f t="shared" si="17"/>
        <v>3.9787961145802351</v>
      </c>
      <c r="F72" s="3">
        <f>IF(D72&gt;0,D72*Agriculture!$D$2+Agriculture!$E$16*E72,IF(E72&gt;0,0,Agriculture!$D$2*0.025))</f>
        <v>3935.0293573198524</v>
      </c>
      <c r="G72" s="3">
        <f>L72*1/Agriculture!$C$49*Agriculture!$E$16</f>
        <v>0</v>
      </c>
      <c r="J72">
        <v>28200</v>
      </c>
      <c r="K72" s="59">
        <f>IF(I72&gt;0,I72,J72/2000*Conversion!$D$22)</f>
        <v>31608.002571000001</v>
      </c>
      <c r="N72">
        <v>1</v>
      </c>
      <c r="O72" s="72"/>
      <c r="P72" s="72"/>
      <c r="Q72" s="72"/>
      <c r="R72" s="72">
        <v>89</v>
      </c>
      <c r="S72" s="72"/>
      <c r="T72" s="73">
        <f t="shared" si="14"/>
        <v>3560</v>
      </c>
      <c r="W72">
        <f t="shared" si="15"/>
        <v>1</v>
      </c>
      <c r="X72" s="3">
        <f>IF(K72&gt;0,F72/K72/W72*Conversion!$E$17,0)</f>
        <v>1244.9471770576856</v>
      </c>
      <c r="Y72" s="3">
        <f>IF(L72&gt;0,G72/L72/W72*Conversion!$E$17,0)</f>
        <v>0</v>
      </c>
      <c r="Z72" s="3">
        <f t="shared" si="16"/>
        <v>1244.9471770576856</v>
      </c>
      <c r="AA72" s="3">
        <f>(F72*T72)/365.26/Agriculture!$D$2</f>
        <v>38.779264545544649</v>
      </c>
      <c r="AB72" s="4">
        <f>SUM(X72:Y72)*Conversion!$F$18</f>
        <v>0.30763889692272467</v>
      </c>
      <c r="AC72">
        <f t="shared" si="13"/>
        <v>14.8</v>
      </c>
      <c r="AD72" s="4">
        <f t="shared" si="18"/>
        <v>4.5530556744563251</v>
      </c>
    </row>
    <row r="73" spans="1:30" ht="18">
      <c r="A73" t="s">
        <v>475</v>
      </c>
      <c r="B73">
        <v>6</v>
      </c>
      <c r="C73">
        <v>2</v>
      </c>
      <c r="D73">
        <f t="shared" si="17"/>
        <v>7.9575922291604702</v>
      </c>
      <c r="F73" s="3">
        <f>IF(D73&gt;0,D73*Agriculture!$D$2+Agriculture!$E$16*E73,IF(E73&gt;0,0,Agriculture!$D$2*0.025))</f>
        <v>7870.0587146397047</v>
      </c>
      <c r="G73" s="3">
        <f>L73*1/Agriculture!$C$49*Agriculture!$E$16</f>
        <v>0</v>
      </c>
      <c r="J73">
        <v>6900</v>
      </c>
      <c r="K73" s="59">
        <f>IF(I73&gt;0,I73,J73/2000*Conversion!$D$22)</f>
        <v>7733.8729695000011</v>
      </c>
      <c r="M73">
        <v>150</v>
      </c>
      <c r="O73" s="72"/>
      <c r="R73" s="72"/>
      <c r="S73" s="72"/>
      <c r="T73" s="73">
        <f t="shared" si="14"/>
        <v>0</v>
      </c>
      <c r="W73">
        <f t="shared" si="15"/>
        <v>2.4000000000000004</v>
      </c>
      <c r="X73" s="3">
        <f>IF(K73&gt;0,F73/K73/W73*Conversion!$E$17,0)</f>
        <v>4240.0374870805226</v>
      </c>
      <c r="Y73" s="3">
        <f>IF(L73&gt;0,G73/L73/W73*Conversion!$E$17,0)</f>
        <v>0</v>
      </c>
      <c r="Z73" s="3">
        <f t="shared" si="16"/>
        <v>4240.0374870805226</v>
      </c>
      <c r="AA73" s="3">
        <f>(F73*T73)/365.26/Agriculture!$D$2</f>
        <v>0</v>
      </c>
      <c r="AB73" s="4">
        <f>SUM(X73:Y73)*Conversion!$F$18</f>
        <v>1.0477556634324678</v>
      </c>
      <c r="AC73">
        <f t="shared" si="13"/>
        <v>14.8</v>
      </c>
      <c r="AD73" s="4">
        <f t="shared" si="18"/>
        <v>37.216281165121266</v>
      </c>
    </row>
    <row r="74" spans="1:30" ht="18">
      <c r="A74" t="s">
        <v>419</v>
      </c>
      <c r="B74">
        <v>6</v>
      </c>
      <c r="C74">
        <v>1</v>
      </c>
      <c r="D74">
        <f t="shared" si="17"/>
        <v>3.9787961145802351</v>
      </c>
      <c r="F74" s="3">
        <f>IF(D74&gt;0,D74*Agriculture!$D$2+Agriculture!$E$16*E74,IF(E74&gt;0,0,Agriculture!$D$2*0.025))</f>
        <v>3935.0293573198524</v>
      </c>
      <c r="G74" s="3">
        <f>L74*1/Agriculture!$C$49*Agriculture!$E$16</f>
        <v>0</v>
      </c>
      <c r="H74" t="s">
        <v>452</v>
      </c>
      <c r="I74">
        <v>6368</v>
      </c>
      <c r="K74" s="59">
        <f>IF(I74&gt;0,I74,J74/2000*Conversion!$D$22)</f>
        <v>6368</v>
      </c>
      <c r="N74">
        <v>1</v>
      </c>
      <c r="O74" s="72">
        <v>1.3</v>
      </c>
      <c r="P74" s="72">
        <v>0.37</v>
      </c>
      <c r="Q74" s="72">
        <v>0</v>
      </c>
      <c r="R74" s="72">
        <v>31.98</v>
      </c>
      <c r="S74" s="72">
        <v>842</v>
      </c>
      <c r="T74" s="73">
        <f t="shared" si="14"/>
        <v>1364.5000000000002</v>
      </c>
      <c r="W74">
        <f t="shared" si="15"/>
        <v>1</v>
      </c>
      <c r="X74" s="3">
        <f>IF(K74&gt;0,F74/K74/W74*Conversion!$E$17,0)</f>
        <v>6179.3802721731354</v>
      </c>
      <c r="Y74" s="3">
        <f>IF(L74&gt;0,G74/L74/W74*Conversion!$E$17,0)</f>
        <v>0</v>
      </c>
      <c r="Z74" s="3">
        <f t="shared" si="16"/>
        <v>6179.3802721731354</v>
      </c>
      <c r="AA74" s="3">
        <f>(F74*T74)/365.26/Agriculture!$D$2</f>
        <v>14.863569233819009</v>
      </c>
      <c r="AB74" s="4">
        <f>SUM(X74:Y74)*Conversion!$F$18</f>
        <v>1.5269866590567034</v>
      </c>
      <c r="AC74">
        <f t="shared" si="13"/>
        <v>14.8</v>
      </c>
      <c r="AD74" s="4">
        <f t="shared" si="18"/>
        <v>22.599402554039212</v>
      </c>
    </row>
    <row r="75" spans="1:30" ht="18">
      <c r="A75" t="s">
        <v>467</v>
      </c>
      <c r="B75">
        <v>6</v>
      </c>
      <c r="C75">
        <v>1</v>
      </c>
      <c r="D75">
        <f t="shared" si="17"/>
        <v>3.9787961145802351</v>
      </c>
      <c r="F75" s="3">
        <f>IF(D75&gt;0,D75*Agriculture!$D$2+Agriculture!$E$16*E75,IF(E75&gt;0,0,Agriculture!$D$2*0.025))</f>
        <v>3935.0293573198524</v>
      </c>
      <c r="G75" s="3">
        <f>L75*1/Agriculture!$C$49*Agriculture!$E$16</f>
        <v>0</v>
      </c>
      <c r="J75">
        <v>10400</v>
      </c>
      <c r="K75" s="59">
        <f>IF(I75&gt;0,I75,J75/2000*Conversion!$D$22)</f>
        <v>11656.852012000001</v>
      </c>
      <c r="N75">
        <v>1</v>
      </c>
      <c r="O75" s="72"/>
      <c r="P75" s="72"/>
      <c r="Q75" s="72"/>
      <c r="R75" s="72">
        <v>98</v>
      </c>
      <c r="S75" s="72"/>
      <c r="T75" s="73">
        <f t="shared" si="14"/>
        <v>3920</v>
      </c>
      <c r="W75">
        <f t="shared" si="15"/>
        <v>1</v>
      </c>
      <c r="X75" s="3">
        <f>IF(K75&gt;0,F75/K75/W75*Conversion!$E$17,0)</f>
        <v>3375.7221531756477</v>
      </c>
      <c r="Y75" s="3">
        <f>IF(L75&gt;0,G75/L75/W75*Conversion!$E$17,0)</f>
        <v>0</v>
      </c>
      <c r="Z75" s="3">
        <f t="shared" si="16"/>
        <v>3375.7221531756477</v>
      </c>
      <c r="AA75" s="3">
        <f>(F75*T75)/365.26/Agriculture!$D$2</f>
        <v>42.700763207453655</v>
      </c>
      <c r="AB75" s="4">
        <f>SUM(X75:Y75)*Conversion!$F$18</f>
        <v>0.83417470127123428</v>
      </c>
      <c r="AC75">
        <f t="shared" si="13"/>
        <v>14.8</v>
      </c>
      <c r="AD75" s="4">
        <f t="shared" si="18"/>
        <v>12.345785578814269</v>
      </c>
    </row>
    <row r="76" spans="1:30" ht="18">
      <c r="A76" t="s">
        <v>435</v>
      </c>
      <c r="B76">
        <v>6</v>
      </c>
      <c r="C76">
        <v>0.1</v>
      </c>
      <c r="D76">
        <f t="shared" si="17"/>
        <v>0.39787961145802353</v>
      </c>
      <c r="F76" s="3">
        <f>IF(D76&gt;0,D76*Agriculture!$D$2+Agriculture!$E$16*E76,IF(E76&gt;0,0,Agriculture!$D$2*0.025))</f>
        <v>393.50293573198525</v>
      </c>
      <c r="G76" s="3">
        <f>L76*1/Agriculture!$C$49*Agriculture!$E$16</f>
        <v>0</v>
      </c>
      <c r="I76">
        <v>42368</v>
      </c>
      <c r="K76" s="59">
        <f>IF(I76&gt;0,I76,J76/2000*Conversion!$D$22)</f>
        <v>42368</v>
      </c>
      <c r="M76">
        <v>150</v>
      </c>
      <c r="O76" s="72">
        <v>1</v>
      </c>
      <c r="P76" s="72">
        <v>0.1</v>
      </c>
      <c r="Q76" s="72">
        <v>0</v>
      </c>
      <c r="R76" s="72">
        <v>6.5</v>
      </c>
      <c r="S76" s="72">
        <v>1270</v>
      </c>
      <c r="T76" s="73">
        <f t="shared" si="14"/>
        <v>309</v>
      </c>
      <c r="W76">
        <f t="shared" si="15"/>
        <v>2.4000000000000004</v>
      </c>
      <c r="X76" s="3">
        <f>IF(K76&gt;0,F76/K76/W76*Conversion!$E$17,0)</f>
        <v>38.698913461809347</v>
      </c>
      <c r="Y76" s="3">
        <f>IF(L76&gt;0,G76/L76/W76*Conversion!$E$17,0)</f>
        <v>0</v>
      </c>
      <c r="Z76" s="3">
        <f t="shared" si="16"/>
        <v>38.698913461809347</v>
      </c>
      <c r="AA76" s="3">
        <f>(F76*T76)/365.26/Agriculture!$D$2</f>
        <v>0.33659530181385661</v>
      </c>
      <c r="AB76" s="4">
        <f>SUM(X76:Y76)*Conversion!$F$18</f>
        <v>9.5628885055477064E-3</v>
      </c>
      <c r="AC76">
        <f t="shared" si="13"/>
        <v>14.8</v>
      </c>
      <c r="AD76" s="4">
        <f t="shared" si="18"/>
        <v>0.33967379971705458</v>
      </c>
    </row>
    <row r="77" spans="1:30" ht="18">
      <c r="A77" t="s">
        <v>482</v>
      </c>
      <c r="B77">
        <v>6</v>
      </c>
      <c r="C77">
        <v>0.1</v>
      </c>
      <c r="D77">
        <f t="shared" si="17"/>
        <v>0.39787961145802353</v>
      </c>
      <c r="F77" s="3">
        <f>IF(D77&gt;0,D77*Agriculture!$D$2+Agriculture!$E$16*E77,IF(E77&gt;0,0,Agriculture!$D$2*0.025))</f>
        <v>393.50293573198525</v>
      </c>
      <c r="G77" s="3">
        <f>L77*1/Agriculture!$C$49*Agriculture!$E$16</f>
        <v>0</v>
      </c>
      <c r="J77">
        <v>12000</v>
      </c>
      <c r="K77" s="59">
        <f>IF(I77&gt;0,I77,J77/2000*Conversion!$D$22)</f>
        <v>13450.21386</v>
      </c>
      <c r="O77" s="72"/>
      <c r="P77" s="72"/>
      <c r="Q77" s="72"/>
      <c r="R77" s="72"/>
      <c r="S77" s="72"/>
      <c r="T77" s="73">
        <f t="shared" si="14"/>
        <v>0</v>
      </c>
      <c r="W77">
        <f t="shared" si="15"/>
        <v>1</v>
      </c>
      <c r="X77" s="3">
        <f>IF(K77&gt;0,F77/K77/W77*Conversion!$E$17,0)</f>
        <v>292.56258660855616</v>
      </c>
      <c r="Y77" s="3">
        <f>IF(L77&gt;0,G77/L77/W77*Conversion!$E$17,0)</f>
        <v>0</v>
      </c>
      <c r="Z77" s="3">
        <f t="shared" si="16"/>
        <v>292.56258660855616</v>
      </c>
      <c r="AA77" s="3">
        <f>(F77*T77)/365.26/Agriculture!$D$2</f>
        <v>0</v>
      </c>
      <c r="AB77" s="4">
        <f>SUM(X77:Y77)*Conversion!$F$18</f>
        <v>7.2295140776840308E-2</v>
      </c>
      <c r="AC77">
        <f t="shared" si="13"/>
        <v>14.8</v>
      </c>
      <c r="AD77" s="4">
        <f t="shared" si="18"/>
        <v>1.0699680834972367</v>
      </c>
    </row>
    <row r="78" spans="1:30" ht="18">
      <c r="A78" t="s">
        <v>468</v>
      </c>
      <c r="B78">
        <v>6</v>
      </c>
      <c r="C78">
        <v>1</v>
      </c>
      <c r="D78">
        <f t="shared" si="17"/>
        <v>3.9787961145802351</v>
      </c>
      <c r="F78" s="3">
        <f>IF(D78&gt;0,D78*Agriculture!$D$2+Agriculture!$E$16*E78,IF(E78&gt;0,0,Agriculture!$D$2*0.025))</f>
        <v>3935.0293573198524</v>
      </c>
      <c r="G78" s="3">
        <f>L78*1/Agriculture!$C$49*Agriculture!$E$16</f>
        <v>0</v>
      </c>
      <c r="J78">
        <v>11000</v>
      </c>
      <c r="K78" s="59">
        <f>IF(I78&gt;0,I78,J78/2000*Conversion!$D$22)</f>
        <v>12329.362705000001</v>
      </c>
      <c r="M78">
        <v>150</v>
      </c>
      <c r="O78" s="72"/>
      <c r="P78" s="72"/>
      <c r="Q78" s="72"/>
      <c r="R78" s="72"/>
      <c r="S78" s="72"/>
      <c r="T78" s="73">
        <f t="shared" si="14"/>
        <v>0</v>
      </c>
      <c r="W78">
        <f t="shared" si="15"/>
        <v>2.4000000000000004</v>
      </c>
      <c r="X78" s="3">
        <f>IF(K78&gt;0,F78/K78/W78*Conversion!$E$17,0)</f>
        <v>1329.8299391298001</v>
      </c>
      <c r="Y78" s="3">
        <f>IF(L78&gt;0,G78/L78/W78*Conversion!$E$17,0)</f>
        <v>0</v>
      </c>
      <c r="Z78" s="3">
        <f t="shared" si="16"/>
        <v>1329.8299391298001</v>
      </c>
      <c r="AA78" s="3">
        <f>(F78*T78)/365.26/Agriculture!$D$2</f>
        <v>0</v>
      </c>
      <c r="AB78" s="4">
        <f>SUM(X78:Y78)*Conversion!$F$18</f>
        <v>0.32861427625836487</v>
      </c>
      <c r="AC78">
        <f t="shared" si="13"/>
        <v>14.8</v>
      </c>
      <c r="AD78" s="4">
        <f t="shared" si="18"/>
        <v>11.672379092697122</v>
      </c>
    </row>
    <row r="79" spans="1:30" ht="18">
      <c r="A79" t="s">
        <v>477</v>
      </c>
      <c r="B79">
        <v>6</v>
      </c>
      <c r="C79">
        <v>1</v>
      </c>
      <c r="D79">
        <f t="shared" si="17"/>
        <v>3.9787961145802351</v>
      </c>
      <c r="F79" s="3">
        <f>IF(D79&gt;0,D79*Agriculture!$D$2+Agriculture!$E$16*E79,IF(E79&gt;0,0,Agriculture!$D$2*0.025))</f>
        <v>3935.0293573198524</v>
      </c>
      <c r="G79" s="3">
        <f>L79*1/Agriculture!$C$49*Agriculture!$E$16</f>
        <v>0</v>
      </c>
      <c r="J79">
        <v>9700</v>
      </c>
      <c r="K79" s="59">
        <f>IF(I79&gt;0,I79,J79/2000*Conversion!$D$22)</f>
        <v>10872.256203499999</v>
      </c>
      <c r="O79" s="72"/>
      <c r="P79" s="72"/>
      <c r="Q79" s="72"/>
      <c r="R79" s="72"/>
      <c r="S79" s="72"/>
      <c r="T79" s="73">
        <f t="shared" si="14"/>
        <v>0</v>
      </c>
      <c r="W79">
        <f t="shared" si="15"/>
        <v>1</v>
      </c>
      <c r="X79" s="3">
        <f>IF(K79&gt;0,F79/K79/W79*Conversion!$E$17,0)</f>
        <v>3619.3309683532721</v>
      </c>
      <c r="Y79" s="3">
        <f>IF(L79&gt;0,G79/L79/W79*Conversion!$E$17,0)</f>
        <v>0</v>
      </c>
      <c r="Z79" s="3">
        <f t="shared" si="16"/>
        <v>3619.3309683532721</v>
      </c>
      <c r="AA79" s="3">
        <f>(F79*T79)/365.26/Agriculture!$D$2</f>
        <v>0</v>
      </c>
      <c r="AB79" s="4">
        <f>SUM(X79:Y79)*Conversion!$F$18</f>
        <v>0.89437287558977696</v>
      </c>
      <c r="AC79">
        <f t="shared" si="13"/>
        <v>14.8</v>
      </c>
      <c r="AD79" s="4">
        <f t="shared" si="18"/>
        <v>13.2367185587287</v>
      </c>
    </row>
    <row r="80" spans="1:30" ht="18">
      <c r="A80" t="s">
        <v>472</v>
      </c>
      <c r="B80">
        <v>6</v>
      </c>
      <c r="C80">
        <v>2</v>
      </c>
      <c r="D80">
        <f t="shared" si="17"/>
        <v>7.9575922291604702</v>
      </c>
      <c r="F80" s="3">
        <f>IF(D80&gt;0,D80*Agriculture!$D$2+Agriculture!$E$16*E80,IF(E80&gt;0,0,Agriculture!$D$2*0.025))</f>
        <v>7870.0587146397047</v>
      </c>
      <c r="G80" s="3">
        <f>L80*1/Agriculture!$C$49*Agriculture!$E$16</f>
        <v>0</v>
      </c>
      <c r="J80">
        <v>11000</v>
      </c>
      <c r="K80" s="59">
        <f>IF(I80&gt;0,I80,J80/2000*Conversion!$D$22)</f>
        <v>12329.362705000001</v>
      </c>
      <c r="M80">
        <v>150</v>
      </c>
      <c r="O80" s="72"/>
      <c r="P80" s="72"/>
      <c r="Q80" s="72"/>
      <c r="R80" s="72"/>
      <c r="S80" s="72"/>
      <c r="T80" s="73">
        <f t="shared" si="14"/>
        <v>0</v>
      </c>
      <c r="W80">
        <f t="shared" si="15"/>
        <v>2.4000000000000004</v>
      </c>
      <c r="X80" s="3">
        <f>IF(K80&gt;0,F80/K80/W80*Conversion!$E$17,0)</f>
        <v>2659.6598782596002</v>
      </c>
      <c r="Y80" s="3">
        <f>IF(L80&gt;0,G80/L80/W80*Conversion!$E$17,0)</f>
        <v>0</v>
      </c>
      <c r="Z80" s="3">
        <f t="shared" si="16"/>
        <v>2659.6598782596002</v>
      </c>
      <c r="AA80" s="3">
        <f>(F80*T80)/365.26/Agriculture!$D$2</f>
        <v>0</v>
      </c>
      <c r="AB80" s="4">
        <f>SUM(X80:Y80)*Conversion!$F$18</f>
        <v>0.65722855251672974</v>
      </c>
      <c r="AC80">
        <f t="shared" si="13"/>
        <v>14.8</v>
      </c>
      <c r="AD80" s="4">
        <f t="shared" si="18"/>
        <v>23.344758185394245</v>
      </c>
    </row>
    <row r="81" spans="1:30" ht="18">
      <c r="A81" t="s">
        <v>483</v>
      </c>
      <c r="B81">
        <v>6</v>
      </c>
      <c r="C81">
        <v>1</v>
      </c>
      <c r="D81">
        <f t="shared" si="17"/>
        <v>3.9787961145802351</v>
      </c>
      <c r="F81" s="3">
        <f>IF(D81&gt;0,D81*Agriculture!$D$2+Agriculture!$E$16*E81,IF(E81&gt;0,0,Agriculture!$D$2*0.025))</f>
        <v>3935.0293573198524</v>
      </c>
      <c r="G81" s="3">
        <f>L81*1/Agriculture!$C$49*Agriculture!$E$16</f>
        <v>0</v>
      </c>
      <c r="J81">
        <v>10300</v>
      </c>
      <c r="K81" s="59">
        <f>IF(I81&gt;0,I81,J81/2000*Conversion!$D$22)</f>
        <v>11544.766896500001</v>
      </c>
      <c r="M81">
        <v>150</v>
      </c>
      <c r="T81" s="73">
        <f t="shared" si="14"/>
        <v>0</v>
      </c>
      <c r="W81">
        <f t="shared" si="15"/>
        <v>2.4000000000000004</v>
      </c>
      <c r="X81" s="3">
        <f>IF(K81&gt;0,F81/K81/W81*Conversion!$E$17,0)</f>
        <v>1420.2067311094954</v>
      </c>
      <c r="Y81" s="3">
        <f>IF(L81&gt;0,G81/L81/W81*Conversion!$E$17,0)</f>
        <v>0</v>
      </c>
      <c r="Z81" s="3">
        <f t="shared" si="16"/>
        <v>1420.2067311094954</v>
      </c>
      <c r="AA81" s="3">
        <f>(F81*T81)/365.26/Agriculture!$D$2</f>
        <v>0</v>
      </c>
      <c r="AB81" s="4">
        <f>SUM(X81:Y81)*Conversion!$F$18</f>
        <v>0.3509472853244674</v>
      </c>
      <c r="AC81">
        <f t="shared" si="13"/>
        <v>14.8</v>
      </c>
      <c r="AD81" s="4">
        <f t="shared" si="18"/>
        <v>12.465647574725084</v>
      </c>
    </row>
    <row r="82" spans="1:30" ht="18">
      <c r="F82" s="3"/>
      <c r="G82" s="3"/>
      <c r="K82" s="59"/>
      <c r="O82" s="72"/>
      <c r="P82" s="72"/>
      <c r="Q82" s="72"/>
      <c r="R82" s="72"/>
      <c r="S82" s="72"/>
      <c r="T82" s="73"/>
      <c r="X82" s="3"/>
      <c r="Y82" s="3"/>
      <c r="Z82" s="3"/>
      <c r="AA82" s="3"/>
      <c r="AB82" s="4">
        <f>SUM(X82:Y82)*Conversion!$F$18</f>
        <v>0</v>
      </c>
      <c r="AC82">
        <f t="shared" si="13"/>
        <v>14.8</v>
      </c>
      <c r="AD82" s="4">
        <f t="shared" si="18"/>
        <v>0</v>
      </c>
    </row>
    <row r="83" spans="1:30" ht="18">
      <c r="A83" t="str">
        <f>Agriculture!B30</f>
        <v>Starchy Root</v>
      </c>
      <c r="B83">
        <f>COUNT(B84:B86)</f>
        <v>3</v>
      </c>
      <c r="C83">
        <f>SUM(C84:C86)</f>
        <v>2</v>
      </c>
      <c r="D83">
        <f>Agriculture!G30</f>
        <v>45.804518783542036</v>
      </c>
      <c r="F83" s="3"/>
      <c r="G83" s="3"/>
      <c r="K83" s="59"/>
      <c r="O83" s="72"/>
      <c r="P83" s="72"/>
      <c r="Q83" s="72"/>
      <c r="R83" s="72"/>
      <c r="S83" s="72"/>
      <c r="T83" s="73"/>
      <c r="X83" s="3"/>
      <c r="Y83" s="3"/>
      <c r="Z83" s="3"/>
      <c r="AA83" s="3"/>
      <c r="AB83" s="4">
        <f>SUM(X83:Y83)*Conversion!$F$18</f>
        <v>0</v>
      </c>
      <c r="AC83">
        <f t="shared" si="13"/>
        <v>14.8</v>
      </c>
      <c r="AD83" s="4">
        <f t="shared" si="18"/>
        <v>0</v>
      </c>
    </row>
    <row r="84" spans="1:30" ht="18">
      <c r="A84" t="s">
        <v>125</v>
      </c>
      <c r="B84">
        <v>7</v>
      </c>
      <c r="C84">
        <v>1</v>
      </c>
      <c r="D84">
        <f>$D$83*C84/$C$83</f>
        <v>22.902259391771018</v>
      </c>
      <c r="F84" s="3">
        <f>IF(D84&gt;0,D84*Agriculture!$D$2+Agriculture!$E$16*E84,IF(E84&gt;0,0,Agriculture!$D$2*0.025))</f>
        <v>22650.334538461539</v>
      </c>
      <c r="G84" s="3">
        <f>L84*1/Agriculture!$C$49*Agriculture!$E$16</f>
        <v>0</v>
      </c>
      <c r="H84" t="s">
        <v>452</v>
      </c>
      <c r="I84">
        <v>17268</v>
      </c>
      <c r="J84">
        <v>15200</v>
      </c>
      <c r="K84" s="59">
        <f>IF(I84&gt;0,I84,J84/2000*Conversion!$D$22)</f>
        <v>17268</v>
      </c>
      <c r="M84">
        <v>150</v>
      </c>
      <c r="O84" s="72">
        <v>2</v>
      </c>
      <c r="P84" s="72">
        <v>0.09</v>
      </c>
      <c r="Q84" s="72">
        <v>0</v>
      </c>
      <c r="R84" s="72">
        <v>17.47</v>
      </c>
      <c r="S84" s="72">
        <v>1318</v>
      </c>
      <c r="T84" s="73">
        <f>(O84*4+R84*4+P84*9+Q84*9)*10</f>
        <v>786.9</v>
      </c>
      <c r="U84">
        <v>0.5</v>
      </c>
      <c r="V84">
        <v>1</v>
      </c>
      <c r="W84">
        <f>IF(N84&gt;0,1,IF(M84&gt;0,FLOOR(365.26/M84,0.1),1))</f>
        <v>2.4000000000000004</v>
      </c>
      <c r="X84" s="3">
        <f>IF(K84&gt;0,F84/K84/W84*Conversion!$E$17,0)</f>
        <v>5465.3922811128332</v>
      </c>
      <c r="Y84" s="3">
        <f>IF(L84&gt;0,G84/L84/W84*Conversion!$E$17,0)</f>
        <v>0</v>
      </c>
      <c r="Z84" s="3">
        <f>(X84+Y84)*IF(U84&gt;0,U84,1)</f>
        <v>2732.6961405564166</v>
      </c>
      <c r="AA84" s="3">
        <f>(F84*T84)/365.26/Agriculture!$D$2</f>
        <v>49.339615384615385</v>
      </c>
      <c r="AB84" s="4">
        <f>SUM(X84:Y84)*Conversion!$F$18</f>
        <v>1.3505530865857922</v>
      </c>
      <c r="AC84">
        <f t="shared" si="13"/>
        <v>14.8</v>
      </c>
      <c r="AD84" s="4">
        <f t="shared" si="18"/>
        <v>47.971645635527345</v>
      </c>
    </row>
    <row r="85" spans="1:30" ht="18">
      <c r="A85" t="s">
        <v>430</v>
      </c>
      <c r="B85">
        <v>7</v>
      </c>
      <c r="C85">
        <v>1</v>
      </c>
      <c r="D85">
        <f t="shared" ref="D85:D86" si="19">$D$83*C85/$C$83</f>
        <v>22.902259391771018</v>
      </c>
      <c r="F85" s="3">
        <f>IF(D85&gt;0,D85*Agriculture!$D$2+Agriculture!$E$16*E85,IF(E85&gt;0,0,Agriculture!$D$2*0.025))</f>
        <v>22650.334538461539</v>
      </c>
      <c r="G85" s="3">
        <f>L85*1/Agriculture!$C$49*Agriculture!$E$16</f>
        <v>0</v>
      </c>
      <c r="H85" t="s">
        <v>452</v>
      </c>
      <c r="I85">
        <v>13467</v>
      </c>
      <c r="J85">
        <v>6000</v>
      </c>
      <c r="K85" s="59">
        <f>IF(I85&gt;0,I85,J85/2000*Conversion!$D$22)</f>
        <v>13467</v>
      </c>
      <c r="M85">
        <v>150</v>
      </c>
      <c r="O85" s="72">
        <v>1.57</v>
      </c>
      <c r="P85" s="72">
        <v>0.05</v>
      </c>
      <c r="Q85" s="72">
        <v>0</v>
      </c>
      <c r="R85" s="72">
        <v>20.12</v>
      </c>
      <c r="S85" s="72">
        <v>1140</v>
      </c>
      <c r="T85" s="73">
        <f>(O85*4+R85*4+P85*9+Q85*9)*10</f>
        <v>872.10000000000014</v>
      </c>
      <c r="W85">
        <f>IF(N85&gt;0,1,IF(M85&gt;0,FLOOR(365.26/M85,0.1),1))</f>
        <v>2.4000000000000004</v>
      </c>
      <c r="X85" s="3">
        <f>IF(K85&gt;0,F85/K85/W85*Conversion!$E$17,0)</f>
        <v>7007.974597925032</v>
      </c>
      <c r="Y85" s="3">
        <f>IF(L85&gt;0,G85/L85/W85*Conversion!$E$17,0)</f>
        <v>0</v>
      </c>
      <c r="Z85" s="3">
        <f>(X85+Y85)*IF(U85&gt;0,U85,1)</f>
        <v>7007.974597925032</v>
      </c>
      <c r="AA85" s="3">
        <f>(F85*T85)/365.26/Agriculture!$D$2</f>
        <v>54.681762075134174</v>
      </c>
      <c r="AB85" s="4">
        <f>SUM(X85:Y85)*Conversion!$F$18</f>
        <v>1.7317406028932545</v>
      </c>
      <c r="AC85">
        <f t="shared" si="13"/>
        <v>14.8</v>
      </c>
      <c r="AD85" s="4">
        <f t="shared" si="18"/>
        <v>61.511426214768413</v>
      </c>
    </row>
    <row r="86" spans="1:30" ht="18">
      <c r="A86" t="s">
        <v>434</v>
      </c>
      <c r="B86">
        <v>7</v>
      </c>
      <c r="C86">
        <v>0</v>
      </c>
      <c r="D86">
        <f t="shared" si="19"/>
        <v>0</v>
      </c>
      <c r="F86" s="3">
        <f>IF(D86&gt;0,D86*Agriculture!$D$2+Agriculture!$E$16*E86,IF(E86&gt;0,0,Agriculture!$D$2*0.025))</f>
        <v>24.725000000000001</v>
      </c>
      <c r="G86" s="3">
        <f>L86*1/Agriculture!$C$49*Agriculture!$E$16</f>
        <v>0</v>
      </c>
      <c r="I86">
        <v>10497</v>
      </c>
      <c r="K86" s="59">
        <f>IF(I86&gt;0,I86,J86/2000*Conversion!$D$22)</f>
        <v>10497</v>
      </c>
      <c r="M86">
        <v>150</v>
      </c>
      <c r="O86" s="72">
        <v>1.53</v>
      </c>
      <c r="P86" s="72">
        <v>0.17</v>
      </c>
      <c r="Q86" s="72">
        <v>0</v>
      </c>
      <c r="R86" s="72">
        <v>27.88</v>
      </c>
      <c r="S86" s="72">
        <v>1215</v>
      </c>
      <c r="T86" s="73">
        <f>(O86*4+R86*4+P86*9+Q86*9)*10</f>
        <v>1191.7</v>
      </c>
      <c r="W86">
        <f>IF(N86&gt;0,1,IF(M86&gt;0,FLOOR(365.26/M86,0.1),1))</f>
        <v>2.4000000000000004</v>
      </c>
      <c r="X86" s="3">
        <f>IF(K86&gt;0,F86/K86/W86*Conversion!$E$17,0)</f>
        <v>9.814312025658122</v>
      </c>
      <c r="Y86" s="3">
        <f>IF(L86&gt;0,G86/L86/W86*Conversion!$E$17,0)</f>
        <v>0</v>
      </c>
      <c r="Z86" s="3">
        <f>(X86+Y86)*IF(U86&gt;0,U86,1)</f>
        <v>9.814312025658122</v>
      </c>
      <c r="AA86" s="3">
        <f>(F86*T86)/365.26/Agriculture!$D$2</f>
        <v>8.1565186442534091E-2</v>
      </c>
      <c r="AB86" s="4">
        <f>SUM(X86:Y86)*Conversion!$F$18</f>
        <v>2.4252146446603782E-3</v>
      </c>
      <c r="AC86">
        <f t="shared" ref="AC86:AC119" si="20">1.5+9.4+3.9</f>
        <v>14.8</v>
      </c>
      <c r="AD86" s="4">
        <f t="shared" si="18"/>
        <v>8.6143624178336653E-2</v>
      </c>
    </row>
    <row r="87" spans="1:30" ht="18">
      <c r="F87" s="3"/>
      <c r="G87" s="3"/>
      <c r="K87" s="59"/>
      <c r="O87" s="72"/>
      <c r="P87" s="72"/>
      <c r="Q87" s="72"/>
      <c r="R87" s="72"/>
      <c r="S87" s="72"/>
      <c r="T87" s="73"/>
      <c r="X87" s="3"/>
      <c r="Y87" s="3"/>
      <c r="Z87" s="3"/>
      <c r="AA87" s="3"/>
      <c r="AB87" s="4">
        <f>SUM(X87:Y87)*Conversion!$F$18</f>
        <v>0</v>
      </c>
      <c r="AC87">
        <f t="shared" si="20"/>
        <v>14.8</v>
      </c>
      <c r="AD87" s="4">
        <f t="shared" si="18"/>
        <v>0</v>
      </c>
    </row>
    <row r="88" spans="1:30" ht="18">
      <c r="A88" t="str">
        <f>Agriculture!B31</f>
        <v>Pulses</v>
      </c>
      <c r="B88">
        <f>COUNT(B89:B98)</f>
        <v>10</v>
      </c>
      <c r="C88">
        <f>SUM(C89:C98)</f>
        <v>2.5</v>
      </c>
      <c r="D88">
        <f>Agriculture!G31</f>
        <v>19.390345679012345</v>
      </c>
      <c r="F88" s="3"/>
      <c r="G88" s="3"/>
      <c r="K88" s="59"/>
      <c r="O88" s="72"/>
      <c r="P88" s="72"/>
      <c r="Q88" s="72"/>
      <c r="R88" s="72"/>
      <c r="S88" s="72"/>
      <c r="T88" s="73"/>
      <c r="X88" s="3"/>
      <c r="Y88" s="3"/>
      <c r="Z88" s="3"/>
      <c r="AA88" s="3"/>
      <c r="AB88" s="4">
        <f>SUM(X88:Y88)*Conversion!$F$18</f>
        <v>0</v>
      </c>
      <c r="AC88">
        <f t="shared" si="20"/>
        <v>14.8</v>
      </c>
      <c r="AD88" s="4">
        <f t="shared" si="18"/>
        <v>0</v>
      </c>
    </row>
    <row r="89" spans="1:30" ht="18">
      <c r="A89" t="s">
        <v>487</v>
      </c>
      <c r="B89">
        <v>8</v>
      </c>
      <c r="C89">
        <v>1</v>
      </c>
      <c r="D89">
        <f>$D$88*C89/$C$88</f>
        <v>7.7561382716049376</v>
      </c>
      <c r="F89" s="3">
        <f>IF(D89&gt;0,D89*Agriculture!$D$2+Agriculture!$E$16*E89,IF(E89&gt;0,0,Agriculture!$D$2*0.025))</f>
        <v>7670.820750617283</v>
      </c>
      <c r="G89" s="3">
        <f>L89*1/Agriculture!$C$49*Agriculture!$E$16</f>
        <v>0</v>
      </c>
      <c r="H89" t="s">
        <v>452</v>
      </c>
      <c r="I89">
        <v>729</v>
      </c>
      <c r="K89" s="59">
        <f>IF(I89&gt;0,I89,J89/2000*Conversion!$D$22)</f>
        <v>729</v>
      </c>
      <c r="M89">
        <v>60</v>
      </c>
      <c r="O89" s="72">
        <v>22</v>
      </c>
      <c r="P89">
        <v>0.81</v>
      </c>
      <c r="R89" s="72">
        <v>57.45</v>
      </c>
      <c r="S89" s="72">
        <v>229</v>
      </c>
      <c r="T89" s="73">
        <f t="shared" ref="T89:T98" si="21">(O89*4+R89*4+P89*9+Q89*9)*10</f>
        <v>3250.9000000000005</v>
      </c>
      <c r="W89">
        <f t="shared" ref="W89:W98" si="22">IF(N89&gt;0,1,IF(M89&gt;0,FLOOR(365.26/M89,0.1),1))</f>
        <v>6</v>
      </c>
      <c r="X89" s="3">
        <f>IF(K89&gt;0,F89/K89/W89*Conversion!$E$17,0)</f>
        <v>17537.313101548432</v>
      </c>
      <c r="Y89" s="3">
        <f>IF(L89&gt;0,G89/L89/W89*Conversion!$E$17,0)</f>
        <v>0</v>
      </c>
      <c r="Z89" s="3">
        <f t="shared" ref="Z89:Z98" si="23">(X89+Y89)*IF(U89&gt;0,U89,1)</f>
        <v>17537.313101548432</v>
      </c>
      <c r="AA89" s="3">
        <f>(F89*T89)/365.26/Agriculture!$D$2</f>
        <v>69.031456790123471</v>
      </c>
      <c r="AB89" s="4">
        <f>SUM(X89:Y89)*Conversion!$F$18</f>
        <v>4.3336454405236324</v>
      </c>
      <c r="AC89">
        <f t="shared" ref="AC89:AC98" si="24">24.4+12+4.7+9.4+6</f>
        <v>56.5</v>
      </c>
      <c r="AD89" s="4">
        <f t="shared" si="18"/>
        <v>1469.1058043375115</v>
      </c>
    </row>
    <row r="90" spans="1:30" ht="18">
      <c r="A90" t="s">
        <v>484</v>
      </c>
      <c r="B90">
        <v>8</v>
      </c>
      <c r="C90">
        <v>0</v>
      </c>
      <c r="D90">
        <f t="shared" ref="D90:D98" si="25">$D$88*C90/$C$88</f>
        <v>0</v>
      </c>
      <c r="F90" s="3">
        <f>IF(D90&gt;0,D90*Agriculture!$D$2+Agriculture!$E$16*E90,IF(E90&gt;0,0,Agriculture!$D$2*0.025))</f>
        <v>24.725000000000001</v>
      </c>
      <c r="G90" s="3">
        <f>L90*1/Agriculture!$C$49*Agriculture!$E$16</f>
        <v>0</v>
      </c>
      <c r="J90">
        <v>1400</v>
      </c>
      <c r="K90" s="59">
        <f>IF(I90&gt;0,I90,J90/2000*Conversion!$D$22)</f>
        <v>1569.191617</v>
      </c>
      <c r="M90">
        <v>60</v>
      </c>
      <c r="O90" s="72"/>
      <c r="R90" s="72"/>
      <c r="S90" s="72"/>
      <c r="T90" s="73">
        <f t="shared" si="21"/>
        <v>0</v>
      </c>
      <c r="W90">
        <f t="shared" si="22"/>
        <v>6</v>
      </c>
      <c r="X90" s="3">
        <f>IF(K90&gt;0,F90/K90/W90*Conversion!$E$17,0)</f>
        <v>26.260867625660619</v>
      </c>
      <c r="Y90" s="3">
        <f>IF(L90&gt;0,G90/L90/W90*Conversion!$E$17,0)</f>
        <v>0</v>
      </c>
      <c r="Z90" s="3">
        <f t="shared" si="23"/>
        <v>26.260867625660619</v>
      </c>
      <c r="AA90" s="3">
        <f>(F90*T90)/365.26/Agriculture!$D$2</f>
        <v>0</v>
      </c>
      <c r="AB90" s="4">
        <f>SUM(X90:Y90)*Conversion!$F$18</f>
        <v>6.4893229989769954E-3</v>
      </c>
      <c r="AC90">
        <f t="shared" si="24"/>
        <v>56.5</v>
      </c>
      <c r="AD90" s="4">
        <f t="shared" si="18"/>
        <v>2.1998804966532011</v>
      </c>
    </row>
    <row r="91" spans="1:30" ht="18">
      <c r="A91" t="s">
        <v>485</v>
      </c>
      <c r="B91">
        <v>8</v>
      </c>
      <c r="D91">
        <f t="shared" si="25"/>
        <v>0</v>
      </c>
      <c r="F91" s="3">
        <f>IF(D91&gt;0,D91*Agriculture!$D$2+Agriculture!$E$16*E91,IF(E91&gt;0,0,Agriculture!$D$2*0.025))</f>
        <v>24.725000000000001</v>
      </c>
      <c r="G91" s="3">
        <f>L91*1/Agriculture!$C$49*Agriculture!$E$16</f>
        <v>0</v>
      </c>
      <c r="J91">
        <v>4600</v>
      </c>
      <c r="K91" s="59">
        <f>IF(I91&gt;0,I91,J91/2000*Conversion!$D$22)</f>
        <v>5155.9153129999995</v>
      </c>
      <c r="M91">
        <v>60</v>
      </c>
      <c r="O91" s="72"/>
      <c r="R91" s="72"/>
      <c r="S91" s="72"/>
      <c r="T91" s="73">
        <f t="shared" si="21"/>
        <v>0</v>
      </c>
      <c r="W91">
        <f t="shared" si="22"/>
        <v>6</v>
      </c>
      <c r="X91" s="3">
        <f>IF(K91&gt;0,F91/K91/W91*Conversion!$E$17,0)</f>
        <v>7.9924379730271458</v>
      </c>
      <c r="Y91" s="3">
        <f>IF(L91&gt;0,G91/L91/W91*Conversion!$E$17,0)</f>
        <v>0</v>
      </c>
      <c r="Z91" s="3">
        <f t="shared" si="23"/>
        <v>7.9924379730271458</v>
      </c>
      <c r="AA91" s="3">
        <f>(F91*T91)/365.26/Agriculture!$D$2</f>
        <v>0</v>
      </c>
      <c r="AB91" s="4">
        <f>SUM(X91:Y91)*Conversion!$F$18</f>
        <v>1.9750113475147379E-3</v>
      </c>
      <c r="AC91">
        <f t="shared" si="24"/>
        <v>56.5</v>
      </c>
      <c r="AD91" s="4">
        <f t="shared" si="18"/>
        <v>0.66952884680749614</v>
      </c>
    </row>
    <row r="92" spans="1:30" ht="18">
      <c r="A92" t="s">
        <v>486</v>
      </c>
      <c r="B92">
        <v>8</v>
      </c>
      <c r="C92">
        <v>0</v>
      </c>
      <c r="D92">
        <f t="shared" si="25"/>
        <v>0</v>
      </c>
      <c r="F92" s="3">
        <f>IF(D92&gt;0,D92*Agriculture!$D$2+Agriculture!$E$16*E92,IF(E92&gt;0,0,Agriculture!$D$2*0.025))</f>
        <v>24.725000000000001</v>
      </c>
      <c r="G92" s="3">
        <f>L92*1/Agriculture!$C$49*Agriculture!$E$16</f>
        <v>0</v>
      </c>
      <c r="H92" t="s">
        <v>452</v>
      </c>
      <c r="I92">
        <v>6918</v>
      </c>
      <c r="K92" s="59">
        <f>IF(I92&gt;0,I92,J92/2000*Conversion!$D$22)</f>
        <v>6918</v>
      </c>
      <c r="M92">
        <v>60</v>
      </c>
      <c r="O92" s="72">
        <v>1.83</v>
      </c>
      <c r="P92">
        <v>0.22</v>
      </c>
      <c r="R92" s="72">
        <v>6.97</v>
      </c>
      <c r="S92" s="72">
        <v>249</v>
      </c>
      <c r="T92" s="73">
        <f t="shared" si="21"/>
        <v>371.8</v>
      </c>
      <c r="W92">
        <f t="shared" si="22"/>
        <v>6</v>
      </c>
      <c r="X92" s="3">
        <f>IF(K92&gt;0,F92/K92/W92*Conversion!$E$17,0)</f>
        <v>5.9566830490507856</v>
      </c>
      <c r="Y92" s="3">
        <f>IF(L92&gt;0,G92/L92/W92*Conversion!$E$17,0)</f>
        <v>0</v>
      </c>
      <c r="Z92" s="3">
        <f t="shared" si="23"/>
        <v>5.9566830490507856</v>
      </c>
      <c r="AA92" s="3">
        <f>(F92*T92)/365.26/Agriculture!$D$2</f>
        <v>2.5447626348354603E-2</v>
      </c>
      <c r="AB92" s="4">
        <f>SUM(X92:Y92)*Conversion!$F$18</f>
        <v>1.4719559482509396E-3</v>
      </c>
      <c r="AC92">
        <f t="shared" si="24"/>
        <v>56.5</v>
      </c>
      <c r="AD92" s="4">
        <f t="shared" si="18"/>
        <v>0.49899306645706848</v>
      </c>
    </row>
    <row r="93" spans="1:30" ht="18">
      <c r="A93" t="s">
        <v>410</v>
      </c>
      <c r="B93">
        <v>8</v>
      </c>
      <c r="C93">
        <v>0.5</v>
      </c>
      <c r="D93">
        <f t="shared" si="25"/>
        <v>3.8780691358024688</v>
      </c>
      <c r="F93" s="3">
        <f>IF(D93&gt;0,D93*Agriculture!$D$2+Agriculture!$E$16*E93,IF(E93&gt;0,0,Agriculture!$D$2*0.025))</f>
        <v>3835.4103753086415</v>
      </c>
      <c r="G93" s="3">
        <f>L93*1/Agriculture!$C$49*Agriculture!$E$16</f>
        <v>0</v>
      </c>
      <c r="H93" t="s">
        <v>452</v>
      </c>
      <c r="I93" s="72">
        <v>944</v>
      </c>
      <c r="J93" s="72"/>
      <c r="K93" s="59">
        <f>IF(I93&gt;0,I93,J93/2000*Conversion!$D$22)</f>
        <v>944</v>
      </c>
      <c r="L93" s="72"/>
      <c r="M93" s="72"/>
      <c r="N93" s="72"/>
      <c r="O93" s="72">
        <v>25.8</v>
      </c>
      <c r="P93" s="72">
        <v>1.06</v>
      </c>
      <c r="Q93" s="72">
        <v>48.7</v>
      </c>
      <c r="R93" s="72">
        <v>60.08</v>
      </c>
      <c r="S93" s="72">
        <v>322</v>
      </c>
      <c r="T93" s="73">
        <f t="shared" si="21"/>
        <v>7913.6</v>
      </c>
      <c r="W93">
        <f t="shared" si="22"/>
        <v>1</v>
      </c>
      <c r="X93" s="3">
        <f>IF(K93&gt;0,F93/K93/W93*Conversion!$E$17,0)</f>
        <v>40629.347196066119</v>
      </c>
      <c r="Y93" s="3">
        <f>IF(L93&gt;0,G93/L93/W93*Conversion!$E$17,0)</f>
        <v>0</v>
      </c>
      <c r="Z93" s="3">
        <f t="shared" si="23"/>
        <v>40629.347196066119</v>
      </c>
      <c r="AA93" s="3">
        <f>(F93*T93)/365.26/Agriculture!$D$2</f>
        <v>84.020938271604948</v>
      </c>
      <c r="AB93" s="4">
        <f>SUM(X93:Y93)*Conversion!$F$18</f>
        <v>10.039917985619898</v>
      </c>
      <c r="AC93">
        <f t="shared" si="24"/>
        <v>56.5</v>
      </c>
      <c r="AD93" s="4">
        <f t="shared" si="18"/>
        <v>567.25536618752426</v>
      </c>
    </row>
    <row r="94" spans="1:30" ht="18">
      <c r="A94" t="s">
        <v>417</v>
      </c>
      <c r="B94">
        <v>8</v>
      </c>
      <c r="D94">
        <f t="shared" si="25"/>
        <v>0</v>
      </c>
      <c r="F94" s="3">
        <f>IF(D94&gt;0,D94*Agriculture!$D$2+Agriculture!$E$16*E94,IF(E94&gt;0,0,Agriculture!$D$2*0.025))</f>
        <v>24.725000000000001</v>
      </c>
      <c r="G94" s="3">
        <f>L94*1/Agriculture!$C$49*Agriculture!$E$16</f>
        <v>0</v>
      </c>
      <c r="H94" t="s">
        <v>452</v>
      </c>
      <c r="I94">
        <v>1658</v>
      </c>
      <c r="K94" s="59">
        <f>IF(I94&gt;0,I94,J94/2000*Conversion!$D$22)</f>
        <v>1658</v>
      </c>
      <c r="O94" s="72">
        <v>17.399999999999999</v>
      </c>
      <c r="P94" s="72">
        <v>1.3</v>
      </c>
      <c r="Q94" s="72">
        <v>0</v>
      </c>
      <c r="R94" s="72">
        <v>46.4</v>
      </c>
      <c r="S94" s="72">
        <v>428</v>
      </c>
      <c r="T94" s="73">
        <f t="shared" si="21"/>
        <v>2669</v>
      </c>
      <c r="W94">
        <f t="shared" si="22"/>
        <v>1</v>
      </c>
      <c r="X94" s="3">
        <f>IF(K94&gt;0,F94/K94/W94*Conversion!$E$17,0)</f>
        <v>149.1254523522316</v>
      </c>
      <c r="Y94" s="3">
        <f>IF(L94&gt;0,G94/L94/W94*Conversion!$E$17,0)</f>
        <v>0</v>
      </c>
      <c r="Z94" s="3">
        <f t="shared" si="23"/>
        <v>149.1254523522316</v>
      </c>
      <c r="AA94" s="3">
        <f>(F94*T94)/365.26/Agriculture!$D$2</f>
        <v>0.18267809231780105</v>
      </c>
      <c r="AB94" s="4">
        <f>SUM(X94:Y94)*Conversion!$F$18</f>
        <v>3.6850390530759947E-2</v>
      </c>
      <c r="AC94">
        <f t="shared" si="24"/>
        <v>56.5</v>
      </c>
      <c r="AD94" s="4">
        <f t="shared" si="18"/>
        <v>2.082047064987937</v>
      </c>
    </row>
    <row r="95" spans="1:30" ht="18">
      <c r="A95" t="s">
        <v>418</v>
      </c>
      <c r="B95">
        <v>8</v>
      </c>
      <c r="C95">
        <v>1</v>
      </c>
      <c r="D95">
        <f t="shared" si="25"/>
        <v>7.7561382716049376</v>
      </c>
      <c r="F95" s="3">
        <f>IF(D95&gt;0,D95*Agriculture!$D$2+Agriculture!$E$16*E95,IF(E95&gt;0,0,Agriculture!$D$2*0.025))</f>
        <v>7670.820750617283</v>
      </c>
      <c r="G95" s="3">
        <f>L95*1/Agriculture!$C$49*Agriculture!$E$16</f>
        <v>0</v>
      </c>
      <c r="H95" t="s">
        <v>452</v>
      </c>
      <c r="I95">
        <v>7388</v>
      </c>
      <c r="J95">
        <v>2200</v>
      </c>
      <c r="K95" s="59">
        <f>IF(I95&gt;0,I95,J95/2000*Conversion!$D$22)</f>
        <v>7388</v>
      </c>
      <c r="O95" s="72">
        <v>5.42</v>
      </c>
      <c r="P95" s="72">
        <v>0.4</v>
      </c>
      <c r="Q95" s="72">
        <v>0</v>
      </c>
      <c r="R95" s="72">
        <v>14.45</v>
      </c>
      <c r="S95" s="72">
        <v>593</v>
      </c>
      <c r="T95" s="73">
        <f t="shared" si="21"/>
        <v>830.79999999999984</v>
      </c>
      <c r="W95">
        <f t="shared" si="22"/>
        <v>1</v>
      </c>
      <c r="X95" s="3">
        <f>IF(K95&gt;0,F95/K95/W95*Conversion!$E$17,0)</f>
        <v>10382.810978095944</v>
      </c>
      <c r="Y95" s="3">
        <f>IF(L95&gt;0,G95/L95/W95*Conversion!$E$17,0)</f>
        <v>0</v>
      </c>
      <c r="Z95" s="3">
        <f t="shared" si="23"/>
        <v>10382.810978095944</v>
      </c>
      <c r="AA95" s="3">
        <f>(F95*T95)/365.26/Agriculture!$D$2</f>
        <v>17.641679012345676</v>
      </c>
      <c r="AB95" s="4">
        <f>SUM(X95:Y95)*Conversion!$F$18</f>
        <v>2.5656964207972885</v>
      </c>
      <c r="AC95">
        <f t="shared" si="24"/>
        <v>56.5</v>
      </c>
      <c r="AD95" s="4">
        <f t="shared" si="18"/>
        <v>144.96184777504681</v>
      </c>
    </row>
    <row r="96" spans="1:30" ht="18">
      <c r="A96" t="s">
        <v>438</v>
      </c>
      <c r="B96">
        <v>8</v>
      </c>
      <c r="D96">
        <f t="shared" si="25"/>
        <v>0</v>
      </c>
      <c r="F96" s="3">
        <f>IF(D96&gt;0,D96*Agriculture!$D$2+Agriculture!$E$16*E96,IF(E96&gt;0,0,Agriculture!$D$2*0.025))</f>
        <v>24.725000000000001</v>
      </c>
      <c r="G96" s="3">
        <f>L96*1/Agriculture!$C$49*Agriculture!$E$16</f>
        <v>0</v>
      </c>
      <c r="I96">
        <v>10000</v>
      </c>
      <c r="K96" s="59">
        <f>IF(I96&gt;0,I96,J96/2000*Conversion!$D$22)</f>
        <v>10000</v>
      </c>
      <c r="O96" s="72">
        <v>6.95</v>
      </c>
      <c r="P96" s="72">
        <v>0.87</v>
      </c>
      <c r="Q96" s="72">
        <v>0</v>
      </c>
      <c r="R96" s="72">
        <v>4.3099999999999996</v>
      </c>
      <c r="S96" s="72">
        <v>508</v>
      </c>
      <c r="T96" s="73">
        <f t="shared" si="21"/>
        <v>528.69999999999993</v>
      </c>
      <c r="W96">
        <f t="shared" si="22"/>
        <v>1</v>
      </c>
      <c r="X96" s="3">
        <f>IF(K96&gt;0,F96/K96/W96*Conversion!$E$17,0)</f>
        <v>24.725000000000001</v>
      </c>
      <c r="Y96" s="3">
        <f>IF(L96&gt;0,G96/L96/W96*Conversion!$E$17,0)</f>
        <v>0</v>
      </c>
      <c r="Z96" s="3">
        <f t="shared" si="23"/>
        <v>24.725000000000001</v>
      </c>
      <c r="AA96" s="3">
        <f>(F96*T96)/365.26/Agriculture!$D$2</f>
        <v>3.6186552045118545E-2</v>
      </c>
      <c r="AB96" s="4">
        <f>SUM(X96:Y96)*Conversion!$F$18</f>
        <v>6.1097947499999996E-3</v>
      </c>
      <c r="AC96">
        <f t="shared" si="24"/>
        <v>56.5</v>
      </c>
      <c r="AD96" s="4">
        <f t="shared" si="18"/>
        <v>0.345203403375</v>
      </c>
    </row>
    <row r="97" spans="1:30" ht="18">
      <c r="A97" t="s">
        <v>437</v>
      </c>
      <c r="B97">
        <v>8</v>
      </c>
      <c r="D97">
        <f t="shared" si="25"/>
        <v>0</v>
      </c>
      <c r="F97" s="3">
        <f>IF(D97&gt;0,D97*Agriculture!$D$2+Agriculture!$E$16*E97,IF(E97&gt;0,0,Agriculture!$D$2*0.025))</f>
        <v>24.725000000000001</v>
      </c>
      <c r="G97" s="3">
        <f>L97*1/Agriculture!$C$49*Agriculture!$E$16</f>
        <v>0</v>
      </c>
      <c r="I97">
        <v>729</v>
      </c>
      <c r="K97" s="59">
        <f>IF(I97&gt;0,I97,J97/2000*Conversion!$D$22)</f>
        <v>729</v>
      </c>
      <c r="O97" s="72">
        <v>29.65</v>
      </c>
      <c r="P97" s="72">
        <v>16.32</v>
      </c>
      <c r="Q97" s="72">
        <v>26.53</v>
      </c>
      <c r="R97" s="72">
        <v>41.71</v>
      </c>
      <c r="S97" s="72">
        <v>305</v>
      </c>
      <c r="T97" s="73">
        <f t="shared" si="21"/>
        <v>6710.9000000000005</v>
      </c>
      <c r="W97">
        <f t="shared" si="22"/>
        <v>1</v>
      </c>
      <c r="X97" s="3">
        <f>IF(K97&gt;0,F97/K97/W97*Conversion!$E$17,0)</f>
        <v>339.1632373113855</v>
      </c>
      <c r="Y97" s="3">
        <f>IF(L97&gt;0,G97/L97/W97*Conversion!$E$17,0)</f>
        <v>0</v>
      </c>
      <c r="Z97" s="3">
        <f t="shared" si="23"/>
        <v>339.1632373113855</v>
      </c>
      <c r="AA97" s="3">
        <f>(F97*T97)/365.26/Agriculture!$D$2</f>
        <v>0.459323495592181</v>
      </c>
      <c r="AB97" s="4">
        <f>SUM(X97:Y97)*Conversion!$F$18</f>
        <v>8.3810627572016461E-2</v>
      </c>
      <c r="AC97">
        <f t="shared" si="24"/>
        <v>56.5</v>
      </c>
      <c r="AD97" s="4">
        <f t="shared" si="18"/>
        <v>4.7353004578189299</v>
      </c>
    </row>
    <row r="98" spans="1:30" ht="18">
      <c r="A98" t="s">
        <v>439</v>
      </c>
      <c r="B98">
        <v>8</v>
      </c>
      <c r="D98">
        <f t="shared" si="25"/>
        <v>0</v>
      </c>
      <c r="F98" s="3">
        <f>IF(D98&gt;0,D98*Agriculture!$D$2+Agriculture!$E$16*E98,IF(E98&gt;0,0,Agriculture!$D$2*0.025))</f>
        <v>24.725000000000001</v>
      </c>
      <c r="G98" s="3">
        <f>L98*1/Agriculture!$C$49*Agriculture!$E$16</f>
        <v>0</v>
      </c>
      <c r="I98">
        <v>5000</v>
      </c>
      <c r="K98" s="59">
        <f>IF(I98&gt;0,I98,J98/2000*Conversion!$D$22)</f>
        <v>5000</v>
      </c>
      <c r="O98" s="72">
        <v>11.6</v>
      </c>
      <c r="P98" s="72">
        <v>0.9</v>
      </c>
      <c r="Q98" s="72">
        <v>0</v>
      </c>
      <c r="R98" s="72">
        <v>28.1</v>
      </c>
      <c r="S98" s="72">
        <v>807</v>
      </c>
      <c r="T98" s="73">
        <f t="shared" si="21"/>
        <v>1669</v>
      </c>
      <c r="W98">
        <f t="shared" si="22"/>
        <v>1</v>
      </c>
      <c r="X98" s="3">
        <f>IF(K98&gt;0,F98/K98/W98*Conversion!$E$17,0)</f>
        <v>49.45</v>
      </c>
      <c r="Y98" s="3">
        <f>IF(L98&gt;0,G98/L98/W98*Conversion!$E$17,0)</f>
        <v>0</v>
      </c>
      <c r="Z98" s="3">
        <f t="shared" si="23"/>
        <v>49.45</v>
      </c>
      <c r="AA98" s="3">
        <f>(F98*T98)/365.26/Agriculture!$D$2</f>
        <v>0.1142336965449269</v>
      </c>
      <c r="AB98" s="4">
        <f>SUM(X98:Y98)*Conversion!$F$18</f>
        <v>1.2219589499999999E-2</v>
      </c>
      <c r="AC98">
        <f t="shared" si="24"/>
        <v>56.5</v>
      </c>
      <c r="AD98" s="4">
        <f t="shared" si="18"/>
        <v>0.69040680674999999</v>
      </c>
    </row>
    <row r="99" spans="1:30" ht="18">
      <c r="F99" s="3"/>
      <c r="G99" s="3"/>
      <c r="K99" s="59"/>
      <c r="O99" s="72"/>
      <c r="P99" s="72"/>
      <c r="Q99" s="72"/>
      <c r="R99" s="72"/>
      <c r="S99" s="72"/>
      <c r="T99" s="73"/>
      <c r="X99" s="3"/>
      <c r="Y99" s="3"/>
      <c r="Z99" s="3"/>
      <c r="AA99" s="3"/>
      <c r="AB99" s="4">
        <f>SUM(X99:Y99)*Conversion!$F$18</f>
        <v>0</v>
      </c>
      <c r="AC99">
        <f t="shared" si="20"/>
        <v>14.8</v>
      </c>
      <c r="AD99" s="4">
        <f t="shared" si="18"/>
        <v>0</v>
      </c>
    </row>
    <row r="100" spans="1:30" ht="18">
      <c r="A100" t="str">
        <f>Agriculture!B32</f>
        <v>Cereals &amp; Grains</v>
      </c>
      <c r="B100">
        <f>COUNT(B101:B112)</f>
        <v>12</v>
      </c>
      <c r="C100">
        <f>SUM(C101:C112)</f>
        <v>6.5</v>
      </c>
      <c r="D100">
        <f>Agriculture!G32</f>
        <v>310.87394036970784</v>
      </c>
      <c r="F100" s="3"/>
      <c r="G100" s="3"/>
      <c r="K100" s="59"/>
      <c r="O100" s="72"/>
      <c r="P100" s="72"/>
      <c r="Q100" s="72"/>
      <c r="R100" s="72"/>
      <c r="S100" s="72"/>
      <c r="T100" s="73"/>
      <c r="X100" s="3"/>
      <c r="Y100" s="3"/>
      <c r="Z100" s="3"/>
      <c r="AA100" s="3"/>
      <c r="AB100" s="4">
        <f>SUM(X100:Y100)*Conversion!$F$18</f>
        <v>0</v>
      </c>
      <c r="AC100">
        <f t="shared" si="20"/>
        <v>14.8</v>
      </c>
      <c r="AD100" s="4">
        <f t="shared" si="18"/>
        <v>0</v>
      </c>
    </row>
    <row r="101" spans="1:30" ht="18">
      <c r="A101" t="s">
        <v>126</v>
      </c>
      <c r="B101">
        <v>9</v>
      </c>
      <c r="C101">
        <v>1</v>
      </c>
      <c r="D101">
        <f>$D$100*C101/$C$100</f>
        <v>47.826760056878129</v>
      </c>
      <c r="E101">
        <v>0.05</v>
      </c>
      <c r="F101" s="3">
        <f>IF(D101&gt;0,D101*Agriculture!$D$2+Agriculture!$E$16*E101,IF(E101&gt;0,0,Agriculture!$D$2*0.025))</f>
        <v>166751.88781557558</v>
      </c>
      <c r="G101" s="3">
        <f>L101*1/Agriculture!$C$49*Agriculture!$E$16</f>
        <v>71263.987072422853</v>
      </c>
      <c r="H101" t="s">
        <v>452</v>
      </c>
      <c r="I101">
        <v>2777</v>
      </c>
      <c r="K101" s="59">
        <f>IF(I101&gt;0,I101,J101/2000*Conversion!$D$22)</f>
        <v>2777</v>
      </c>
      <c r="L101">
        <f>I101</f>
        <v>2777</v>
      </c>
      <c r="O101" s="72">
        <v>12.48</v>
      </c>
      <c r="P101" s="72">
        <v>2.2999999999999998</v>
      </c>
      <c r="R101" s="72">
        <v>73.48</v>
      </c>
      <c r="S101" s="72">
        <v>982</v>
      </c>
      <c r="T101" s="73">
        <f t="shared" ref="T101:T112" si="26">(O101*4+R101*4+P101*9+Q101*9)*10</f>
        <v>3645.4</v>
      </c>
      <c r="U101">
        <v>1.5</v>
      </c>
      <c r="V101">
        <v>1</v>
      </c>
      <c r="W101">
        <f t="shared" ref="W101:W112" si="27">IF(N101&gt;0,1,IF(M101&gt;0,FLOOR(365.26/M101,0.1),1))</f>
        <v>1</v>
      </c>
      <c r="X101" s="3">
        <f>IF(K101&gt;0,F101/K101/W101*Conversion!$E$17,0)</f>
        <v>600474.92911622464</v>
      </c>
      <c r="Y101" s="3">
        <f>IF(L101&gt;0,G101/L101/W101*Conversion!$E$17,0)</f>
        <v>256622.20767887234</v>
      </c>
      <c r="Z101" s="3">
        <f t="shared" ref="Z101:Z112" si="28">(X101+Y101)*IF(U101&gt;0,U101,1)</f>
        <v>1285645.7051926455</v>
      </c>
      <c r="AA101" s="3">
        <f>(F101*T101)/365.26/Agriculture!$D$2</f>
        <v>1682.7420296062337</v>
      </c>
      <c r="AB101" s="4">
        <f>SUM(X101:Y101)*Conversion!$F$18</f>
        <v>211.79727347343641</v>
      </c>
      <c r="AC101">
        <f>24.4+11+4.7+9.4+6</f>
        <v>55.5</v>
      </c>
      <c r="AD101" s="4">
        <f t="shared" si="18"/>
        <v>11754.74867777572</v>
      </c>
    </row>
    <row r="102" spans="1:30" ht="18">
      <c r="A102" t="s">
        <v>411</v>
      </c>
      <c r="B102">
        <v>9</v>
      </c>
      <c r="C102">
        <v>1</v>
      </c>
      <c r="D102">
        <f t="shared" ref="D102:D112" si="29">$D$100*C102/$C$100</f>
        <v>47.826760056878129</v>
      </c>
      <c r="F102" s="3">
        <f>IF(D102&gt;0,D102*Agriculture!$D$2+Agriculture!$E$16*E102,IF(E102&gt;0,0,Agriculture!$D$2*0.025))</f>
        <v>47300.665696252472</v>
      </c>
      <c r="G102" s="3">
        <f>L102*1/Agriculture!$C$49*Agriculture!$E$16</f>
        <v>131108.28590313587</v>
      </c>
      <c r="H102" t="s">
        <v>452</v>
      </c>
      <c r="I102">
        <v>5109</v>
      </c>
      <c r="J102">
        <v>6200</v>
      </c>
      <c r="K102" s="59">
        <f>IF(I102&gt;0,I102,J102/2000*Conversion!$D$22)</f>
        <v>5109</v>
      </c>
      <c r="L102">
        <f>I102</f>
        <v>5109</v>
      </c>
      <c r="M102">
        <v>150</v>
      </c>
      <c r="O102" s="72">
        <v>8.1199999999999992</v>
      </c>
      <c r="P102" s="72">
        <v>3.59</v>
      </c>
      <c r="Q102" s="72">
        <v>45.6</v>
      </c>
      <c r="R102" s="72">
        <v>76.89</v>
      </c>
      <c r="S102" s="73">
        <v>1847</v>
      </c>
      <c r="T102" s="73">
        <f t="shared" si="26"/>
        <v>7827.5</v>
      </c>
      <c r="W102">
        <f t="shared" si="27"/>
        <v>2.4000000000000004</v>
      </c>
      <c r="X102" s="3">
        <f>IF(K102&gt;0,F102/K102/W102*Conversion!$E$17,0)</f>
        <v>38576.258968040442</v>
      </c>
      <c r="Y102" s="3">
        <f>IF(L102&gt;0,G102/L102/W102*Conversion!$E$17,0)</f>
        <v>106925.91986619678</v>
      </c>
      <c r="Z102" s="3">
        <f t="shared" si="28"/>
        <v>145502.17883423722</v>
      </c>
      <c r="AA102" s="3">
        <f>(F102*T102)/365.26/Agriculture!$D$2</f>
        <v>1024.9246135498372</v>
      </c>
      <c r="AB102" s="4">
        <f>SUM(X102:Y102)*Conversion!$F$18</f>
        <v>35.955043411728354</v>
      </c>
      <c r="AC102">
        <f>24.4+11+4.7+9.4+6</f>
        <v>55.5</v>
      </c>
      <c r="AD102" s="4">
        <f t="shared" si="18"/>
        <v>4789.2117824422176</v>
      </c>
    </row>
    <row r="103" spans="1:30" ht="18">
      <c r="A103" t="s">
        <v>413</v>
      </c>
      <c r="B103">
        <v>9</v>
      </c>
      <c r="C103">
        <v>0</v>
      </c>
      <c r="D103">
        <f t="shared" si="29"/>
        <v>0</v>
      </c>
      <c r="F103" s="3">
        <f>IF(D103&gt;0,D103*Agriculture!$D$2+Agriculture!$E$16*E103,IF(E103&gt;0,0,Agriculture!$D$2*0.025))</f>
        <v>24.725000000000001</v>
      </c>
      <c r="G103" s="3">
        <f>L103*1/Agriculture!$C$49*Agriculture!$E$16</f>
        <v>0</v>
      </c>
      <c r="H103" t="s">
        <v>452</v>
      </c>
      <c r="I103">
        <v>4309</v>
      </c>
      <c r="K103" s="59">
        <f>IF(I103&gt;0,I103,J103/2000*Conversion!$D$22)</f>
        <v>4309</v>
      </c>
      <c r="O103" s="72">
        <v>11</v>
      </c>
      <c r="P103" s="72">
        <v>0.66</v>
      </c>
      <c r="Q103" s="72">
        <v>0</v>
      </c>
      <c r="R103" s="72">
        <v>75</v>
      </c>
      <c r="S103" s="72">
        <v>1462</v>
      </c>
      <c r="T103" s="73">
        <f t="shared" si="26"/>
        <v>3499.4</v>
      </c>
      <c r="W103">
        <f t="shared" si="27"/>
        <v>1</v>
      </c>
      <c r="X103" s="3">
        <f>IF(K103&gt;0,F103/K103/W103*Conversion!$E$17,0)</f>
        <v>57.379902529589238</v>
      </c>
      <c r="Y103" s="3">
        <f>IF(L103&gt;0,G103/L103/W103*Conversion!$E$17,0)</f>
        <v>0</v>
      </c>
      <c r="Z103" s="3">
        <f t="shared" si="28"/>
        <v>57.379902529589238</v>
      </c>
      <c r="AA103" s="3">
        <f>(F103*T103)/365.26/Agriculture!$D$2</f>
        <v>0.23951431856759572</v>
      </c>
      <c r="AB103" s="4">
        <f>SUM(X103:Y103)*Conversion!$F$18</f>
        <v>1.4179147714086796E-2</v>
      </c>
      <c r="AC103">
        <f>46.7+18.2+17.6+6.7+24.4+10.5+9.4</f>
        <v>133.5</v>
      </c>
      <c r="AD103" s="4">
        <f t="shared" si="18"/>
        <v>1.8929162198305873</v>
      </c>
    </row>
    <row r="104" spans="1:30" ht="18">
      <c r="A104" t="s">
        <v>393</v>
      </c>
      <c r="B104">
        <v>9</v>
      </c>
      <c r="C104">
        <v>1</v>
      </c>
      <c r="D104">
        <f t="shared" si="29"/>
        <v>47.826760056878129</v>
      </c>
      <c r="F104" s="3">
        <f>IF(D104&gt;0,D104*Agriculture!$D$2+Agriculture!$E$16*E104,IF(E104&gt;0,0,Agriculture!$D$2*0.025))</f>
        <v>47300.665696252472</v>
      </c>
      <c r="G104" s="3">
        <f>L104*1/Agriculture!$C$49*Agriculture!$E$16</f>
        <v>175144.65674083034</v>
      </c>
      <c r="H104" t="s">
        <v>452</v>
      </c>
      <c r="I104">
        <v>2275</v>
      </c>
      <c r="K104" s="59">
        <f>IF(I104&gt;0,I104,J104/2000*Conversion!$D$22)</f>
        <v>2275</v>
      </c>
      <c r="L104">
        <f>I104*3</f>
        <v>6825</v>
      </c>
      <c r="O104" s="72">
        <v>16.89</v>
      </c>
      <c r="P104" s="72">
        <v>6.9</v>
      </c>
      <c r="Q104" s="72">
        <v>37</v>
      </c>
      <c r="R104" s="72">
        <v>66.27</v>
      </c>
      <c r="S104" s="72">
        <v>871</v>
      </c>
      <c r="T104" s="73">
        <f t="shared" si="26"/>
        <v>7277.4</v>
      </c>
      <c r="W104">
        <f t="shared" si="27"/>
        <v>1</v>
      </c>
      <c r="X104" s="3">
        <f>IF(K104&gt;0,F104/K104/W104*Conversion!$E$17,0)</f>
        <v>207915.01404946143</v>
      </c>
      <c r="Y104" s="3">
        <f>IF(L104&gt;0,G104/L104/W104*Conversion!$E$17,0)</f>
        <v>256622.20767887231</v>
      </c>
      <c r="Z104" s="3">
        <f t="shared" si="28"/>
        <v>464537.22172833374</v>
      </c>
      <c r="AA104" s="3">
        <f>(F104*T104)/365.26/Agriculture!$D$2</f>
        <v>952.89509838998219</v>
      </c>
      <c r="AB104" s="4">
        <f>SUM(X104:Y104)*Conversion!$F$18</f>
        <v>114.79179286128854</v>
      </c>
      <c r="AC104">
        <f t="shared" ref="AC104:AC112" si="30">24.4+11+4.7+9.4+6</f>
        <v>55.5</v>
      </c>
      <c r="AD104" s="4">
        <f t="shared" si="18"/>
        <v>6370.9445038015137</v>
      </c>
    </row>
    <row r="105" spans="1:30" ht="18">
      <c r="A105" t="s">
        <v>136</v>
      </c>
      <c r="B105">
        <v>9</v>
      </c>
      <c r="C105">
        <v>0</v>
      </c>
      <c r="D105">
        <f t="shared" si="29"/>
        <v>0</v>
      </c>
      <c r="F105" s="3">
        <f>IF(D105&gt;0,D105*Agriculture!$D$2+Agriculture!$E$16*E105,IF(E105&gt;0,0,Agriculture!$D$2*0.025))</f>
        <v>24.725000000000001</v>
      </c>
      <c r="G105" s="3">
        <f>L105*1/Agriculture!$C$49*Agriculture!$E$16</f>
        <v>0</v>
      </c>
      <c r="H105" t="s">
        <v>452</v>
      </c>
      <c r="I105">
        <v>770</v>
      </c>
      <c r="K105" s="59">
        <f>IF(I105&gt;0,I105,J105/2000*Conversion!$D$22)</f>
        <v>770</v>
      </c>
      <c r="O105" s="72">
        <v>14.12</v>
      </c>
      <c r="P105" s="72">
        <v>6.07</v>
      </c>
      <c r="Q105" s="72">
        <v>0</v>
      </c>
      <c r="R105" s="72">
        <v>64.16</v>
      </c>
      <c r="S105" s="72">
        <v>275</v>
      </c>
      <c r="T105" s="73">
        <f t="shared" si="26"/>
        <v>3677.5</v>
      </c>
      <c r="V105">
        <v>1</v>
      </c>
      <c r="W105">
        <f t="shared" si="27"/>
        <v>1</v>
      </c>
      <c r="X105" s="3">
        <f>IF(K105&gt;0,F105/K105/W105*Conversion!$E$17,0)</f>
        <v>321.10389610389609</v>
      </c>
      <c r="Y105" s="3">
        <f>IF(L105&gt;0,G105/L105/W105*Conversion!$E$17,0)</f>
        <v>0</v>
      </c>
      <c r="Z105" s="3">
        <f t="shared" si="28"/>
        <v>321.10389610389609</v>
      </c>
      <c r="AA105" s="3">
        <f>(F105*T105)/365.26/Agriculture!$D$2</f>
        <v>0.25170426545474456</v>
      </c>
      <c r="AB105" s="4">
        <f>SUM(X105:Y105)*Conversion!$F$18</f>
        <v>7.9347983766233754E-2</v>
      </c>
      <c r="AC105">
        <f t="shared" si="30"/>
        <v>55.5</v>
      </c>
      <c r="AD105" s="4">
        <f t="shared" si="18"/>
        <v>4.4038130990259736</v>
      </c>
    </row>
    <row r="106" spans="1:30" ht="18">
      <c r="A106" t="s">
        <v>421</v>
      </c>
      <c r="B106">
        <v>9</v>
      </c>
      <c r="C106">
        <v>1</v>
      </c>
      <c r="D106">
        <f t="shared" si="29"/>
        <v>47.826760056878129</v>
      </c>
      <c r="F106" s="3">
        <f>IF(D106&gt;0,D106*Agriculture!$D$2+Agriculture!$E$16*E106,IF(E106&gt;0,0,Agriculture!$D$2*0.025))</f>
        <v>47300.665696252472</v>
      </c>
      <c r="G106" s="3">
        <f>L106*1/Agriculture!$C$49*Agriculture!$E$16</f>
        <v>0</v>
      </c>
      <c r="H106" t="s">
        <v>452</v>
      </c>
      <c r="I106">
        <v>4309</v>
      </c>
      <c r="K106" s="59">
        <f>IF(I106&gt;0,I106,J106/2000*Conversion!$D$22)</f>
        <v>4309</v>
      </c>
      <c r="O106" s="72">
        <v>7.13</v>
      </c>
      <c r="P106" s="72">
        <v>0.66</v>
      </c>
      <c r="Q106" s="72">
        <v>0</v>
      </c>
      <c r="R106" s="72">
        <v>79.95</v>
      </c>
      <c r="S106" s="72">
        <v>1482</v>
      </c>
      <c r="T106" s="73">
        <f t="shared" si="26"/>
        <v>3542.6</v>
      </c>
      <c r="V106">
        <v>1</v>
      </c>
      <c r="W106">
        <f t="shared" si="27"/>
        <v>1</v>
      </c>
      <c r="X106" s="3">
        <f>IF(K106&gt;0,F106/K106/W106*Conversion!$E$17,0)</f>
        <v>109771.79321478875</v>
      </c>
      <c r="Y106" s="3">
        <f>IF(L106&gt;0,G106/L106/W106*Conversion!$E$17,0)</f>
        <v>0</v>
      </c>
      <c r="Z106" s="3">
        <f t="shared" si="28"/>
        <v>109771.79321478875</v>
      </c>
      <c r="AA106" s="3">
        <f>(F106*T106)/365.26/Agriculture!$D$2</f>
        <v>463.86431631576539</v>
      </c>
      <c r="AB106" s="4">
        <f>SUM(X106:Y106)*Conversion!$F$18</f>
        <v>27.125707821306445</v>
      </c>
      <c r="AC106">
        <f t="shared" si="30"/>
        <v>55.5</v>
      </c>
      <c r="AD106" s="4">
        <f t="shared" si="18"/>
        <v>1505.4767840825077</v>
      </c>
    </row>
    <row r="107" spans="1:30" ht="18">
      <c r="A107" t="s">
        <v>422</v>
      </c>
      <c r="B107">
        <v>9</v>
      </c>
      <c r="C107">
        <v>1</v>
      </c>
      <c r="D107">
        <f t="shared" si="29"/>
        <v>47.826760056878129</v>
      </c>
      <c r="F107" s="3">
        <f>IF(D107&gt;0,D107*Agriculture!$D$2+Agriculture!$E$16*E107,IF(E107&gt;0,0,Agriculture!$D$2*0.025))</f>
        <v>47300.665696252472</v>
      </c>
      <c r="G107" s="3">
        <f>L107*1/Agriculture!$C$49*Agriculture!$E$16</f>
        <v>0</v>
      </c>
      <c r="H107" t="s">
        <v>452</v>
      </c>
      <c r="I107">
        <v>2622</v>
      </c>
      <c r="K107" s="59">
        <f>IF(I107&gt;0,I107,J107/2000*Conversion!$D$22)</f>
        <v>2622</v>
      </c>
      <c r="O107" s="72">
        <v>10.34</v>
      </c>
      <c r="P107" s="72">
        <v>1.63</v>
      </c>
      <c r="Q107" s="72">
        <v>0</v>
      </c>
      <c r="R107" s="72">
        <v>75.86</v>
      </c>
      <c r="S107" s="72">
        <v>914</v>
      </c>
      <c r="T107" s="73">
        <f t="shared" si="26"/>
        <v>3594.7000000000003</v>
      </c>
      <c r="W107">
        <f t="shared" si="27"/>
        <v>1</v>
      </c>
      <c r="X107" s="3">
        <f>IF(K107&gt;0,F107/K107/W107*Conversion!$E$17,0)</f>
        <v>180399.18267068066</v>
      </c>
      <c r="Y107" s="3">
        <f>IF(L107&gt;0,G107/L107/W107*Conversion!$E$17,0)</f>
        <v>0</v>
      </c>
      <c r="Z107" s="3">
        <f t="shared" si="28"/>
        <v>180399.18267068066</v>
      </c>
      <c r="AA107" s="3">
        <f>(F107*T107)/365.26/Agriculture!$D$2</f>
        <v>470.68623549378481</v>
      </c>
      <c r="AB107" s="4">
        <f>SUM(X107:Y107)*Conversion!$F$18</f>
        <v>44.578442029751898</v>
      </c>
      <c r="AC107">
        <f t="shared" si="30"/>
        <v>55.5</v>
      </c>
      <c r="AD107" s="4">
        <f t="shared" si="18"/>
        <v>2474.1035326512301</v>
      </c>
    </row>
    <row r="108" spans="1:30" ht="18">
      <c r="A108" t="s">
        <v>427</v>
      </c>
      <c r="B108">
        <v>9</v>
      </c>
      <c r="C108">
        <v>0</v>
      </c>
      <c r="D108">
        <f t="shared" si="29"/>
        <v>0</v>
      </c>
      <c r="F108" s="3">
        <f>IF(D108&gt;0,D108*Agriculture!$D$2+Agriculture!$E$16*E108,IF(E108&gt;0,0,Agriculture!$D$2*0.025))</f>
        <v>24.725000000000001</v>
      </c>
      <c r="G108" s="3">
        <f>L108*1/Agriculture!$C$49*Agriculture!$E$16</f>
        <v>0</v>
      </c>
      <c r="H108" t="s">
        <v>452</v>
      </c>
      <c r="I108">
        <v>3379</v>
      </c>
      <c r="K108" s="59">
        <f>IF(I108&gt;0,I108,J108/2000*Conversion!$D$22)</f>
        <v>3379</v>
      </c>
      <c r="O108" s="72">
        <v>14.57</v>
      </c>
      <c r="P108" s="72">
        <v>2.4300000000000002</v>
      </c>
      <c r="Q108" s="72">
        <v>51.77</v>
      </c>
      <c r="R108" s="72">
        <v>70.19</v>
      </c>
      <c r="S108" s="72">
        <v>1182</v>
      </c>
      <c r="T108" s="73">
        <f t="shared" si="26"/>
        <v>8268.4</v>
      </c>
      <c r="W108">
        <f t="shared" si="27"/>
        <v>1</v>
      </c>
      <c r="X108" s="3">
        <f>IF(K108&gt;0,F108/K108/W108*Conversion!$E$17,0)</f>
        <v>73.172536253329397</v>
      </c>
      <c r="Y108" s="3">
        <f>IF(L108&gt;0,G108/L108/W108*Conversion!$E$17,0)</f>
        <v>0</v>
      </c>
      <c r="Z108" s="3">
        <f t="shared" si="28"/>
        <v>73.172536253329397</v>
      </c>
      <c r="AA108" s="3">
        <f>(F108*T108)/365.26/Agriculture!$D$2</f>
        <v>0.56592564200843232</v>
      </c>
      <c r="AB108" s="4">
        <f>SUM(X108:Y108)*Conversion!$F$18</f>
        <v>1.8081665433560226E-2</v>
      </c>
      <c r="AC108">
        <f t="shared" si="30"/>
        <v>55.5</v>
      </c>
      <c r="AD108" s="4">
        <f t="shared" si="18"/>
        <v>1.0035324315625926</v>
      </c>
    </row>
    <row r="109" spans="1:30" ht="18">
      <c r="A109" t="s">
        <v>431</v>
      </c>
      <c r="B109">
        <v>9</v>
      </c>
      <c r="C109">
        <v>0</v>
      </c>
      <c r="D109">
        <f t="shared" si="29"/>
        <v>0</v>
      </c>
      <c r="F109" s="3">
        <f>IF(D109&gt;0,D109*Agriculture!$D$2+Agriculture!$E$16*E109,IF(E109&gt;0,0,Agriculture!$D$2*0.025))</f>
        <v>24.725000000000001</v>
      </c>
      <c r="G109" s="3">
        <f>L109*1/Agriculture!$C$49*Agriculture!$E$16</f>
        <v>0</v>
      </c>
      <c r="H109" t="s">
        <v>452</v>
      </c>
      <c r="I109">
        <v>1700</v>
      </c>
      <c r="K109" s="59">
        <f>IF(I109&gt;0,I109,J109/2000*Conversion!$D$22)</f>
        <v>1700</v>
      </c>
      <c r="O109" s="72">
        <v>13.3</v>
      </c>
      <c r="P109" s="72">
        <v>2.38</v>
      </c>
      <c r="Q109" s="72">
        <v>45</v>
      </c>
      <c r="R109" s="72">
        <v>73.13</v>
      </c>
      <c r="S109" s="72">
        <v>605</v>
      </c>
      <c r="T109" s="73">
        <f t="shared" si="26"/>
        <v>7721.4</v>
      </c>
      <c r="W109">
        <f t="shared" si="27"/>
        <v>1</v>
      </c>
      <c r="X109" s="3">
        <f>IF(K109&gt;0,F109/K109/W109*Conversion!$E$17,0)</f>
        <v>145.44117647058823</v>
      </c>
      <c r="Y109" s="3">
        <f>IF(L109&gt;0,G109/L109/W109*Conversion!$E$17,0)</f>
        <v>0</v>
      </c>
      <c r="Z109" s="3">
        <f t="shared" si="28"/>
        <v>145.44117647058823</v>
      </c>
      <c r="AA109" s="3">
        <f>(F109*T109)/365.26/Agriculture!$D$2</f>
        <v>0.5284865575206702</v>
      </c>
      <c r="AB109" s="4">
        <f>SUM(X109:Y109)*Conversion!$F$18</f>
        <v>3.5939969117647054E-2</v>
      </c>
      <c r="AC109">
        <f t="shared" si="30"/>
        <v>55.5</v>
      </c>
      <c r="AD109" s="4">
        <f t="shared" si="18"/>
        <v>1.9946682860294116</v>
      </c>
    </row>
    <row r="110" spans="1:30" ht="18">
      <c r="A110" t="s">
        <v>432</v>
      </c>
      <c r="B110">
        <v>9</v>
      </c>
      <c r="C110">
        <v>0</v>
      </c>
      <c r="D110">
        <f t="shared" si="29"/>
        <v>0</v>
      </c>
      <c r="F110" s="3">
        <f>IF(D110&gt;0,D110*Agriculture!$D$2+Agriculture!$E$16*E110,IF(E110&gt;0,0,Agriculture!$D$2*0.025))</f>
        <v>24.725000000000001</v>
      </c>
      <c r="G110" s="3">
        <f>L110*1/Agriculture!$C$49*Agriculture!$E$16</f>
        <v>0</v>
      </c>
      <c r="H110" t="s">
        <v>452</v>
      </c>
      <c r="I110">
        <v>3602</v>
      </c>
      <c r="K110" s="59">
        <f>IF(I110&gt;0,I110,J110/2000*Conversion!$D$22)</f>
        <v>3602</v>
      </c>
      <c r="O110" s="72">
        <v>13.05</v>
      </c>
      <c r="P110" s="72">
        <v>2.09</v>
      </c>
      <c r="Q110" s="72">
        <v>43.68</v>
      </c>
      <c r="R110" s="72">
        <v>72.13</v>
      </c>
      <c r="S110" s="72">
        <v>1256</v>
      </c>
      <c r="T110" s="73">
        <f t="shared" si="26"/>
        <v>7526.5</v>
      </c>
      <c r="W110">
        <f t="shared" si="27"/>
        <v>1</v>
      </c>
      <c r="X110" s="3">
        <f>IF(K110&gt;0,F110/K110/W110*Conversion!$E$17,0)</f>
        <v>68.642420877290391</v>
      </c>
      <c r="Y110" s="3">
        <f>IF(L110&gt;0,G110/L110/W110*Conversion!$E$17,0)</f>
        <v>0</v>
      </c>
      <c r="Z110" s="3">
        <f t="shared" si="28"/>
        <v>68.642420877290391</v>
      </c>
      <c r="AA110" s="3">
        <f>(F110*T110)/365.26/Agriculture!$D$2</f>
        <v>0.51514674478453715</v>
      </c>
      <c r="AB110" s="4">
        <f>SUM(X110:Y110)*Conversion!$F$18</f>
        <v>1.6962228622987227E-2</v>
      </c>
      <c r="AC110">
        <f t="shared" si="30"/>
        <v>55.5</v>
      </c>
      <c r="AD110" s="4">
        <f t="shared" si="18"/>
        <v>0.94140368857579115</v>
      </c>
    </row>
    <row r="111" spans="1:30" ht="18">
      <c r="A111" t="s">
        <v>122</v>
      </c>
      <c r="B111">
        <v>9</v>
      </c>
      <c r="C111">
        <v>1</v>
      </c>
      <c r="D111">
        <f t="shared" si="29"/>
        <v>47.826760056878129</v>
      </c>
      <c r="F111" s="3">
        <f>IF(D111&gt;0,D111*Agriculture!$D$2+Agriculture!$E$16*E111,IF(E111&gt;0,0,Agriculture!$D$2*0.025))</f>
        <v>47300.665696252472</v>
      </c>
      <c r="G111" s="3">
        <f>L111*1/Agriculture!$C$49*Agriculture!$E$16</f>
        <v>0</v>
      </c>
      <c r="I111">
        <v>3086</v>
      </c>
      <c r="K111" s="59">
        <f>IF(I111&gt;0,I111,J111/2000*Conversion!$D$22)</f>
        <v>3086</v>
      </c>
      <c r="O111" s="72">
        <v>13.7</v>
      </c>
      <c r="P111" s="72">
        <v>1.87</v>
      </c>
      <c r="Q111" s="72">
        <v>0</v>
      </c>
      <c r="R111" s="72">
        <v>72.569999999999993</v>
      </c>
      <c r="S111" s="72">
        <v>1083</v>
      </c>
      <c r="T111" s="73">
        <f t="shared" si="26"/>
        <v>3619.0999999999995</v>
      </c>
      <c r="U111">
        <v>2.5</v>
      </c>
      <c r="V111">
        <v>1</v>
      </c>
      <c r="W111">
        <f t="shared" si="27"/>
        <v>1</v>
      </c>
      <c r="X111" s="3">
        <f>IF(K111&gt;0,F111/K111/W111*Conversion!$E$17,0)</f>
        <v>153275.00225616485</v>
      </c>
      <c r="Y111" s="3">
        <f>IF(L111&gt;0,G111/L111/W111*Conversion!$E$17,0)</f>
        <v>0</v>
      </c>
      <c r="Z111" s="3">
        <f t="shared" si="28"/>
        <v>383187.5056404121</v>
      </c>
      <c r="AA111" s="3">
        <f>(F111*T111)/365.26/Agriculture!$D$2</f>
        <v>473.88114581899913</v>
      </c>
      <c r="AB111" s="4">
        <f>SUM(X111:Y111)*Conversion!$F$18</f>
        <v>37.875785807520892</v>
      </c>
      <c r="AC111">
        <f t="shared" si="30"/>
        <v>55.5</v>
      </c>
      <c r="AD111" s="4">
        <f t="shared" si="18"/>
        <v>2102.1061123174095</v>
      </c>
    </row>
    <row r="112" spans="1:30" ht="18">
      <c r="A112" t="s">
        <v>433</v>
      </c>
      <c r="B112">
        <v>9</v>
      </c>
      <c r="C112">
        <v>0.5</v>
      </c>
      <c r="D112">
        <f t="shared" si="29"/>
        <v>23.913380028439065</v>
      </c>
      <c r="F112" s="3">
        <f>IF(D112&gt;0,D112*Agriculture!$D$2+Agriculture!$E$16*E112,IF(E112&gt;0,0,Agriculture!$D$2*0.025))</f>
        <v>23650.332848126236</v>
      </c>
      <c r="G112" s="3">
        <f>L112*1/Agriculture!$C$49*Agriculture!$E$16</f>
        <v>0</v>
      </c>
      <c r="I112">
        <v>600</v>
      </c>
      <c r="K112" s="59">
        <f>IF(I112&gt;0,I112,J112/2000*Conversion!$D$22)</f>
        <v>600</v>
      </c>
      <c r="O112" s="72">
        <v>14.73</v>
      </c>
      <c r="P112" s="72">
        <v>1.08</v>
      </c>
      <c r="Q112" s="72">
        <v>27.7</v>
      </c>
      <c r="R112" s="72">
        <v>74.900000000000006</v>
      </c>
      <c r="S112" s="72">
        <v>214</v>
      </c>
      <c r="T112" s="73">
        <f t="shared" si="26"/>
        <v>6175.4000000000005</v>
      </c>
      <c r="W112">
        <f t="shared" si="27"/>
        <v>1</v>
      </c>
      <c r="X112" s="3">
        <f>IF(K112&gt;0,F112/K112/W112*Conversion!$E$17,0)</f>
        <v>394172.21413543727</v>
      </c>
      <c r="Y112" s="3">
        <f>IF(L112&gt;0,G112/L112/W112*Conversion!$E$17,0)</f>
        <v>0</v>
      </c>
      <c r="Z112" s="3">
        <f t="shared" si="28"/>
        <v>394172.21413543727</v>
      </c>
      <c r="AA112" s="3">
        <f>(F112*T112)/365.26/Agriculture!$D$2</f>
        <v>404.3001889821569</v>
      </c>
      <c r="AB112" s="4">
        <f>SUM(X112:Y112)*Conversion!$F$18</f>
        <v>97.403895835007901</v>
      </c>
      <c r="AC112">
        <f t="shared" si="30"/>
        <v>55.5</v>
      </c>
      <c r="AD112" s="4">
        <f t="shared" si="18"/>
        <v>5405.9162188429382</v>
      </c>
    </row>
    <row r="113" spans="1:31" ht="18">
      <c r="F113" s="3"/>
      <c r="G113" s="3"/>
      <c r="K113" s="59"/>
      <c r="O113" s="72"/>
      <c r="P113" s="72"/>
      <c r="Q113" s="72"/>
      <c r="R113" s="72"/>
      <c r="S113" s="72"/>
      <c r="T113" s="73"/>
      <c r="X113" s="3"/>
      <c r="Y113" s="3"/>
      <c r="Z113" s="3"/>
      <c r="AA113" s="3"/>
      <c r="AB113" s="4">
        <f>SUM(X113:Y113)*Conversion!$F$18</f>
        <v>0</v>
      </c>
      <c r="AC113">
        <f t="shared" si="20"/>
        <v>14.8</v>
      </c>
      <c r="AD113" s="4">
        <f t="shared" si="18"/>
        <v>0</v>
      </c>
    </row>
    <row r="114" spans="1:31" ht="18">
      <c r="A114" t="str">
        <f>Agriculture!B34</f>
        <v>Protein - Vegetable</v>
      </c>
      <c r="B114">
        <f>COUNT(B115:B119)</f>
        <v>5</v>
      </c>
      <c r="C114">
        <f>SUM(C115:C119)</f>
        <v>4</v>
      </c>
      <c r="D114">
        <f>Agriculture!G34</f>
        <v>9.7099660633484177</v>
      </c>
      <c r="F114" s="3"/>
      <c r="G114" s="3"/>
      <c r="K114" s="59"/>
      <c r="O114" s="72"/>
      <c r="P114" s="72"/>
      <c r="Q114" s="72"/>
      <c r="R114" s="72"/>
      <c r="S114" s="72"/>
      <c r="T114" s="73"/>
      <c r="X114" s="3"/>
      <c r="Y114" s="3"/>
      <c r="Z114" s="3"/>
      <c r="AA114" s="3"/>
      <c r="AB114" s="4">
        <f>SUM(X114:Y114)*Conversion!$F$18</f>
        <v>0</v>
      </c>
      <c r="AC114">
        <f t="shared" si="20"/>
        <v>14.8</v>
      </c>
      <c r="AD114" s="4">
        <f t="shared" si="18"/>
        <v>0</v>
      </c>
    </row>
    <row r="115" spans="1:31" ht="18">
      <c r="A115" t="s">
        <v>134</v>
      </c>
      <c r="B115">
        <v>11</v>
      </c>
      <c r="C115">
        <v>1</v>
      </c>
      <c r="D115">
        <f>$D$114*C115/$C$114</f>
        <v>2.4274915158371044</v>
      </c>
      <c r="E115">
        <v>0.05</v>
      </c>
      <c r="F115" s="3">
        <f>IF(D115&gt;0,D115*Agriculture!$D$2+Agriculture!$E$16*E115,IF(E115&gt;0,0,Agriculture!$D$2*0.025))</f>
        <v>121852.01122848599</v>
      </c>
      <c r="G115" s="3">
        <f>L115*1/Agriculture!$C$49*Agriculture!$E$16</f>
        <v>79193.613289699992</v>
      </c>
      <c r="H115" t="s">
        <v>452</v>
      </c>
      <c r="I115">
        <v>3086</v>
      </c>
      <c r="K115" s="59">
        <f>IF(I115&gt;0,I115,J115/2000*Conversion!$D$22)</f>
        <v>3086</v>
      </c>
      <c r="L115">
        <f>I115</f>
        <v>3086</v>
      </c>
      <c r="O115" s="72">
        <v>13.56</v>
      </c>
      <c r="P115" s="72">
        <v>7.02</v>
      </c>
      <c r="Q115">
        <v>0</v>
      </c>
      <c r="R115" s="72">
        <v>65.25</v>
      </c>
      <c r="S115" s="73">
        <v>1133</v>
      </c>
      <c r="T115" s="73">
        <f>(O115*4+R115*4+P115*9+Q115*9)*10</f>
        <v>3784.2000000000003</v>
      </c>
      <c r="V115">
        <v>1</v>
      </c>
      <c r="W115">
        <f>IF(N115&gt;0,1,IF(M115&gt;0,FLOOR(365.26/M115,0.1),1))</f>
        <v>1</v>
      </c>
      <c r="X115" s="3">
        <f>IF(K115&gt;0,F115/K115/W115*Conversion!$E$17,0)</f>
        <v>394854.21655374597</v>
      </c>
      <c r="Y115" s="3">
        <f>IF(L115&gt;0,G115/L115/W115*Conversion!$E$17,0)</f>
        <v>256622.20767887231</v>
      </c>
      <c r="Z115" s="3">
        <f>(X115+Y115)*IF(U115&gt;0,U115,1)</f>
        <v>651476.4242326183</v>
      </c>
      <c r="AA115" s="3">
        <f>(F115*T115)/365.26/Agriculture!$D$2</f>
        <v>1276.4634294626776</v>
      </c>
      <c r="AB115" s="4">
        <f>SUM(X115:Y115)*Conversion!$F$18</f>
        <v>160.9863391921223</v>
      </c>
      <c r="AC115">
        <f t="shared" si="20"/>
        <v>14.8</v>
      </c>
      <c r="AD115" s="4">
        <f t="shared" si="18"/>
        <v>2382.5978200434101</v>
      </c>
    </row>
    <row r="116" spans="1:31" ht="18">
      <c r="A116" t="s">
        <v>132</v>
      </c>
      <c r="B116">
        <v>11</v>
      </c>
      <c r="C116">
        <v>1</v>
      </c>
      <c r="D116">
        <f t="shared" ref="D116:D119" si="31">$D$114*C116/$C$114</f>
        <v>2.4274915158371044</v>
      </c>
      <c r="F116" s="3">
        <f>IF(D116&gt;0,D116*Agriculture!$D$2+Agriculture!$E$16*E116,IF(E116&gt;0,0,Agriculture!$D$2*0.025))</f>
        <v>2400.7891091628962</v>
      </c>
      <c r="G116" s="3">
        <f>L116*1/Agriculture!$C$49*Agriculture!$E$16</f>
        <v>0</v>
      </c>
      <c r="H116" t="s">
        <v>452</v>
      </c>
      <c r="I116">
        <v>1554</v>
      </c>
      <c r="K116" s="59">
        <f>IF(I116&gt;0,I116,J116/2000*Conversion!$D$22)</f>
        <v>1554</v>
      </c>
      <c r="O116" s="72">
        <v>25.8</v>
      </c>
      <c r="P116" s="72">
        <v>49.24</v>
      </c>
      <c r="Q116" s="72">
        <v>31.6</v>
      </c>
      <c r="R116" s="72">
        <v>16.13</v>
      </c>
      <c r="S116" s="72">
        <v>923</v>
      </c>
      <c r="T116" s="73">
        <f>(O116*4+R116*4+P116*9+Q116*9)*10</f>
        <v>8952.7999999999993</v>
      </c>
      <c r="V116">
        <v>1</v>
      </c>
      <c r="W116">
        <f>IF(N116&gt;0,1,IF(M116&gt;0,FLOOR(365.26/M116,0.1),1))</f>
        <v>1</v>
      </c>
      <c r="X116" s="3">
        <f>IF(K116&gt;0,F116/K116/W116*Conversion!$E$17,0)</f>
        <v>15449.093366556603</v>
      </c>
      <c r="Y116" s="3">
        <f>IF(L116&gt;0,G116/L116/W116*Conversion!$E$17,0)</f>
        <v>0</v>
      </c>
      <c r="Z116" s="3">
        <f>(X116+Y116)*IF(U116&gt;0,U116,1)</f>
        <v>15449.093366556603</v>
      </c>
      <c r="AA116" s="3">
        <f>(F116*T116)/365.26/Agriculture!$D$2</f>
        <v>59.499660633484176</v>
      </c>
      <c r="AB116" s="4">
        <f>SUM(X116:Y116)*Conversion!$F$18</f>
        <v>3.817625461809802</v>
      </c>
      <c r="AC116">
        <f t="shared" si="20"/>
        <v>14.8</v>
      </c>
      <c r="AD116" s="4">
        <f t="shared" si="18"/>
        <v>56.500856834785075</v>
      </c>
    </row>
    <row r="117" spans="1:31" ht="18">
      <c r="A117" t="s">
        <v>423</v>
      </c>
      <c r="B117">
        <v>11</v>
      </c>
      <c r="D117">
        <f t="shared" si="31"/>
        <v>0</v>
      </c>
      <c r="F117" s="3">
        <f>IF(D117&gt;0,D117*Agriculture!$D$2+Agriculture!$E$16*E117,IF(E117&gt;0,0,Agriculture!$D$2*0.025))</f>
        <v>24.725000000000001</v>
      </c>
      <c r="G117" s="3">
        <f>L117*1/Agriculture!$C$49*Agriculture!$E$16</f>
        <v>0</v>
      </c>
      <c r="H117" t="s">
        <v>452</v>
      </c>
      <c r="I117">
        <v>4000</v>
      </c>
      <c r="K117" s="59">
        <f>IF(I117&gt;0,I117,J117/2000*Conversion!$D$22)</f>
        <v>4000</v>
      </c>
      <c r="O117" s="72">
        <v>28.5</v>
      </c>
      <c r="P117" s="72">
        <v>54.8</v>
      </c>
      <c r="Q117" s="72">
        <v>82</v>
      </c>
      <c r="R117" s="72">
        <v>17.7</v>
      </c>
      <c r="S117" s="72">
        <v>2638</v>
      </c>
      <c r="T117" s="73">
        <f>(O117*4+R117*4+P117*9+Q117*9)*10</f>
        <v>14160</v>
      </c>
      <c r="W117">
        <f>IF(N117&gt;0,1,IF(M117&gt;0,FLOOR(365.26/M117,0.1),1))</f>
        <v>1</v>
      </c>
      <c r="X117" s="3">
        <f>IF(K117&gt;0,F117/K117/W117*Conversion!$E$17,0)</f>
        <v>61.8125</v>
      </c>
      <c r="Y117" s="3">
        <f>IF(L117&gt;0,G117/L117/W117*Conversion!$E$17,0)</f>
        <v>0</v>
      </c>
      <c r="Z117" s="3">
        <f>(X117+Y117)*IF(U117&gt;0,U117,1)</f>
        <v>61.8125</v>
      </c>
      <c r="AA117" s="3">
        <f>(F117*T117)/365.26/Agriculture!$D$2</f>
        <v>0.96917264414389748</v>
      </c>
      <c r="AB117" s="4">
        <f>SUM(X117:Y117)*Conversion!$F$18</f>
        <v>1.5274486875E-2</v>
      </c>
      <c r="AC117">
        <f t="shared" si="20"/>
        <v>14.8</v>
      </c>
      <c r="AD117" s="4">
        <f t="shared" si="18"/>
        <v>0.22606240575</v>
      </c>
    </row>
    <row r="118" spans="1:31" ht="18">
      <c r="A118" t="s">
        <v>426</v>
      </c>
      <c r="B118">
        <v>11</v>
      </c>
      <c r="C118">
        <v>1</v>
      </c>
      <c r="D118">
        <f t="shared" si="31"/>
        <v>2.4274915158371044</v>
      </c>
      <c r="F118" s="3">
        <f>IF(D118&gt;0,D118*Agriculture!$D$2+Agriculture!$E$16*E118,IF(E118&gt;0,0,Agriculture!$D$2*0.025))</f>
        <v>2400.7891091628962</v>
      </c>
      <c r="G118" s="3">
        <f>L118*1/Agriculture!$C$49*Agriculture!$E$16</f>
        <v>0</v>
      </c>
      <c r="H118" t="s">
        <v>452</v>
      </c>
      <c r="I118">
        <v>1459</v>
      </c>
      <c r="K118" s="59">
        <f>IF(I118&gt;0,I118,J118/2000*Conversion!$D$22)</f>
        <v>1459</v>
      </c>
      <c r="O118" s="72">
        <v>11.3</v>
      </c>
      <c r="P118" s="72">
        <v>3.3</v>
      </c>
      <c r="Q118" s="72">
        <v>0</v>
      </c>
      <c r="R118" s="72">
        <v>74.63</v>
      </c>
      <c r="S118" s="72">
        <v>529</v>
      </c>
      <c r="T118" s="73">
        <f>(O118*4+R118*4+P118*9+Q118*9)*10</f>
        <v>3734.2</v>
      </c>
      <c r="W118">
        <f>IF(N118&gt;0,1,IF(M118&gt;0,FLOOR(365.26/M118,0.1),1))</f>
        <v>1</v>
      </c>
      <c r="X118" s="3">
        <f>IF(K118&gt;0,F118/K118/W118*Conversion!$E$17,0)</f>
        <v>16455.031591246719</v>
      </c>
      <c r="Y118" s="3">
        <f>IF(L118&gt;0,G118/L118/W118*Conversion!$E$17,0)</f>
        <v>0</v>
      </c>
      <c r="Z118" s="3">
        <f>(X118+Y118)*IF(U118&gt;0,U118,1)</f>
        <v>16455.031591246719</v>
      </c>
      <c r="AA118" s="3">
        <f>(F118*T118)/365.26/Agriculture!$D$2</f>
        <v>24.817222850678732</v>
      </c>
      <c r="AB118" s="4">
        <f>SUM(X118:Y118)*Conversion!$F$18</f>
        <v>4.0662028565129766</v>
      </c>
      <c r="AC118">
        <f>46.7+18.2+17.6+6.7+24.4+10.5+9.4</f>
        <v>133.5</v>
      </c>
      <c r="AD118" s="4">
        <f t="shared" si="18"/>
        <v>542.83808134448236</v>
      </c>
    </row>
    <row r="119" spans="1:31" ht="18">
      <c r="A119" t="s">
        <v>135</v>
      </c>
      <c r="B119">
        <v>11</v>
      </c>
      <c r="C119">
        <v>1</v>
      </c>
      <c r="D119">
        <f t="shared" si="31"/>
        <v>2.4274915158371044</v>
      </c>
      <c r="F119" s="3">
        <f>IF(D119&gt;0,D119*Agriculture!$D$2+Agriculture!$E$16*E119,IF(E119&gt;0,0,Agriculture!$D$2*0.025))</f>
        <v>2400.7891091628962</v>
      </c>
      <c r="G119" s="3">
        <f>L119*1/Agriculture!$C$49*Agriculture!$E$16</f>
        <v>0</v>
      </c>
      <c r="H119" t="s">
        <v>452</v>
      </c>
      <c r="I119">
        <v>2384</v>
      </c>
      <c r="K119" s="59">
        <f>IF(I119&gt;0,I119,J119/2000*Conversion!$D$22)</f>
        <v>2384</v>
      </c>
      <c r="O119" s="72">
        <v>36.49</v>
      </c>
      <c r="P119" s="72">
        <v>19.940000000000001</v>
      </c>
      <c r="Q119" s="72">
        <v>57</v>
      </c>
      <c r="R119" s="72">
        <v>30.16</v>
      </c>
      <c r="S119" s="72">
        <v>529</v>
      </c>
      <c r="T119" s="73">
        <f>(O119*4+R119*4+P119*9+Q119*9)*10</f>
        <v>9590.6</v>
      </c>
      <c r="V119">
        <v>1</v>
      </c>
      <c r="W119">
        <f>IF(N119&gt;0,1,IF(M119&gt;0,FLOOR(365.26/M119,0.1),1))</f>
        <v>1</v>
      </c>
      <c r="X119" s="3">
        <f>IF(K119&gt;0,F119/K119/W119*Conversion!$E$17,0)</f>
        <v>10070.424115616175</v>
      </c>
      <c r="Y119" s="3">
        <f>IF(L119&gt;0,G119/L119/W119*Conversion!$E$17,0)</f>
        <v>0</v>
      </c>
      <c r="Z119" s="3">
        <f>(X119+Y119)*IF(U119&gt;0,U119,1)</f>
        <v>10070.424115616175</v>
      </c>
      <c r="AA119" s="3">
        <f>(F119*T119)/365.26/Agriculture!$D$2</f>
        <v>63.738433257918565</v>
      </c>
      <c r="AB119" s="4">
        <f>SUM(X119:Y119)*Conversion!$F$18</f>
        <v>2.4885025032099128</v>
      </c>
      <c r="AC119">
        <f t="shared" si="20"/>
        <v>14.8</v>
      </c>
      <c r="AD119" s="4">
        <f t="shared" si="18"/>
        <v>36.829837047506714</v>
      </c>
    </row>
    <row r="120" spans="1:31" ht="18">
      <c r="H120" s="72"/>
      <c r="I120" s="72"/>
      <c r="J120" s="72"/>
      <c r="K120" s="72"/>
      <c r="L120" s="72"/>
      <c r="M120" s="72"/>
      <c r="N120" s="72"/>
      <c r="O120" s="72"/>
    </row>
    <row r="121" spans="1:31">
      <c r="A121" t="s">
        <v>289</v>
      </c>
    </row>
    <row r="122" spans="1:31">
      <c r="E122" s="3"/>
    </row>
    <row r="123" spans="1:31">
      <c r="A123" t="s">
        <v>328</v>
      </c>
      <c r="G123">
        <f>Cattle!D8</f>
        <v>2273524.344</v>
      </c>
    </row>
    <row r="124" spans="1:31">
      <c r="A124" t="s">
        <v>329</v>
      </c>
      <c r="Q124" s="3"/>
      <c r="R124" s="3"/>
    </row>
    <row r="125" spans="1:31">
      <c r="A125" t="s">
        <v>292</v>
      </c>
      <c r="D125">
        <v>0.7</v>
      </c>
      <c r="G125">
        <f>G123*D125</f>
        <v>1591467.0407999998</v>
      </c>
      <c r="Q125" s="3"/>
      <c r="R125" s="3"/>
    </row>
    <row r="126" spans="1:31">
      <c r="A126" t="s">
        <v>297</v>
      </c>
      <c r="G126" s="3">
        <f>IF((G127+G128)&lt;G125,(G125-(G127+G128))/I126,0)</f>
        <v>218.60139701086374</v>
      </c>
      <c r="I126">
        <f>3500*2</f>
        <v>7000</v>
      </c>
      <c r="O126">
        <v>0.5</v>
      </c>
      <c r="Q126" s="3">
        <f>S126*10000000*IF(O126&gt;0,O126,3)</f>
        <v>1561.4385500775982</v>
      </c>
      <c r="R126" s="3"/>
      <c r="S126">
        <f>G126/(I126*Conversion!$D$16)</f>
        <v>3.1228771001551965E-4</v>
      </c>
      <c r="V126">
        <v>1</v>
      </c>
      <c r="W126">
        <f>IF(N126&gt;0,1,IF(M126&gt;0,FLOOR(365.26/M126,0.1),1))</f>
        <v>1</v>
      </c>
      <c r="X126" s="3">
        <f>IF(K126&gt;0,H126/K126/W126*Conversion!$E$17,0)</f>
        <v>0</v>
      </c>
      <c r="Y126" s="3">
        <f>IF(L126&gt;0,I126/L126/W126*Conversion!$E$17,0)</f>
        <v>0</v>
      </c>
      <c r="Z126" s="3">
        <f>(X126+Y126)*IF(U126&gt;0,U126,1)</f>
        <v>0</v>
      </c>
      <c r="AA126" s="3">
        <f>(H126*T126)/365.26/Agriculture!$D$2</f>
        <v>0</v>
      </c>
      <c r="AB126" s="4">
        <f>SUM(X126:Y126)*Conversion!$F$18</f>
        <v>0</v>
      </c>
      <c r="AC126">
        <f t="shared" ref="AC126" si="32">1.5+9.4+3.9</f>
        <v>14.8</v>
      </c>
      <c r="AD126" s="4">
        <f t="shared" ref="AD126" si="33">W126*AB126*AC126</f>
        <v>0</v>
      </c>
      <c r="AE126" t="s">
        <v>294</v>
      </c>
    </row>
    <row r="127" spans="1:31">
      <c r="A127" t="s">
        <v>299</v>
      </c>
      <c r="G127" s="3">
        <f>J127*0.0001*I127</f>
        <v>8750</v>
      </c>
      <c r="I127">
        <v>3500</v>
      </c>
      <c r="J127">
        <f>Vehicle!B32</f>
        <v>25000</v>
      </c>
      <c r="O127">
        <v>0.5</v>
      </c>
      <c r="Q127" s="3"/>
      <c r="R127" s="3"/>
      <c r="S127" s="3"/>
    </row>
    <row r="128" spans="1:31">
      <c r="A128" t="s">
        <v>298</v>
      </c>
      <c r="G128" s="3">
        <f>J128*0.0001*I128*0.5</f>
        <v>52507.261723953663</v>
      </c>
      <c r="I128">
        <v>3500</v>
      </c>
      <c r="J128">
        <f>Vehicle!B35*0.75</f>
        <v>300041.49556544947</v>
      </c>
      <c r="O128">
        <v>0.5</v>
      </c>
      <c r="Q128" s="3"/>
      <c r="R128" s="3"/>
    </row>
    <row r="129" spans="1:31">
      <c r="A129" t="s">
        <v>290</v>
      </c>
      <c r="G129" s="3">
        <f>(D6+D14+D17)*Agriculture!D2</f>
        <v>41178.111333333334</v>
      </c>
      <c r="O129">
        <v>0.5</v>
      </c>
      <c r="Q129" s="3"/>
      <c r="R129" s="3"/>
      <c r="AE129" t="s">
        <v>293</v>
      </c>
    </row>
  </sheetData>
  <sortState ref="A17:AH119">
    <sortCondition ref="B17:B119"/>
    <sortCondition ref="A17:A119"/>
  </sortState>
  <pageMargins left="0.7" right="0.7" top="0.75" bottom="0.75" header="0.3" footer="0.3"/>
  <pageSetup orientation="portrait" horizontalDpi="0" verticalDpi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F9450-562D-2D40-BB76-707A09BB98FE}">
  <dimension ref="A1:P24"/>
  <sheetViews>
    <sheetView workbookViewId="0"/>
  </sheetViews>
  <sheetFormatPr baseColWidth="10" defaultRowHeight="16"/>
  <cols>
    <col min="1" max="1" width="18.6640625" bestFit="1" customWidth="1"/>
  </cols>
  <sheetData>
    <row r="1" spans="1:16">
      <c r="A1" t="s">
        <v>515</v>
      </c>
      <c r="B1" t="s">
        <v>529</v>
      </c>
    </row>
    <row r="2" spans="1:16">
      <c r="A2" t="s">
        <v>526</v>
      </c>
      <c r="B2" t="s">
        <v>500</v>
      </c>
    </row>
    <row r="3" spans="1:16">
      <c r="A3" t="s">
        <v>527</v>
      </c>
      <c r="B3" t="s">
        <v>528</v>
      </c>
    </row>
    <row r="4" spans="1:16">
      <c r="J4" s="7"/>
    </row>
    <row r="5" spans="1:16">
      <c r="B5" t="s">
        <v>520</v>
      </c>
      <c r="E5">
        <f>AVERAGE(E9:E14)</f>
        <v>3316.6666666666665</v>
      </c>
      <c r="G5">
        <f>AVERAGE(G9:G21)</f>
        <v>54.307692307692307</v>
      </c>
      <c r="H5">
        <f>AVERAGE(H9:H15)</f>
        <v>377.57142857142856</v>
      </c>
      <c r="I5">
        <f>AVERAGE(I9:I16)</f>
        <v>666.75</v>
      </c>
      <c r="J5">
        <f>AVERAGE(J9:J17)</f>
        <v>470</v>
      </c>
      <c r="K5">
        <f>AVERAGE(K9:K14)</f>
        <v>358.66666666666669</v>
      </c>
      <c r="L5">
        <f>AVERAGE(L9:L18)</f>
        <v>219.8</v>
      </c>
      <c r="M5">
        <f>AVERAGE(M9:M21)</f>
        <v>107.84615384615384</v>
      </c>
      <c r="N5">
        <f>AVERAGE(N9:N21)</f>
        <v>43</v>
      </c>
      <c r="O5">
        <f>AVERAGE(O9:O21)</f>
        <v>1097.9230769230769</v>
      </c>
      <c r="P5">
        <f>AVERAGE(P9:P16)</f>
        <v>157</v>
      </c>
    </row>
    <row r="6" spans="1:16">
      <c r="A6" t="s">
        <v>516</v>
      </c>
      <c r="C6" s="5">
        <v>28</v>
      </c>
      <c r="D6" s="7"/>
      <c r="E6" s="7"/>
      <c r="F6" s="7"/>
      <c r="J6">
        <v>8</v>
      </c>
    </row>
    <row r="7" spans="1:16">
      <c r="A7" t="s">
        <v>517</v>
      </c>
      <c r="C7" s="5"/>
      <c r="D7" s="7"/>
      <c r="E7" s="7"/>
      <c r="F7" s="7"/>
      <c r="G7" t="s">
        <v>550</v>
      </c>
      <c r="J7">
        <v>103</v>
      </c>
    </row>
    <row r="8" spans="1:16">
      <c r="C8" t="s">
        <v>531</v>
      </c>
      <c r="D8" t="s">
        <v>13</v>
      </c>
      <c r="E8" t="s">
        <v>543</v>
      </c>
      <c r="G8" s="76" t="s">
        <v>516</v>
      </c>
      <c r="H8" s="76" t="s">
        <v>517</v>
      </c>
      <c r="I8" s="76" t="s">
        <v>551</v>
      </c>
      <c r="J8" s="76" t="s">
        <v>552</v>
      </c>
      <c r="K8" s="76" t="s">
        <v>553</v>
      </c>
      <c r="L8" s="76" t="s">
        <v>554</v>
      </c>
      <c r="M8" s="76" t="s">
        <v>555</v>
      </c>
      <c r="N8" s="76" t="s">
        <v>556</v>
      </c>
      <c r="O8" s="76" t="s">
        <v>557</v>
      </c>
      <c r="P8" s="76" t="s">
        <v>558</v>
      </c>
    </row>
    <row r="9" spans="1:16">
      <c r="A9" s="5" t="s">
        <v>518</v>
      </c>
      <c r="B9" s="5">
        <v>84.74</v>
      </c>
      <c r="C9" t="s">
        <v>538</v>
      </c>
      <c r="D9">
        <v>2013</v>
      </c>
      <c r="E9">
        <f t="shared" ref="E9:E21" si="0">SUM(G9:P9)</f>
        <v>2726</v>
      </c>
      <c r="F9" s="5" t="str">
        <f t="shared" ref="F9:F21" si="1">A9</f>
        <v>Japan</v>
      </c>
      <c r="G9">
        <v>49</v>
      </c>
      <c r="H9">
        <v>254</v>
      </c>
      <c r="I9">
        <v>506</v>
      </c>
      <c r="J9">
        <v>318</v>
      </c>
      <c r="K9">
        <v>189</v>
      </c>
      <c r="L9">
        <v>124</v>
      </c>
      <c r="M9">
        <v>60</v>
      </c>
      <c r="N9">
        <v>13</v>
      </c>
      <c r="O9">
        <v>1082</v>
      </c>
      <c r="P9">
        <v>131</v>
      </c>
    </row>
    <row r="10" spans="1:16">
      <c r="A10" s="7" t="s">
        <v>519</v>
      </c>
      <c r="B10" s="7">
        <v>82.97</v>
      </c>
      <c r="C10" t="s">
        <v>533</v>
      </c>
      <c r="D10">
        <v>2013</v>
      </c>
      <c r="E10">
        <f t="shared" si="0"/>
        <v>3380</v>
      </c>
      <c r="F10" s="5" t="str">
        <f t="shared" si="1"/>
        <v>Iceland</v>
      </c>
      <c r="G10">
        <v>120</v>
      </c>
      <c r="H10">
        <v>434</v>
      </c>
      <c r="I10">
        <v>457</v>
      </c>
      <c r="J10">
        <v>710</v>
      </c>
      <c r="K10">
        <v>573</v>
      </c>
      <c r="L10">
        <v>196</v>
      </c>
      <c r="M10">
        <v>54</v>
      </c>
      <c r="N10">
        <v>7</v>
      </c>
      <c r="O10">
        <v>698</v>
      </c>
      <c r="P10">
        <v>131</v>
      </c>
    </row>
    <row r="11" spans="1:16" ht="17">
      <c r="A11" s="7" t="s">
        <v>544</v>
      </c>
      <c r="B11" s="75">
        <v>82.15</v>
      </c>
      <c r="C11" t="s">
        <v>545</v>
      </c>
      <c r="D11">
        <v>2013</v>
      </c>
      <c r="E11">
        <f t="shared" si="0"/>
        <v>3276</v>
      </c>
      <c r="F11" s="5" t="str">
        <f t="shared" si="1"/>
        <v>Australia</v>
      </c>
      <c r="G11">
        <v>68</v>
      </c>
      <c r="H11">
        <v>384</v>
      </c>
      <c r="I11">
        <v>774</v>
      </c>
      <c r="J11">
        <v>517</v>
      </c>
      <c r="K11">
        <v>371</v>
      </c>
      <c r="L11">
        <v>183</v>
      </c>
      <c r="M11">
        <v>90</v>
      </c>
      <c r="N11">
        <v>12</v>
      </c>
      <c r="O11">
        <v>741</v>
      </c>
      <c r="P11">
        <v>136</v>
      </c>
    </row>
    <row r="12" spans="1:16">
      <c r="A12" s="7" t="s">
        <v>521</v>
      </c>
      <c r="B12" s="7">
        <v>81.760000000000005</v>
      </c>
      <c r="C12" t="s">
        <v>532</v>
      </c>
      <c r="D12">
        <v>2013</v>
      </c>
      <c r="E12">
        <f t="shared" si="0"/>
        <v>3494</v>
      </c>
      <c r="F12" s="5" t="str">
        <f t="shared" si="1"/>
        <v>Canada</v>
      </c>
      <c r="G12">
        <v>45</v>
      </c>
      <c r="H12">
        <v>434</v>
      </c>
      <c r="I12">
        <v>919</v>
      </c>
      <c r="J12">
        <v>390</v>
      </c>
      <c r="K12">
        <v>242</v>
      </c>
      <c r="L12">
        <v>214</v>
      </c>
      <c r="M12">
        <v>120</v>
      </c>
      <c r="N12">
        <v>115</v>
      </c>
      <c r="O12">
        <v>909</v>
      </c>
      <c r="P12">
        <v>106</v>
      </c>
    </row>
    <row r="13" spans="1:16" ht="17">
      <c r="A13" s="7" t="s">
        <v>535</v>
      </c>
      <c r="B13" s="75">
        <v>80.680000000000007</v>
      </c>
      <c r="C13" t="s">
        <v>536</v>
      </c>
      <c r="D13">
        <v>2013</v>
      </c>
      <c r="E13">
        <f t="shared" si="0"/>
        <v>3600</v>
      </c>
      <c r="F13" s="5" t="str">
        <f t="shared" si="1"/>
        <v>Ireland</v>
      </c>
      <c r="G13">
        <v>48</v>
      </c>
      <c r="H13">
        <v>395</v>
      </c>
      <c r="I13">
        <v>551</v>
      </c>
      <c r="J13">
        <v>439</v>
      </c>
      <c r="K13">
        <v>393</v>
      </c>
      <c r="L13">
        <v>211</v>
      </c>
      <c r="M13">
        <v>154</v>
      </c>
      <c r="N13">
        <v>31</v>
      </c>
      <c r="O13">
        <v>1073</v>
      </c>
      <c r="P13">
        <v>305</v>
      </c>
    </row>
    <row r="14" spans="1:16" ht="17">
      <c r="A14" s="7" t="s">
        <v>546</v>
      </c>
      <c r="B14" s="75">
        <v>80.540000000000006</v>
      </c>
      <c r="C14" t="s">
        <v>547</v>
      </c>
      <c r="D14">
        <v>2013</v>
      </c>
      <c r="E14">
        <f t="shared" si="0"/>
        <v>3424</v>
      </c>
      <c r="F14" s="5" t="str">
        <f t="shared" si="1"/>
        <v>United Kingdom</v>
      </c>
      <c r="G14">
        <v>93</v>
      </c>
      <c r="H14">
        <v>394</v>
      </c>
      <c r="I14">
        <v>609</v>
      </c>
      <c r="J14">
        <v>476</v>
      </c>
      <c r="K14">
        <v>384</v>
      </c>
      <c r="L14">
        <v>212</v>
      </c>
      <c r="M14">
        <v>181</v>
      </c>
      <c r="N14">
        <v>32</v>
      </c>
      <c r="O14">
        <v>890</v>
      </c>
      <c r="P14">
        <v>153</v>
      </c>
    </row>
    <row r="15" spans="1:16" ht="17">
      <c r="A15" s="7" t="s">
        <v>548</v>
      </c>
      <c r="B15" s="75">
        <v>80.040000000000006</v>
      </c>
      <c r="C15" t="s">
        <v>549</v>
      </c>
      <c r="D15">
        <v>2013</v>
      </c>
      <c r="E15">
        <f t="shared" si="0"/>
        <v>3334</v>
      </c>
      <c r="F15" s="5" t="str">
        <f t="shared" si="1"/>
        <v>South Korea</v>
      </c>
      <c r="G15">
        <v>47</v>
      </c>
      <c r="H15">
        <v>348</v>
      </c>
      <c r="I15">
        <v>628</v>
      </c>
      <c r="J15">
        <v>388</v>
      </c>
      <c r="K15" s="80">
        <v>85</v>
      </c>
      <c r="L15">
        <v>245</v>
      </c>
      <c r="M15">
        <v>40</v>
      </c>
      <c r="N15">
        <v>12</v>
      </c>
      <c r="O15">
        <v>1406</v>
      </c>
      <c r="P15">
        <v>135</v>
      </c>
    </row>
    <row r="16" spans="1:16">
      <c r="A16" s="7" t="s">
        <v>499</v>
      </c>
      <c r="B16" s="7">
        <v>79.959999999999994</v>
      </c>
      <c r="C16" t="s">
        <v>542</v>
      </c>
      <c r="D16">
        <v>2013</v>
      </c>
      <c r="E16">
        <f t="shared" si="0"/>
        <v>3682</v>
      </c>
      <c r="F16" s="5" t="str">
        <f t="shared" si="1"/>
        <v>United States</v>
      </c>
      <c r="G16">
        <v>30</v>
      </c>
      <c r="H16" s="79">
        <v>600</v>
      </c>
      <c r="I16">
        <v>890</v>
      </c>
      <c r="J16">
        <v>459</v>
      </c>
      <c r="K16">
        <v>424</v>
      </c>
      <c r="L16">
        <v>188</v>
      </c>
      <c r="M16">
        <v>92</v>
      </c>
      <c r="N16">
        <v>39</v>
      </c>
      <c r="O16">
        <v>801</v>
      </c>
      <c r="P16">
        <v>159</v>
      </c>
    </row>
    <row r="17" spans="1:16" ht="17">
      <c r="A17" s="7" t="s">
        <v>523</v>
      </c>
      <c r="B17" s="75">
        <v>75.41</v>
      </c>
      <c r="C17" t="s">
        <v>539</v>
      </c>
      <c r="D17">
        <v>2013</v>
      </c>
      <c r="E17">
        <f t="shared" si="0"/>
        <v>3108</v>
      </c>
      <c r="F17" s="5" t="str">
        <f t="shared" si="1"/>
        <v>China</v>
      </c>
      <c r="G17">
        <v>25</v>
      </c>
      <c r="H17" s="80">
        <v>71</v>
      </c>
      <c r="I17" s="80">
        <v>334</v>
      </c>
      <c r="J17">
        <v>533</v>
      </c>
      <c r="K17" s="80">
        <v>134</v>
      </c>
      <c r="L17">
        <v>335</v>
      </c>
      <c r="M17">
        <v>152</v>
      </c>
      <c r="N17">
        <v>12</v>
      </c>
      <c r="O17">
        <v>1417</v>
      </c>
      <c r="P17" s="80">
        <v>95</v>
      </c>
    </row>
    <row r="18" spans="1:16" ht="17">
      <c r="A18" s="7" t="s">
        <v>537</v>
      </c>
      <c r="B18" s="75">
        <v>75.05</v>
      </c>
      <c r="C18" t="s">
        <v>541</v>
      </c>
      <c r="D18">
        <v>2013</v>
      </c>
      <c r="E18">
        <f t="shared" si="0"/>
        <v>3255</v>
      </c>
      <c r="F18" s="5" t="str">
        <f t="shared" si="1"/>
        <v>Saudi Arabia</v>
      </c>
      <c r="G18">
        <v>110</v>
      </c>
      <c r="H18" s="80">
        <v>308</v>
      </c>
      <c r="I18" s="7">
        <v>581</v>
      </c>
      <c r="J18" s="77">
        <v>281</v>
      </c>
      <c r="K18" s="80">
        <v>161</v>
      </c>
      <c r="L18">
        <v>290</v>
      </c>
      <c r="M18">
        <v>39</v>
      </c>
      <c r="N18">
        <v>58</v>
      </c>
      <c r="O18">
        <v>1427</v>
      </c>
      <c r="P18" s="80">
        <v>0</v>
      </c>
    </row>
    <row r="19" spans="1:16" ht="17">
      <c r="A19" s="7" t="s">
        <v>522</v>
      </c>
      <c r="B19" s="75">
        <v>70.47</v>
      </c>
      <c r="C19" t="s">
        <v>540</v>
      </c>
      <c r="D19">
        <v>2013</v>
      </c>
      <c r="E19">
        <f t="shared" si="0"/>
        <v>3361</v>
      </c>
      <c r="F19" s="5" t="str">
        <f t="shared" si="1"/>
        <v>Russia</v>
      </c>
      <c r="G19">
        <v>36</v>
      </c>
      <c r="H19" s="80">
        <v>439</v>
      </c>
      <c r="I19" s="7">
        <v>482</v>
      </c>
      <c r="J19" s="77">
        <v>372</v>
      </c>
      <c r="K19" s="80">
        <v>328</v>
      </c>
      <c r="L19" s="80">
        <v>162</v>
      </c>
      <c r="M19">
        <v>207</v>
      </c>
      <c r="N19">
        <v>17</v>
      </c>
      <c r="O19">
        <v>1153</v>
      </c>
      <c r="P19">
        <v>165</v>
      </c>
    </row>
    <row r="20" spans="1:16" ht="17">
      <c r="A20" s="7" t="s">
        <v>524</v>
      </c>
      <c r="B20" s="75">
        <v>68.13</v>
      </c>
      <c r="C20" t="s">
        <v>534</v>
      </c>
      <c r="D20">
        <v>2013</v>
      </c>
      <c r="E20">
        <f t="shared" si="0"/>
        <v>2459</v>
      </c>
      <c r="F20" s="5" t="str">
        <f t="shared" si="1"/>
        <v>India</v>
      </c>
      <c r="G20">
        <v>27</v>
      </c>
      <c r="H20" s="80">
        <v>236</v>
      </c>
      <c r="I20" s="80">
        <v>330</v>
      </c>
      <c r="J20" s="77">
        <v>24</v>
      </c>
      <c r="K20" s="80">
        <v>139</v>
      </c>
      <c r="L20" s="80">
        <v>131</v>
      </c>
      <c r="M20">
        <v>60</v>
      </c>
      <c r="N20">
        <v>137</v>
      </c>
      <c r="O20">
        <v>1361</v>
      </c>
      <c r="P20" s="80">
        <v>14</v>
      </c>
    </row>
    <row r="21" spans="1:16" ht="17">
      <c r="A21" t="s">
        <v>525</v>
      </c>
      <c r="B21" s="75">
        <v>49.81</v>
      </c>
      <c r="C21" s="76" t="s">
        <v>530</v>
      </c>
      <c r="D21" s="76">
        <v>2013</v>
      </c>
      <c r="E21">
        <f t="shared" si="0"/>
        <v>2110</v>
      </c>
      <c r="F21" s="5" t="str">
        <f t="shared" si="1"/>
        <v>Chad</v>
      </c>
      <c r="G21" s="76">
        <v>8</v>
      </c>
      <c r="H21" s="81">
        <v>103</v>
      </c>
      <c r="I21" s="81">
        <v>327</v>
      </c>
      <c r="J21" s="78">
        <v>64</v>
      </c>
      <c r="K21" s="81">
        <v>39</v>
      </c>
      <c r="L21" s="81">
        <v>20</v>
      </c>
      <c r="M21" s="76">
        <v>153</v>
      </c>
      <c r="N21" s="76">
        <v>74</v>
      </c>
      <c r="O21" s="76">
        <v>1315</v>
      </c>
      <c r="P21" s="81">
        <v>7</v>
      </c>
    </row>
    <row r="24" spans="1:16">
      <c r="D24" s="5"/>
    </row>
  </sheetData>
  <pageMargins left="0.7" right="0.7" top="0.75" bottom="0.75" header="0.3" footer="0.3"/>
  <pageSetup orientation="portrait" horizontalDpi="0" verticalDpi="0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7D8BE1-CCD1-364C-B09C-9A3732BA9B99}">
  <dimension ref="A1:J12"/>
  <sheetViews>
    <sheetView workbookViewId="0"/>
  </sheetViews>
  <sheetFormatPr baseColWidth="10" defaultRowHeight="16"/>
  <sheetData>
    <row r="1" spans="1:10">
      <c r="A1" t="s">
        <v>120</v>
      </c>
      <c r="C1">
        <f>Vehicle!E25</f>
        <v>989</v>
      </c>
      <c r="E1">
        <f>C1*C2</f>
        <v>13846</v>
      </c>
    </row>
    <row r="2" spans="1:10">
      <c r="A2" t="s">
        <v>225</v>
      </c>
      <c r="C2">
        <v>14</v>
      </c>
      <c r="D2" t="s">
        <v>52</v>
      </c>
    </row>
    <row r="4" spans="1:10">
      <c r="B4" t="s">
        <v>215</v>
      </c>
      <c r="D4" t="s">
        <v>222</v>
      </c>
      <c r="E4" t="s">
        <v>231</v>
      </c>
      <c r="F4" t="s">
        <v>226</v>
      </c>
      <c r="G4" t="s">
        <v>216</v>
      </c>
      <c r="H4" t="s">
        <v>227</v>
      </c>
      <c r="I4" t="s">
        <v>232</v>
      </c>
      <c r="J4" t="s">
        <v>230</v>
      </c>
    </row>
    <row r="5" spans="1:10">
      <c r="B5" t="s">
        <v>212</v>
      </c>
      <c r="C5" t="s">
        <v>213</v>
      </c>
      <c r="F5" t="s">
        <v>229</v>
      </c>
      <c r="H5" t="s">
        <v>228</v>
      </c>
    </row>
    <row r="6" spans="1:10">
      <c r="A6" t="s">
        <v>211</v>
      </c>
      <c r="B6">
        <f>5.3/1000*365.26</f>
        <v>1.935878</v>
      </c>
      <c r="C6">
        <v>0.5</v>
      </c>
      <c r="D6" t="s">
        <v>223</v>
      </c>
    </row>
    <row r="7" spans="1:10">
      <c r="A7" t="s">
        <v>214</v>
      </c>
      <c r="D7" t="s">
        <v>223</v>
      </c>
    </row>
    <row r="8" spans="1:10">
      <c r="A8" t="s">
        <v>217</v>
      </c>
      <c r="D8" t="s">
        <v>223</v>
      </c>
    </row>
    <row r="9" spans="1:10">
      <c r="A9" t="s">
        <v>218</v>
      </c>
      <c r="B9">
        <v>0.75</v>
      </c>
      <c r="C9">
        <v>1</v>
      </c>
      <c r="D9" t="s">
        <v>224</v>
      </c>
      <c r="E9">
        <v>0.5</v>
      </c>
      <c r="F9">
        <v>50</v>
      </c>
      <c r="G9">
        <f>240/365.26</f>
        <v>0.65706619941959155</v>
      </c>
      <c r="H9">
        <f>I9/F9</f>
        <v>272.93215791490996</v>
      </c>
      <c r="I9">
        <f>$C$1*$C$2*B9/E9*G9</f>
        <v>13646.607895745497</v>
      </c>
      <c r="J9">
        <f>I9*E9/G9</f>
        <v>10384.5</v>
      </c>
    </row>
    <row r="10" spans="1:10">
      <c r="A10" t="s">
        <v>219</v>
      </c>
      <c r="B10">
        <v>0.25</v>
      </c>
      <c r="C10">
        <v>1</v>
      </c>
      <c r="D10" t="s">
        <v>223</v>
      </c>
      <c r="E10">
        <v>0.5</v>
      </c>
      <c r="F10">
        <v>50</v>
      </c>
      <c r="G10">
        <v>2</v>
      </c>
      <c r="H10">
        <f>I10/F10</f>
        <v>276.92</v>
      </c>
      <c r="I10">
        <f>$C$1*$C$2*B10/E10*G10</f>
        <v>13846</v>
      </c>
      <c r="J10">
        <f>I10*E10/G10</f>
        <v>3461.5</v>
      </c>
    </row>
    <row r="11" spans="1:10">
      <c r="A11" t="s">
        <v>220</v>
      </c>
      <c r="D11" t="s">
        <v>224</v>
      </c>
    </row>
    <row r="12" spans="1:10">
      <c r="A12" t="s">
        <v>221</v>
      </c>
      <c r="D12" t="s">
        <v>224</v>
      </c>
    </row>
  </sheetData>
  <pageMargins left="0.7" right="0.7" top="0.75" bottom="0.75" header="0.3" footer="0.3"/>
  <pageSetup orientation="portrait" horizontalDpi="0" verticalDpi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029A52-A390-674C-882A-D9471157342F}">
  <dimension ref="A1:AO81"/>
  <sheetViews>
    <sheetView workbookViewId="0"/>
  </sheetViews>
  <sheetFormatPr baseColWidth="10" defaultRowHeight="16"/>
  <cols>
    <col min="2" max="3" width="11" customWidth="1"/>
    <col min="7" max="12" width="8.33203125" customWidth="1"/>
    <col min="15" max="16" width="11.6640625" bestFit="1" customWidth="1"/>
    <col min="17" max="25" width="12.6640625" bestFit="1" customWidth="1"/>
    <col min="26" max="41" width="11.6640625" bestFit="1" customWidth="1"/>
  </cols>
  <sheetData>
    <row r="1" spans="1:7">
      <c r="A1" t="s">
        <v>79</v>
      </c>
    </row>
    <row r="2" spans="1:7">
      <c r="A2" t="s">
        <v>93</v>
      </c>
      <c r="D2">
        <f>Vehicle!B41*0.000001*0.9</f>
        <v>6.0181919668492867</v>
      </c>
      <c r="E2" t="s">
        <v>81</v>
      </c>
    </row>
    <row r="3" spans="1:7">
      <c r="A3" t="s">
        <v>141</v>
      </c>
      <c r="D3">
        <v>247.1</v>
      </c>
    </row>
    <row r="4" spans="1:7">
      <c r="A4" t="s">
        <v>142</v>
      </c>
      <c r="D4">
        <v>100</v>
      </c>
    </row>
    <row r="6" spans="1:7">
      <c r="A6" t="s">
        <v>94</v>
      </c>
      <c r="D6">
        <v>0</v>
      </c>
    </row>
    <row r="8" spans="1:7">
      <c r="A8" t="s">
        <v>242</v>
      </c>
      <c r="D8">
        <f>IF(C19&gt;10,C19*D9*365.26,0)</f>
        <v>2273524.344</v>
      </c>
      <c r="F8">
        <f>D8/C19*1000/365.26</f>
        <v>12000</v>
      </c>
    </row>
    <row r="9" spans="1:7">
      <c r="A9" t="s">
        <v>243</v>
      </c>
      <c r="D9">
        <v>12</v>
      </c>
    </row>
    <row r="10" spans="1:7">
      <c r="A10" t="s">
        <v>80</v>
      </c>
      <c r="D10">
        <f>D4/D30</f>
        <v>2.5</v>
      </c>
      <c r="E10" t="s">
        <v>798</v>
      </c>
    </row>
    <row r="11" spans="1:7">
      <c r="A11" t="s">
        <v>80</v>
      </c>
      <c r="D11">
        <f>D10*Conversion!E17</f>
        <v>25000</v>
      </c>
      <c r="E11" t="s">
        <v>20</v>
      </c>
    </row>
    <row r="12" spans="1:7">
      <c r="A12" t="s">
        <v>799</v>
      </c>
      <c r="D12">
        <f>SUM(Crops!E:E)</f>
        <v>0.25</v>
      </c>
    </row>
    <row r="13" spans="1:7">
      <c r="F13" t="s">
        <v>208</v>
      </c>
    </row>
    <row r="14" spans="1:7">
      <c r="A14" s="7" t="s">
        <v>49</v>
      </c>
      <c r="D14" s="7">
        <f>D11*D30*D4</f>
        <v>100000000</v>
      </c>
    </row>
    <row r="15" spans="1:7">
      <c r="A15" s="7" t="s">
        <v>44</v>
      </c>
      <c r="D15" s="7">
        <v>0.95</v>
      </c>
    </row>
    <row r="16" spans="1:7">
      <c r="A16" s="7" t="s">
        <v>108</v>
      </c>
      <c r="D16" s="7">
        <v>25</v>
      </c>
      <c r="E16">
        <f>(D16-1)/D16</f>
        <v>0.96</v>
      </c>
      <c r="F16">
        <f>1/D16</f>
        <v>0.04</v>
      </c>
      <c r="G16" t="s">
        <v>95</v>
      </c>
    </row>
    <row r="17" spans="1:17">
      <c r="A17" s="7"/>
      <c r="D17" s="7"/>
      <c r="F17" t="s">
        <v>84</v>
      </c>
      <c r="G17" t="s">
        <v>109</v>
      </c>
      <c r="H17" t="s">
        <v>96</v>
      </c>
      <c r="I17" t="s">
        <v>86</v>
      </c>
      <c r="J17" t="s">
        <v>83</v>
      </c>
    </row>
    <row r="18" spans="1:17">
      <c r="A18" s="7" t="s">
        <v>105</v>
      </c>
      <c r="C18" s="7">
        <f>SUM(F18:J18)</f>
        <v>509</v>
      </c>
      <c r="D18" t="s">
        <v>117</v>
      </c>
      <c r="F18">
        <f>D6</f>
        <v>0</v>
      </c>
      <c r="G18">
        <f>F32</f>
        <v>96</v>
      </c>
      <c r="H18">
        <f>CEILING(MAX(D22+D21,F35)*E16,1)</f>
        <v>198</v>
      </c>
      <c r="I18">
        <f>CEILING((D22+D21)*F16,1)</f>
        <v>9</v>
      </c>
      <c r="J18">
        <f>D21+D22</f>
        <v>206</v>
      </c>
    </row>
    <row r="19" spans="1:17">
      <c r="A19" s="7"/>
      <c r="C19">
        <f>(F18*1.1+G18*1.1+H18*1.1+I18*1.1+J18*0.9)</f>
        <v>518.70000000000005</v>
      </c>
      <c r="D19" s="7" t="s">
        <v>148</v>
      </c>
    </row>
    <row r="20" spans="1:17">
      <c r="A20" s="7" t="s">
        <v>50</v>
      </c>
      <c r="E20" s="7">
        <f>FLOOR((D14-D6)*0.78,1)</f>
        <v>78000000</v>
      </c>
      <c r="F20">
        <f>F18</f>
        <v>0</v>
      </c>
      <c r="G20">
        <f>G18</f>
        <v>96</v>
      </c>
      <c r="H20">
        <f>H18</f>
        <v>198</v>
      </c>
      <c r="I20">
        <f>I18</f>
        <v>9</v>
      </c>
      <c r="J20">
        <f>D21+D22</f>
        <v>206</v>
      </c>
    </row>
    <row r="21" spans="1:17">
      <c r="A21" s="7" t="s">
        <v>113</v>
      </c>
      <c r="D21">
        <f>CEILING(F18/10+G18,1)</f>
        <v>96</v>
      </c>
    </row>
    <row r="22" spans="1:17">
      <c r="A22" s="7" t="s">
        <v>114</v>
      </c>
      <c r="D22">
        <f>CEILING(D21+D21*F16,1)+CEILING((D21+D21*F16)/10,1)</f>
        <v>110</v>
      </c>
    </row>
    <row r="23" spans="1:17">
      <c r="A23" s="7" t="s">
        <v>101</v>
      </c>
      <c r="D23">
        <v>0.2</v>
      </c>
    </row>
    <row r="24" spans="1:17">
      <c r="A24" s="7"/>
    </row>
    <row r="25" spans="1:17">
      <c r="A25" t="s">
        <v>34</v>
      </c>
      <c r="D25">
        <v>2</v>
      </c>
      <c r="E25" s="7">
        <f>(1/1000)*$D$25</f>
        <v>2E-3</v>
      </c>
      <c r="H25" s="7"/>
      <c r="I25" s="7"/>
      <c r="J25" s="7"/>
      <c r="K25" s="7"/>
      <c r="L25" s="7"/>
      <c r="M25" s="7"/>
      <c r="O25" s="7"/>
    </row>
    <row r="26" spans="1:17">
      <c r="A26" t="s">
        <v>36</v>
      </c>
      <c r="D26">
        <f>MAX(B44:B58)</f>
        <v>351</v>
      </c>
      <c r="E26" s="7"/>
      <c r="F26" s="7"/>
      <c r="G26" s="7"/>
      <c r="H26" s="7"/>
      <c r="I26" s="7"/>
      <c r="J26" s="7"/>
      <c r="K26" s="7"/>
      <c r="L26" s="7"/>
      <c r="M26" s="7"/>
      <c r="O26" s="7"/>
      <c r="P26" s="7"/>
      <c r="Q26" s="7"/>
    </row>
    <row r="27" spans="1:17">
      <c r="A27" t="s">
        <v>37</v>
      </c>
      <c r="D27">
        <f>MIN(B44:B58)</f>
        <v>227</v>
      </c>
      <c r="E27" s="7"/>
      <c r="F27" s="7"/>
      <c r="G27" s="7">
        <f>8*5</f>
        <v>40</v>
      </c>
      <c r="H27" s="7"/>
      <c r="I27" s="7"/>
      <c r="J27" s="7"/>
      <c r="K27" s="7"/>
      <c r="L27" s="7"/>
      <c r="M27" s="7"/>
      <c r="N27" s="7"/>
      <c r="O27" s="7"/>
      <c r="P27" s="7"/>
      <c r="Q27" s="7"/>
    </row>
    <row r="28" spans="1:17">
      <c r="A28" t="s">
        <v>38</v>
      </c>
      <c r="D28">
        <f>B75</f>
        <v>263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</row>
    <row r="29" spans="1:17">
      <c r="A29" t="s">
        <v>111</v>
      </c>
      <c r="D29">
        <f>250*0.75</f>
        <v>187.5</v>
      </c>
      <c r="E29" s="7"/>
      <c r="F29" s="7"/>
      <c r="G29" s="7" t="s">
        <v>209</v>
      </c>
      <c r="H29" s="7"/>
      <c r="I29" s="7"/>
      <c r="J29" s="7"/>
      <c r="K29" s="7"/>
      <c r="L29" s="7"/>
      <c r="M29" s="7"/>
      <c r="N29" s="7"/>
      <c r="O29" s="7"/>
      <c r="P29" s="7"/>
      <c r="Q29" s="7"/>
    </row>
    <row r="30" spans="1:17">
      <c r="A30" t="s">
        <v>82</v>
      </c>
      <c r="D30">
        <v>40</v>
      </c>
      <c r="E30" t="s">
        <v>143</v>
      </c>
      <c r="F30" s="7"/>
      <c r="G30" s="7" t="s">
        <v>246</v>
      </c>
      <c r="H30" s="7"/>
      <c r="I30" s="7"/>
      <c r="J30" s="7"/>
      <c r="K30" s="7"/>
      <c r="L30" s="7"/>
      <c r="M30" s="7"/>
      <c r="N30" s="7"/>
      <c r="O30" s="7"/>
      <c r="P30" s="7"/>
      <c r="Q30" s="7"/>
    </row>
    <row r="31" spans="1:17">
      <c r="A31" t="s">
        <v>118</v>
      </c>
      <c r="D31">
        <v>25</v>
      </c>
      <c r="E31" s="7" t="s">
        <v>119</v>
      </c>
      <c r="F31" s="7"/>
      <c r="G31" s="7" t="s">
        <v>210</v>
      </c>
      <c r="H31" s="7"/>
      <c r="I31" s="7"/>
      <c r="J31" s="7"/>
      <c r="K31" s="7"/>
      <c r="L31" s="7"/>
      <c r="M31" s="7"/>
      <c r="N31" s="7"/>
      <c r="O31" s="7"/>
      <c r="P31" s="7"/>
      <c r="Q31" s="7"/>
    </row>
    <row r="32" spans="1:17">
      <c r="A32" t="s">
        <v>112</v>
      </c>
      <c r="D32">
        <f>Agriculture!D12</f>
        <v>18.18181818181818</v>
      </c>
      <c r="E32" s="7" t="s">
        <v>212</v>
      </c>
      <c r="F32" s="7">
        <f>CEILING((D32*D36)/D29,1)</f>
        <v>96</v>
      </c>
      <c r="G32" s="7" t="s">
        <v>117</v>
      </c>
      <c r="H32" s="7"/>
      <c r="J32" s="7"/>
      <c r="K32" s="7"/>
      <c r="L32" s="7"/>
      <c r="M32" s="7"/>
      <c r="N32" s="7"/>
      <c r="O32" s="7"/>
      <c r="P32" s="7"/>
      <c r="Q32" s="7"/>
    </row>
    <row r="33" spans="1:41">
      <c r="D33" s="7">
        <f>D32*2.2</f>
        <v>40</v>
      </c>
      <c r="E33" s="7" t="s">
        <v>300</v>
      </c>
      <c r="F33" s="7"/>
      <c r="G33" s="7" t="s">
        <v>301</v>
      </c>
      <c r="H33" s="7"/>
      <c r="I33" s="7"/>
      <c r="J33" s="7"/>
      <c r="K33" s="7"/>
      <c r="L33" s="7"/>
      <c r="M33" s="7"/>
      <c r="N33" s="7"/>
      <c r="O33" s="7"/>
      <c r="P33" s="7"/>
      <c r="Q33" s="7"/>
    </row>
    <row r="34" spans="1:41"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</row>
    <row r="35" spans="1:41">
      <c r="A35" t="s">
        <v>110</v>
      </c>
      <c r="D35">
        <v>250</v>
      </c>
      <c r="E35" s="7" t="s">
        <v>116</v>
      </c>
      <c r="F35" s="7">
        <f>CEILING((D36*D35)/(D31*365.26),1)</f>
        <v>28</v>
      </c>
      <c r="G35" s="7" t="s">
        <v>117</v>
      </c>
      <c r="H35" s="7" t="s">
        <v>115</v>
      </c>
      <c r="I35" s="7"/>
      <c r="J35" s="7"/>
      <c r="K35" s="7"/>
      <c r="L35" s="7"/>
      <c r="M35" s="7"/>
      <c r="N35" s="7"/>
      <c r="O35" s="7"/>
      <c r="P35" s="7"/>
      <c r="Q35" s="7"/>
    </row>
    <row r="36" spans="1:41">
      <c r="A36" t="s">
        <v>120</v>
      </c>
      <c r="D36">
        <f>Vehicle!E25</f>
        <v>989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</row>
    <row r="37" spans="1:41"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</row>
    <row r="38" spans="1:41"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</row>
    <row r="39" spans="1:41">
      <c r="A39" t="s">
        <v>38</v>
      </c>
      <c r="D39" s="2"/>
      <c r="E39" s="7"/>
      <c r="F39" s="7" t="s">
        <v>42</v>
      </c>
      <c r="G39" s="7"/>
      <c r="H39" s="7"/>
      <c r="I39" s="7"/>
      <c r="J39" s="7"/>
      <c r="K39" s="7"/>
      <c r="L39" s="7"/>
      <c r="M39" s="7"/>
      <c r="N39" s="7">
        <f>1/15</f>
        <v>6.6666666666666666E-2</v>
      </c>
      <c r="O39" s="7"/>
      <c r="P39" s="7"/>
      <c r="Q39" s="7"/>
    </row>
    <row r="40" spans="1:41">
      <c r="D40" s="2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</row>
    <row r="41" spans="1:41" ht="17" thickBot="1">
      <c r="D41" s="2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</row>
    <row r="42" spans="1:41">
      <c r="A42" t="s">
        <v>88</v>
      </c>
      <c r="B42" t="s">
        <v>18</v>
      </c>
      <c r="C42" t="s">
        <v>84</v>
      </c>
      <c r="D42" t="s">
        <v>96</v>
      </c>
      <c r="E42" t="s">
        <v>97</v>
      </c>
      <c r="F42" t="s">
        <v>98</v>
      </c>
      <c r="G42" t="s">
        <v>99</v>
      </c>
      <c r="H42" t="s">
        <v>100</v>
      </c>
      <c r="I42" t="s">
        <v>102</v>
      </c>
      <c r="J42" t="s">
        <v>103</v>
      </c>
      <c r="K42" t="s">
        <v>104</v>
      </c>
      <c r="L42" t="s">
        <v>107</v>
      </c>
      <c r="M42">
        <v>1</v>
      </c>
      <c r="N42">
        <v>2</v>
      </c>
      <c r="O42" s="38" t="s">
        <v>87</v>
      </c>
      <c r="P42" s="39"/>
      <c r="Q42" s="39" t="s">
        <v>85</v>
      </c>
      <c r="R42" s="39"/>
      <c r="S42" s="39"/>
      <c r="T42" s="39"/>
      <c r="U42" s="39"/>
      <c r="V42" s="39"/>
      <c r="W42" s="40"/>
      <c r="X42" s="32" t="s">
        <v>90</v>
      </c>
      <c r="Y42" s="33"/>
      <c r="Z42" s="33"/>
      <c r="AA42" s="33"/>
      <c r="AB42" s="33"/>
      <c r="AC42" s="33"/>
      <c r="AD42" s="33"/>
      <c r="AE42" s="33"/>
      <c r="AF42" s="34"/>
      <c r="AG42" s="26" t="s">
        <v>86</v>
      </c>
      <c r="AH42" s="27"/>
      <c r="AI42" s="27"/>
      <c r="AJ42" s="27"/>
      <c r="AK42" s="27"/>
      <c r="AL42" s="27"/>
      <c r="AM42" s="27"/>
      <c r="AN42" s="27"/>
      <c r="AO42" s="28"/>
    </row>
    <row r="43" spans="1:41" ht="17" thickBot="1">
      <c r="D43">
        <f>H18</f>
        <v>198</v>
      </c>
      <c r="M43" t="s">
        <v>89</v>
      </c>
      <c r="N43" t="s">
        <v>109</v>
      </c>
      <c r="O43" s="41">
        <v>2</v>
      </c>
      <c r="P43" s="42">
        <v>3</v>
      </c>
      <c r="Q43" s="42">
        <v>4</v>
      </c>
      <c r="R43" s="42">
        <v>5</v>
      </c>
      <c r="S43" s="42">
        <v>6</v>
      </c>
      <c r="T43" s="42">
        <v>7</v>
      </c>
      <c r="U43" s="42">
        <v>8</v>
      </c>
      <c r="V43" s="42">
        <v>9</v>
      </c>
      <c r="W43" s="43">
        <v>10</v>
      </c>
      <c r="X43" s="35">
        <v>2</v>
      </c>
      <c r="Y43" s="36">
        <v>3</v>
      </c>
      <c r="Z43" s="36">
        <v>4</v>
      </c>
      <c r="AA43" s="36">
        <v>5</v>
      </c>
      <c r="AB43" s="36">
        <v>6</v>
      </c>
      <c r="AC43" s="36">
        <v>7</v>
      </c>
      <c r="AD43" s="36">
        <v>8</v>
      </c>
      <c r="AE43" s="36">
        <v>9</v>
      </c>
      <c r="AF43" s="37">
        <v>10</v>
      </c>
      <c r="AG43" s="29">
        <v>2</v>
      </c>
      <c r="AH43" s="30">
        <v>3</v>
      </c>
      <c r="AI43" s="30">
        <v>4</v>
      </c>
      <c r="AJ43" s="30">
        <v>5</v>
      </c>
      <c r="AK43" s="30">
        <v>6</v>
      </c>
      <c r="AL43" s="30">
        <v>7</v>
      </c>
      <c r="AM43" s="30">
        <v>8</v>
      </c>
      <c r="AN43" s="30">
        <v>9</v>
      </c>
      <c r="AO43" s="31">
        <v>10</v>
      </c>
    </row>
    <row r="44" spans="1:41">
      <c r="A44">
        <v>0</v>
      </c>
      <c r="B44">
        <f>FLOOR(SUM(N44:AO44),1)</f>
        <v>351</v>
      </c>
      <c r="C44">
        <f>FLOOR(SUM(X44:AF44),1)</f>
        <v>0</v>
      </c>
      <c r="D44">
        <f>FLOOR(SUM(Q44:W44),1)</f>
        <v>198</v>
      </c>
      <c r="E44">
        <f>FLOOR(SUM(AG44:AO44),1)</f>
        <v>9</v>
      </c>
      <c r="F44">
        <f>D44/E44</f>
        <v>22</v>
      </c>
      <c r="G44">
        <f>IF(F43&gt;$D$16*1.1,1,0.5)</f>
        <v>0.5</v>
      </c>
      <c r="H44">
        <f t="shared" ref="H44:H80" si="0">IF(D43&lt;=$H$18,1,0.75)</f>
        <v>1</v>
      </c>
      <c r="I44">
        <f t="shared" ref="I44:I80" si="1">IF(C43&lt;$F$18,1,0.5)</f>
        <v>0.5</v>
      </c>
      <c r="M44">
        <f>IF(D43&gt;($D$21+$D$22),$D$21+$D$22,D43)</f>
        <v>198</v>
      </c>
      <c r="N44">
        <f>$G$20*1.5</f>
        <v>144</v>
      </c>
      <c r="O44" s="4">
        <v>0</v>
      </c>
      <c r="P44" s="4">
        <v>0</v>
      </c>
      <c r="Q44" s="4">
        <f>H18/4</f>
        <v>49.5</v>
      </c>
      <c r="R44" s="4">
        <f>Q44</f>
        <v>49.5</v>
      </c>
      <c r="S44" s="4">
        <f>R44</f>
        <v>49.5</v>
      </c>
      <c r="T44" s="4">
        <f>S44</f>
        <v>49.5</v>
      </c>
      <c r="U44" s="4"/>
      <c r="V44" s="4"/>
      <c r="W44" s="4"/>
      <c r="X44" s="4">
        <f>F18</f>
        <v>0</v>
      </c>
      <c r="Y44" s="4">
        <v>0</v>
      </c>
      <c r="Z44" s="4">
        <v>0</v>
      </c>
      <c r="AA44" s="4"/>
      <c r="AB44" s="4"/>
      <c r="AC44" s="4"/>
      <c r="AD44" s="4"/>
      <c r="AE44" s="4"/>
      <c r="AF44" s="4"/>
      <c r="AG44" s="4">
        <f>I20</f>
        <v>9</v>
      </c>
      <c r="AH44" s="4">
        <f>I20-AG44</f>
        <v>0</v>
      </c>
      <c r="AI44" s="4"/>
      <c r="AJ44" s="4"/>
      <c r="AK44" s="4"/>
      <c r="AL44" s="4"/>
      <c r="AM44" s="4"/>
      <c r="AN44" s="4">
        <v>0</v>
      </c>
      <c r="AO44" s="4">
        <v>0</v>
      </c>
    </row>
    <row r="45" spans="1:41">
      <c r="A45">
        <v>1</v>
      </c>
      <c r="B45">
        <f t="shared" ref="B45:B80" si="2">FLOOR(SUM(N45:AO45),1)</f>
        <v>312</v>
      </c>
      <c r="C45">
        <f t="shared" ref="C45:C80" si="3">FLOOR(SUM(X45:AF45),1)</f>
        <v>0</v>
      </c>
      <c r="D45">
        <f t="shared" ref="D45:D80" si="4">FLOOR(SUM(Q45:W45),1)</f>
        <v>188</v>
      </c>
      <c r="E45">
        <f t="shared" ref="E45:E80" si="5">FLOOR(SUM(AG45:AO45),1)</f>
        <v>8</v>
      </c>
      <c r="F45">
        <f>IF(E45&gt;0,D45/E45,0)</f>
        <v>23.5</v>
      </c>
      <c r="G45">
        <f t="shared" ref="G45:G80" si="6">IF(F44&gt;$D$16*1.1,1,0.5)</f>
        <v>0.5</v>
      </c>
      <c r="H45">
        <f t="shared" si="0"/>
        <v>1</v>
      </c>
      <c r="I45">
        <f t="shared" si="1"/>
        <v>0.5</v>
      </c>
      <c r="J45">
        <f>SUM(O44:AO44)-SUM(P45:W45)-SUM(Y45:AF45)-SUM(AH45:AO45)</f>
        <v>10.350000000000007</v>
      </c>
      <c r="K45">
        <f>IF(J45&gt;0,J45,0)+N45</f>
        <v>106.35000000000001</v>
      </c>
      <c r="L45">
        <f>D45*87</f>
        <v>16356</v>
      </c>
      <c r="M45">
        <f t="shared" ref="M45:M80" si="7">IF(D44&gt;($D$21+$D$22),$D$21+$D$22,D44)</f>
        <v>198</v>
      </c>
      <c r="N45">
        <f t="shared" ref="N45:N80" si="8">IF(M44&gt;$G$18,$G$18,M44-O45-X45-AG45)</f>
        <v>96</v>
      </c>
      <c r="O45" s="4">
        <f t="shared" ref="O45:O80" si="9">$H$18/10+IF(D44&lt;$H$18,2,0)</f>
        <v>19.8</v>
      </c>
      <c r="P45" s="4">
        <f>O44*$D$15</f>
        <v>0</v>
      </c>
      <c r="Q45" s="4">
        <f>P44*$D$15</f>
        <v>0</v>
      </c>
      <c r="R45" s="4">
        <f>Q44*$D$15</f>
        <v>47.024999999999999</v>
      </c>
      <c r="S45" s="4">
        <f>R44*$D$15</f>
        <v>47.024999999999999</v>
      </c>
      <c r="T45" s="4">
        <f>S44*$D$15*$H45</f>
        <v>47.024999999999999</v>
      </c>
      <c r="U45" s="4">
        <f t="shared" ref="U45:W60" si="10">T44*$D$15*$H45</f>
        <v>47.024999999999999</v>
      </c>
      <c r="V45" s="4">
        <f t="shared" si="10"/>
        <v>0</v>
      </c>
      <c r="W45" s="4">
        <f t="shared" si="10"/>
        <v>0</v>
      </c>
      <c r="X45" s="4">
        <f>$D$6/10</f>
        <v>0</v>
      </c>
      <c r="Y45" s="4">
        <f>X44*$D$15</f>
        <v>0</v>
      </c>
      <c r="Z45" s="4">
        <f t="shared" ref="Z45:AF45" si="11">Y44*$D$15*$I44</f>
        <v>0</v>
      </c>
      <c r="AA45" s="4">
        <f t="shared" si="11"/>
        <v>0</v>
      </c>
      <c r="AB45" s="4">
        <f t="shared" si="11"/>
        <v>0</v>
      </c>
      <c r="AC45" s="4">
        <f t="shared" si="11"/>
        <v>0</v>
      </c>
      <c r="AD45" s="4">
        <f t="shared" si="11"/>
        <v>0</v>
      </c>
      <c r="AE45" s="4">
        <f t="shared" si="11"/>
        <v>0</v>
      </c>
      <c r="AF45" s="4">
        <f t="shared" si="11"/>
        <v>0</v>
      </c>
      <c r="AG45" s="4">
        <f t="shared" ref="AG45:AG80" si="12">IF(E44&lt;$I$18,1,0)</f>
        <v>0</v>
      </c>
      <c r="AH45" s="4">
        <f>AG44*$D$15</f>
        <v>8.5499999999999989</v>
      </c>
      <c r="AI45" s="4">
        <f t="shared" ref="AI45:AO45" si="13">AH44*$D$15*$G44</f>
        <v>0</v>
      </c>
      <c r="AJ45" s="4">
        <f t="shared" si="13"/>
        <v>0</v>
      </c>
      <c r="AK45" s="4">
        <f t="shared" si="13"/>
        <v>0</v>
      </c>
      <c r="AL45" s="4">
        <f t="shared" si="13"/>
        <v>0</v>
      </c>
      <c r="AM45" s="4">
        <f t="shared" si="13"/>
        <v>0</v>
      </c>
      <c r="AN45" s="4">
        <f t="shared" si="13"/>
        <v>0</v>
      </c>
      <c r="AO45" s="4">
        <f t="shared" si="13"/>
        <v>0</v>
      </c>
    </row>
    <row r="46" spans="1:41">
      <c r="A46">
        <f>A45+1</f>
        <v>2</v>
      </c>
      <c r="B46">
        <f t="shared" si="2"/>
        <v>320</v>
      </c>
      <c r="C46">
        <f t="shared" si="3"/>
        <v>0</v>
      </c>
      <c r="D46">
        <f t="shared" si="4"/>
        <v>178</v>
      </c>
      <c r="E46">
        <f t="shared" si="5"/>
        <v>5</v>
      </c>
      <c r="F46">
        <f t="shared" ref="F46:F81" si="14">IF(E46&gt;0,D46/E46,0)</f>
        <v>35.6</v>
      </c>
      <c r="G46">
        <f t="shared" si="6"/>
        <v>0.5</v>
      </c>
      <c r="H46">
        <f t="shared" si="0"/>
        <v>1</v>
      </c>
      <c r="I46">
        <f t="shared" si="1"/>
        <v>0.5</v>
      </c>
      <c r="J46">
        <f t="shared" ref="J46:J75" si="15">SUM(O45:AO45)-SUM(P46:W46)-SUM(Y46:AF46)-SUM(AH46:AO46)</f>
        <v>14.883750000000022</v>
      </c>
      <c r="K46">
        <f t="shared" ref="K46:K75" si="16">IF(J46&gt;0,J46,0)+N46</f>
        <v>110.88375000000002</v>
      </c>
      <c r="L46">
        <f t="shared" ref="L46:L80" si="17">D46*87*365.25</f>
        <v>5656261.5</v>
      </c>
      <c r="M46">
        <f t="shared" si="7"/>
        <v>188</v>
      </c>
      <c r="N46">
        <f t="shared" si="8"/>
        <v>96</v>
      </c>
      <c r="O46" s="4">
        <f t="shared" si="9"/>
        <v>21.8</v>
      </c>
      <c r="P46" s="4">
        <f t="shared" ref="P46:S80" si="18">O45*$D$15</f>
        <v>18.809999999999999</v>
      </c>
      <c r="Q46" s="4">
        <f t="shared" si="18"/>
        <v>0</v>
      </c>
      <c r="R46" s="4">
        <f t="shared" si="18"/>
        <v>0</v>
      </c>
      <c r="S46" s="4">
        <f t="shared" si="18"/>
        <v>44.673749999999998</v>
      </c>
      <c r="T46" s="4">
        <f t="shared" ref="T46:W80" si="19">S45*$D$15*$H46</f>
        <v>44.673749999999998</v>
      </c>
      <c r="U46" s="4">
        <f t="shared" si="10"/>
        <v>44.673749999999998</v>
      </c>
      <c r="V46" s="4">
        <f t="shared" si="10"/>
        <v>44.673749999999998</v>
      </c>
      <c r="W46" s="4">
        <f t="shared" si="10"/>
        <v>0</v>
      </c>
      <c r="X46" s="4">
        <f t="shared" ref="X46:X80" si="20">$D$6/10</f>
        <v>0</v>
      </c>
      <c r="Y46" s="4">
        <f t="shared" ref="Y46:Y80" si="21">X45*$D$15</f>
        <v>0</v>
      </c>
      <c r="Z46" s="4">
        <f t="shared" ref="Z46:Z80" si="22">Y45*$D$15*$I45</f>
        <v>0</v>
      </c>
      <c r="AA46" s="4">
        <f t="shared" ref="AA46:AA80" si="23">Z45*$D$15*$I45</f>
        <v>0</v>
      </c>
      <c r="AB46" s="4">
        <f t="shared" ref="AB46:AB80" si="24">AA45*$D$15*$I45</f>
        <v>0</v>
      </c>
      <c r="AC46" s="4">
        <f t="shared" ref="AC46:AC80" si="25">AB45*$D$15*$I45</f>
        <v>0</v>
      </c>
      <c r="AD46" s="4">
        <f t="shared" ref="AD46:AD80" si="26">AC45*$D$15*$I45</f>
        <v>0</v>
      </c>
      <c r="AE46" s="4">
        <f t="shared" ref="AE46:AE80" si="27">AD45*$D$15*$I45</f>
        <v>0</v>
      </c>
      <c r="AF46" s="4">
        <f t="shared" ref="AF46:AF80" si="28">AE45*$D$15*$I45</f>
        <v>0</v>
      </c>
      <c r="AG46" s="4">
        <f t="shared" si="12"/>
        <v>1</v>
      </c>
      <c r="AH46" s="4">
        <f t="shared" ref="AH46:AH80" si="29">AG45*$D$15</f>
        <v>0</v>
      </c>
      <c r="AI46" s="4">
        <f t="shared" ref="AI46:AI80" si="30">AH45*$D$15*$G45</f>
        <v>4.0612499999999994</v>
      </c>
      <c r="AJ46" s="4">
        <f t="shared" ref="AJ46:AJ80" si="31">AI45*$D$15*$G45</f>
        <v>0</v>
      </c>
      <c r="AK46" s="4">
        <f t="shared" ref="AK46:AK80" si="32">AJ45*$D$15*$G45</f>
        <v>0</v>
      </c>
      <c r="AL46" s="4">
        <f t="shared" ref="AL46:AL80" si="33">AK45*$D$15*$G45</f>
        <v>0</v>
      </c>
      <c r="AM46" s="4">
        <f t="shared" ref="AM46:AM80" si="34">AL45*$D$15*$G45</f>
        <v>0</v>
      </c>
      <c r="AN46" s="4">
        <f t="shared" ref="AN46:AN80" si="35">AM45*$D$15*$G45</f>
        <v>0</v>
      </c>
      <c r="AO46" s="4">
        <f t="shared" ref="AO46:AO80" si="36">AN45*$D$15*$G45</f>
        <v>0</v>
      </c>
    </row>
    <row r="47" spans="1:41">
      <c r="A47">
        <f t="shared" ref="A47:A49" si="37">A46+1</f>
        <v>3</v>
      </c>
      <c r="B47">
        <f t="shared" si="2"/>
        <v>330</v>
      </c>
      <c r="C47">
        <f t="shared" si="3"/>
        <v>0</v>
      </c>
      <c r="D47">
        <f t="shared" si="4"/>
        <v>187</v>
      </c>
      <c r="E47">
        <f t="shared" si="5"/>
        <v>3</v>
      </c>
      <c r="F47">
        <f t="shared" si="14"/>
        <v>62.333333333333336</v>
      </c>
      <c r="G47">
        <f t="shared" si="6"/>
        <v>1</v>
      </c>
      <c r="H47">
        <f t="shared" si="0"/>
        <v>1</v>
      </c>
      <c r="I47">
        <f t="shared" si="1"/>
        <v>0.5</v>
      </c>
      <c r="J47">
        <f t="shared" si="15"/>
        <v>13.147406249999971</v>
      </c>
      <c r="K47">
        <f t="shared" si="16"/>
        <v>109.14740624999997</v>
      </c>
      <c r="L47">
        <f t="shared" si="17"/>
        <v>5942252.25</v>
      </c>
      <c r="M47">
        <f t="shared" si="7"/>
        <v>178</v>
      </c>
      <c r="N47">
        <f t="shared" si="8"/>
        <v>96</v>
      </c>
      <c r="O47" s="4">
        <f t="shared" si="9"/>
        <v>21.8</v>
      </c>
      <c r="P47" s="4">
        <f t="shared" si="18"/>
        <v>20.71</v>
      </c>
      <c r="Q47" s="4">
        <f t="shared" si="18"/>
        <v>17.869499999999999</v>
      </c>
      <c r="R47" s="4">
        <f t="shared" si="18"/>
        <v>0</v>
      </c>
      <c r="S47" s="4">
        <f t="shared" si="18"/>
        <v>0</v>
      </c>
      <c r="T47" s="4">
        <f t="shared" si="19"/>
        <v>42.440062499999996</v>
      </c>
      <c r="U47" s="4">
        <f t="shared" si="10"/>
        <v>42.440062499999996</v>
      </c>
      <c r="V47" s="4">
        <f t="shared" si="10"/>
        <v>42.440062499999996</v>
      </c>
      <c r="W47" s="4">
        <f t="shared" si="10"/>
        <v>42.440062499999996</v>
      </c>
      <c r="X47" s="4">
        <f t="shared" si="20"/>
        <v>0</v>
      </c>
      <c r="Y47" s="4">
        <f t="shared" si="21"/>
        <v>0</v>
      </c>
      <c r="Z47" s="4">
        <f t="shared" si="22"/>
        <v>0</v>
      </c>
      <c r="AA47" s="4">
        <f t="shared" si="23"/>
        <v>0</v>
      </c>
      <c r="AB47" s="4">
        <f t="shared" si="24"/>
        <v>0</v>
      </c>
      <c r="AC47" s="4">
        <f t="shared" si="25"/>
        <v>0</v>
      </c>
      <c r="AD47" s="4">
        <f t="shared" si="26"/>
        <v>0</v>
      </c>
      <c r="AE47" s="4">
        <f t="shared" si="27"/>
        <v>0</v>
      </c>
      <c r="AF47" s="4">
        <f t="shared" si="28"/>
        <v>0</v>
      </c>
      <c r="AG47" s="4">
        <f t="shared" si="12"/>
        <v>1</v>
      </c>
      <c r="AH47" s="4">
        <f t="shared" si="29"/>
        <v>0.95</v>
      </c>
      <c r="AI47" s="4">
        <f>AH46*$D$15*$G46</f>
        <v>0</v>
      </c>
      <c r="AJ47" s="4">
        <f t="shared" si="31"/>
        <v>1.9290937499999996</v>
      </c>
      <c r="AK47" s="4">
        <f t="shared" si="32"/>
        <v>0</v>
      </c>
      <c r="AL47" s="4">
        <f t="shared" si="33"/>
        <v>0</v>
      </c>
      <c r="AM47" s="4">
        <f t="shared" si="34"/>
        <v>0</v>
      </c>
      <c r="AN47" s="4">
        <f t="shared" si="35"/>
        <v>0</v>
      </c>
      <c r="AO47" s="4">
        <f t="shared" si="36"/>
        <v>0</v>
      </c>
    </row>
    <row r="48" spans="1:41">
      <c r="A48">
        <f t="shared" si="37"/>
        <v>4</v>
      </c>
      <c r="B48">
        <f t="shared" si="2"/>
        <v>300</v>
      </c>
      <c r="C48">
        <f t="shared" si="3"/>
        <v>0</v>
      </c>
      <c r="D48">
        <f t="shared" si="4"/>
        <v>157</v>
      </c>
      <c r="E48">
        <f t="shared" si="5"/>
        <v>4</v>
      </c>
      <c r="F48">
        <f t="shared" si="14"/>
        <v>39.25</v>
      </c>
      <c r="G48">
        <f t="shared" si="6"/>
        <v>1</v>
      </c>
      <c r="H48">
        <f t="shared" si="0"/>
        <v>1</v>
      </c>
      <c r="I48">
        <f t="shared" si="1"/>
        <v>0.5</v>
      </c>
      <c r="J48">
        <f t="shared" si="15"/>
        <v>52.019001562500009</v>
      </c>
      <c r="K48">
        <f t="shared" si="16"/>
        <v>148.01900156250002</v>
      </c>
      <c r="L48">
        <f t="shared" si="17"/>
        <v>4988949.75</v>
      </c>
      <c r="M48">
        <f t="shared" si="7"/>
        <v>187</v>
      </c>
      <c r="N48">
        <f t="shared" si="8"/>
        <v>96</v>
      </c>
      <c r="O48" s="4">
        <f t="shared" si="9"/>
        <v>21.8</v>
      </c>
      <c r="P48" s="4">
        <f t="shared" si="18"/>
        <v>20.71</v>
      </c>
      <c r="Q48" s="4">
        <f t="shared" si="18"/>
        <v>19.674499999999998</v>
      </c>
      <c r="R48" s="4">
        <f t="shared" si="18"/>
        <v>16.976024999999996</v>
      </c>
      <c r="S48" s="4">
        <f t="shared" si="18"/>
        <v>0</v>
      </c>
      <c r="T48" s="4">
        <f t="shared" si="19"/>
        <v>0</v>
      </c>
      <c r="U48" s="4">
        <f t="shared" si="10"/>
        <v>40.318059374999997</v>
      </c>
      <c r="V48" s="4">
        <f t="shared" si="10"/>
        <v>40.318059374999997</v>
      </c>
      <c r="W48" s="4">
        <f t="shared" si="10"/>
        <v>40.318059374999997</v>
      </c>
      <c r="X48" s="4">
        <f t="shared" si="20"/>
        <v>0</v>
      </c>
      <c r="Y48" s="4">
        <f t="shared" si="21"/>
        <v>0</v>
      </c>
      <c r="Z48" s="4">
        <f t="shared" si="22"/>
        <v>0</v>
      </c>
      <c r="AA48" s="4">
        <f t="shared" si="23"/>
        <v>0</v>
      </c>
      <c r="AB48" s="4">
        <f t="shared" si="24"/>
        <v>0</v>
      </c>
      <c r="AC48" s="4">
        <f t="shared" si="25"/>
        <v>0</v>
      </c>
      <c r="AD48" s="4">
        <f t="shared" si="26"/>
        <v>0</v>
      </c>
      <c r="AE48" s="4">
        <f t="shared" si="27"/>
        <v>0</v>
      </c>
      <c r="AF48" s="4">
        <f t="shared" si="28"/>
        <v>0</v>
      </c>
      <c r="AG48" s="4">
        <f t="shared" si="12"/>
        <v>1</v>
      </c>
      <c r="AH48" s="4">
        <f t="shared" si="29"/>
        <v>0.95</v>
      </c>
      <c r="AI48" s="4">
        <f t="shared" si="30"/>
        <v>0.90249999999999997</v>
      </c>
      <c r="AJ48" s="4">
        <f t="shared" si="31"/>
        <v>0</v>
      </c>
      <c r="AK48" s="4">
        <f t="shared" si="32"/>
        <v>1.8326390624999995</v>
      </c>
      <c r="AL48" s="4">
        <f t="shared" si="33"/>
        <v>0</v>
      </c>
      <c r="AM48" s="4">
        <f t="shared" si="34"/>
        <v>0</v>
      </c>
      <c r="AN48" s="4">
        <f t="shared" si="35"/>
        <v>0</v>
      </c>
      <c r="AO48" s="4">
        <f t="shared" si="36"/>
        <v>0</v>
      </c>
    </row>
    <row r="49" spans="1:41">
      <c r="A49">
        <f t="shared" si="37"/>
        <v>5</v>
      </c>
      <c r="B49">
        <f t="shared" si="2"/>
        <v>275</v>
      </c>
      <c r="C49">
        <f t="shared" si="3"/>
        <v>0</v>
      </c>
      <c r="D49">
        <f t="shared" si="4"/>
        <v>131</v>
      </c>
      <c r="E49">
        <f t="shared" si="5"/>
        <v>5</v>
      </c>
      <c r="F49">
        <f t="shared" si="14"/>
        <v>26.2</v>
      </c>
      <c r="G49">
        <f t="shared" si="6"/>
        <v>1</v>
      </c>
      <c r="H49">
        <f t="shared" si="0"/>
        <v>1</v>
      </c>
      <c r="I49">
        <f t="shared" si="1"/>
        <v>0.5</v>
      </c>
      <c r="J49">
        <f t="shared" si="15"/>
        <v>48.542148515624959</v>
      </c>
      <c r="K49">
        <f t="shared" si="16"/>
        <v>144.54214851562494</v>
      </c>
      <c r="L49">
        <f t="shared" si="17"/>
        <v>4162754.25</v>
      </c>
      <c r="M49">
        <f t="shared" si="7"/>
        <v>157</v>
      </c>
      <c r="N49">
        <f t="shared" si="8"/>
        <v>96</v>
      </c>
      <c r="O49" s="4">
        <f t="shared" si="9"/>
        <v>21.8</v>
      </c>
      <c r="P49" s="4">
        <f t="shared" si="18"/>
        <v>20.71</v>
      </c>
      <c r="Q49" s="4">
        <f t="shared" si="18"/>
        <v>19.674499999999998</v>
      </c>
      <c r="R49" s="4">
        <f t="shared" si="18"/>
        <v>18.690774999999999</v>
      </c>
      <c r="S49" s="4">
        <f t="shared" si="18"/>
        <v>16.127223749999995</v>
      </c>
      <c r="T49" s="4">
        <f t="shared" si="19"/>
        <v>0</v>
      </c>
      <c r="U49" s="4">
        <f t="shared" si="10"/>
        <v>0</v>
      </c>
      <c r="V49" s="4">
        <f t="shared" si="10"/>
        <v>38.302156406249992</v>
      </c>
      <c r="W49" s="4">
        <f t="shared" si="10"/>
        <v>38.302156406249992</v>
      </c>
      <c r="X49" s="4">
        <f t="shared" si="20"/>
        <v>0</v>
      </c>
      <c r="Y49" s="4">
        <f t="shared" si="21"/>
        <v>0</v>
      </c>
      <c r="Z49" s="4">
        <f t="shared" si="22"/>
        <v>0</v>
      </c>
      <c r="AA49" s="4">
        <f t="shared" si="23"/>
        <v>0</v>
      </c>
      <c r="AB49" s="4">
        <f t="shared" si="24"/>
        <v>0</v>
      </c>
      <c r="AC49" s="4">
        <f t="shared" si="25"/>
        <v>0</v>
      </c>
      <c r="AD49" s="4">
        <f t="shared" si="26"/>
        <v>0</v>
      </c>
      <c r="AE49" s="4">
        <f t="shared" si="27"/>
        <v>0</v>
      </c>
      <c r="AF49" s="4">
        <f t="shared" si="28"/>
        <v>0</v>
      </c>
      <c r="AG49" s="4">
        <f t="shared" si="12"/>
        <v>1</v>
      </c>
      <c r="AH49" s="4">
        <f t="shared" si="29"/>
        <v>0.95</v>
      </c>
      <c r="AI49" s="4">
        <f t="shared" si="30"/>
        <v>0.90249999999999997</v>
      </c>
      <c r="AJ49" s="4">
        <f t="shared" si="31"/>
        <v>0.85737499999999989</v>
      </c>
      <c r="AK49" s="4">
        <f t="shared" si="32"/>
        <v>0</v>
      </c>
      <c r="AL49" s="4">
        <f t="shared" si="33"/>
        <v>1.7410071093749995</v>
      </c>
      <c r="AM49" s="4">
        <f t="shared" si="34"/>
        <v>0</v>
      </c>
      <c r="AN49" s="4">
        <f t="shared" si="35"/>
        <v>0</v>
      </c>
      <c r="AO49" s="4">
        <f t="shared" si="36"/>
        <v>0</v>
      </c>
    </row>
    <row r="50" spans="1:41">
      <c r="A50">
        <f t="shared" ref="A50:A58" si="38">A49+1</f>
        <v>6</v>
      </c>
      <c r="B50">
        <f t="shared" si="2"/>
        <v>252</v>
      </c>
      <c r="C50">
        <f t="shared" si="3"/>
        <v>0</v>
      </c>
      <c r="D50">
        <f t="shared" si="4"/>
        <v>107</v>
      </c>
      <c r="E50">
        <f t="shared" si="5"/>
        <v>6</v>
      </c>
      <c r="F50">
        <f t="shared" si="14"/>
        <v>17.833333333333332</v>
      </c>
      <c r="G50">
        <f t="shared" si="6"/>
        <v>0.5</v>
      </c>
      <c r="H50">
        <f t="shared" si="0"/>
        <v>1</v>
      </c>
      <c r="I50">
        <f t="shared" si="1"/>
        <v>0.5</v>
      </c>
      <c r="J50">
        <f t="shared" si="15"/>
        <v>45.33993326953123</v>
      </c>
      <c r="K50">
        <f t="shared" si="16"/>
        <v>141.33993326953123</v>
      </c>
      <c r="L50">
        <f t="shared" si="17"/>
        <v>3400112.25</v>
      </c>
      <c r="M50">
        <f t="shared" si="7"/>
        <v>131</v>
      </c>
      <c r="N50">
        <f t="shared" si="8"/>
        <v>96</v>
      </c>
      <c r="O50" s="4">
        <f t="shared" si="9"/>
        <v>21.8</v>
      </c>
      <c r="P50" s="4">
        <f t="shared" si="18"/>
        <v>20.71</v>
      </c>
      <c r="Q50" s="4">
        <f t="shared" si="18"/>
        <v>19.674499999999998</v>
      </c>
      <c r="R50" s="4">
        <f t="shared" si="18"/>
        <v>18.690774999999999</v>
      </c>
      <c r="S50" s="4">
        <f t="shared" si="18"/>
        <v>17.756236249999997</v>
      </c>
      <c r="T50" s="4">
        <f t="shared" si="19"/>
        <v>15.320862562499995</v>
      </c>
      <c r="U50" s="4">
        <f t="shared" si="10"/>
        <v>0</v>
      </c>
      <c r="V50" s="4">
        <f t="shared" si="10"/>
        <v>0</v>
      </c>
      <c r="W50" s="4">
        <f t="shared" si="10"/>
        <v>36.387048585937492</v>
      </c>
      <c r="X50" s="4">
        <f t="shared" si="20"/>
        <v>0</v>
      </c>
      <c r="Y50" s="4">
        <f t="shared" si="21"/>
        <v>0</v>
      </c>
      <c r="Z50" s="4">
        <f t="shared" si="22"/>
        <v>0</v>
      </c>
      <c r="AA50" s="4">
        <f t="shared" si="23"/>
        <v>0</v>
      </c>
      <c r="AB50" s="4">
        <f t="shared" si="24"/>
        <v>0</v>
      </c>
      <c r="AC50" s="4">
        <f t="shared" si="25"/>
        <v>0</v>
      </c>
      <c r="AD50" s="4">
        <f t="shared" si="26"/>
        <v>0</v>
      </c>
      <c r="AE50" s="4">
        <f t="shared" si="27"/>
        <v>0</v>
      </c>
      <c r="AF50" s="4">
        <f t="shared" si="28"/>
        <v>0</v>
      </c>
      <c r="AG50" s="4">
        <f t="shared" si="12"/>
        <v>1</v>
      </c>
      <c r="AH50" s="4">
        <f t="shared" si="29"/>
        <v>0.95</v>
      </c>
      <c r="AI50" s="4">
        <f t="shared" si="30"/>
        <v>0.90249999999999997</v>
      </c>
      <c r="AJ50" s="4">
        <f t="shared" si="31"/>
        <v>0.85737499999999989</v>
      </c>
      <c r="AK50" s="4">
        <f t="shared" si="32"/>
        <v>0.81450624999999988</v>
      </c>
      <c r="AL50" s="4">
        <f t="shared" si="33"/>
        <v>0</v>
      </c>
      <c r="AM50" s="4">
        <f t="shared" si="34"/>
        <v>1.6539567539062494</v>
      </c>
      <c r="AN50" s="4">
        <f t="shared" si="35"/>
        <v>0</v>
      </c>
      <c r="AO50" s="4">
        <f t="shared" si="36"/>
        <v>0</v>
      </c>
    </row>
    <row r="51" spans="1:41">
      <c r="A51">
        <f t="shared" si="38"/>
        <v>7</v>
      </c>
      <c r="B51">
        <f t="shared" si="2"/>
        <v>230</v>
      </c>
      <c r="C51">
        <f t="shared" si="3"/>
        <v>0</v>
      </c>
      <c r="D51">
        <f t="shared" si="4"/>
        <v>87</v>
      </c>
      <c r="E51">
        <f t="shared" si="5"/>
        <v>4</v>
      </c>
      <c r="F51">
        <f t="shared" si="14"/>
        <v>21.75</v>
      </c>
      <c r="G51">
        <f t="shared" si="6"/>
        <v>0.5</v>
      </c>
      <c r="H51">
        <f t="shared" si="0"/>
        <v>1</v>
      </c>
      <c r="I51">
        <f t="shared" si="1"/>
        <v>0.5</v>
      </c>
      <c r="J51">
        <f t="shared" si="15"/>
        <v>44.853294728613236</v>
      </c>
      <c r="K51">
        <f t="shared" si="16"/>
        <v>140.85329472861324</v>
      </c>
      <c r="L51">
        <f t="shared" si="17"/>
        <v>2764577.25</v>
      </c>
      <c r="M51">
        <f t="shared" si="7"/>
        <v>107</v>
      </c>
      <c r="N51">
        <f t="shared" si="8"/>
        <v>96</v>
      </c>
      <c r="O51" s="4">
        <f t="shared" si="9"/>
        <v>21.8</v>
      </c>
      <c r="P51" s="4">
        <f t="shared" si="18"/>
        <v>20.71</v>
      </c>
      <c r="Q51" s="4">
        <f t="shared" si="18"/>
        <v>19.674499999999998</v>
      </c>
      <c r="R51" s="4">
        <f t="shared" si="18"/>
        <v>18.690774999999999</v>
      </c>
      <c r="S51" s="4">
        <f t="shared" si="18"/>
        <v>17.756236249999997</v>
      </c>
      <c r="T51" s="4">
        <f t="shared" si="19"/>
        <v>16.868424437499996</v>
      </c>
      <c r="U51" s="4">
        <f t="shared" si="10"/>
        <v>14.554819434374995</v>
      </c>
      <c r="V51" s="4">
        <f t="shared" si="10"/>
        <v>0</v>
      </c>
      <c r="W51" s="4">
        <f t="shared" si="10"/>
        <v>0</v>
      </c>
      <c r="X51" s="4">
        <f t="shared" si="20"/>
        <v>0</v>
      </c>
      <c r="Y51" s="4">
        <f t="shared" si="21"/>
        <v>0</v>
      </c>
      <c r="Z51" s="4">
        <f t="shared" si="22"/>
        <v>0</v>
      </c>
      <c r="AA51" s="4">
        <f t="shared" si="23"/>
        <v>0</v>
      </c>
      <c r="AB51" s="4">
        <f t="shared" si="24"/>
        <v>0</v>
      </c>
      <c r="AC51" s="4">
        <f t="shared" si="25"/>
        <v>0</v>
      </c>
      <c r="AD51" s="4">
        <f t="shared" si="26"/>
        <v>0</v>
      </c>
      <c r="AE51" s="4">
        <f t="shared" si="27"/>
        <v>0</v>
      </c>
      <c r="AF51" s="4">
        <f t="shared" si="28"/>
        <v>0</v>
      </c>
      <c r="AG51" s="4">
        <f t="shared" si="12"/>
        <v>1</v>
      </c>
      <c r="AH51" s="4">
        <f t="shared" si="29"/>
        <v>0.95</v>
      </c>
      <c r="AI51" s="4">
        <f t="shared" si="30"/>
        <v>0.45124999999999998</v>
      </c>
      <c r="AJ51" s="4">
        <f t="shared" si="31"/>
        <v>0.42868749999999994</v>
      </c>
      <c r="AK51" s="4">
        <f t="shared" si="32"/>
        <v>0.40725312499999994</v>
      </c>
      <c r="AL51" s="4">
        <f t="shared" si="33"/>
        <v>0.38689046874999994</v>
      </c>
      <c r="AM51" s="4">
        <f t="shared" si="34"/>
        <v>0</v>
      </c>
      <c r="AN51" s="4">
        <f t="shared" si="35"/>
        <v>0.78562945810546847</v>
      </c>
      <c r="AO51" s="4">
        <f t="shared" si="36"/>
        <v>0</v>
      </c>
    </row>
    <row r="52" spans="1:41">
      <c r="A52">
        <f t="shared" si="38"/>
        <v>8</v>
      </c>
      <c r="B52">
        <f t="shared" si="2"/>
        <v>244</v>
      </c>
      <c r="C52">
        <f t="shared" si="3"/>
        <v>0</v>
      </c>
      <c r="D52">
        <f t="shared" si="4"/>
        <v>102</v>
      </c>
      <c r="E52">
        <f t="shared" si="5"/>
        <v>3</v>
      </c>
      <c r="F52">
        <f t="shared" si="14"/>
        <v>34</v>
      </c>
      <c r="G52">
        <f t="shared" si="6"/>
        <v>0.5</v>
      </c>
      <c r="H52">
        <f t="shared" si="0"/>
        <v>1</v>
      </c>
      <c r="I52">
        <f t="shared" si="1"/>
        <v>0.5</v>
      </c>
      <c r="J52">
        <f t="shared" si="15"/>
        <v>8.3428357958178569</v>
      </c>
      <c r="K52">
        <f t="shared" si="16"/>
        <v>104.34283579581786</v>
      </c>
      <c r="L52">
        <f t="shared" si="17"/>
        <v>3241228.5</v>
      </c>
      <c r="M52">
        <f t="shared" si="7"/>
        <v>87</v>
      </c>
      <c r="N52">
        <f t="shared" si="8"/>
        <v>96</v>
      </c>
      <c r="O52" s="4">
        <f t="shared" si="9"/>
        <v>21.8</v>
      </c>
      <c r="P52" s="4">
        <f t="shared" si="18"/>
        <v>20.71</v>
      </c>
      <c r="Q52" s="4">
        <f t="shared" si="18"/>
        <v>19.674499999999998</v>
      </c>
      <c r="R52" s="4">
        <f t="shared" si="18"/>
        <v>18.690774999999999</v>
      </c>
      <c r="S52" s="4">
        <f t="shared" si="18"/>
        <v>17.756236249999997</v>
      </c>
      <c r="T52" s="4">
        <f t="shared" si="19"/>
        <v>16.868424437499996</v>
      </c>
      <c r="U52" s="4">
        <f t="shared" si="10"/>
        <v>16.025003215624995</v>
      </c>
      <c r="V52" s="4">
        <f t="shared" si="10"/>
        <v>13.827078462656244</v>
      </c>
      <c r="W52" s="4">
        <f t="shared" si="10"/>
        <v>0</v>
      </c>
      <c r="X52" s="4">
        <f t="shared" si="20"/>
        <v>0</v>
      </c>
      <c r="Y52" s="4">
        <f t="shared" si="21"/>
        <v>0</v>
      </c>
      <c r="Z52" s="4">
        <f t="shared" si="22"/>
        <v>0</v>
      </c>
      <c r="AA52" s="4">
        <f t="shared" si="23"/>
        <v>0</v>
      </c>
      <c r="AB52" s="4">
        <f t="shared" si="24"/>
        <v>0</v>
      </c>
      <c r="AC52" s="4">
        <f t="shared" si="25"/>
        <v>0</v>
      </c>
      <c r="AD52" s="4">
        <f t="shared" si="26"/>
        <v>0</v>
      </c>
      <c r="AE52" s="4">
        <f t="shared" si="27"/>
        <v>0</v>
      </c>
      <c r="AF52" s="4">
        <f t="shared" si="28"/>
        <v>0</v>
      </c>
      <c r="AG52" s="4">
        <f t="shared" si="12"/>
        <v>1</v>
      </c>
      <c r="AH52" s="4">
        <f t="shared" si="29"/>
        <v>0.95</v>
      </c>
      <c r="AI52" s="4">
        <f t="shared" si="30"/>
        <v>0.45124999999999998</v>
      </c>
      <c r="AJ52" s="4">
        <f t="shared" si="31"/>
        <v>0.21434374999999997</v>
      </c>
      <c r="AK52" s="4">
        <f t="shared" si="32"/>
        <v>0.20362656249999997</v>
      </c>
      <c r="AL52" s="4">
        <f t="shared" si="33"/>
        <v>0.19344523437499997</v>
      </c>
      <c r="AM52" s="4">
        <f t="shared" si="34"/>
        <v>0.18377297265624995</v>
      </c>
      <c r="AN52" s="4">
        <f t="shared" si="35"/>
        <v>0</v>
      </c>
      <c r="AO52" s="4">
        <f t="shared" si="36"/>
        <v>0.37317399260009748</v>
      </c>
    </row>
    <row r="53" spans="1:41">
      <c r="A53">
        <f t="shared" si="38"/>
        <v>9</v>
      </c>
      <c r="B53">
        <f t="shared" si="2"/>
        <v>227</v>
      </c>
      <c r="C53">
        <f t="shared" si="3"/>
        <v>0</v>
      </c>
      <c r="D53">
        <f t="shared" si="4"/>
        <v>117</v>
      </c>
      <c r="E53">
        <f t="shared" si="5"/>
        <v>2</v>
      </c>
      <c r="F53">
        <f t="shared" si="14"/>
        <v>58.5</v>
      </c>
      <c r="G53">
        <f t="shared" si="6"/>
        <v>1</v>
      </c>
      <c r="H53">
        <f t="shared" si="0"/>
        <v>1</v>
      </c>
      <c r="I53">
        <f t="shared" si="1"/>
        <v>0.5</v>
      </c>
      <c r="J53">
        <f t="shared" si="15"/>
        <v>8.8439050836430511</v>
      </c>
      <c r="K53">
        <f t="shared" si="16"/>
        <v>73.043905083643054</v>
      </c>
      <c r="L53">
        <f t="shared" si="17"/>
        <v>3717879.75</v>
      </c>
      <c r="M53">
        <f t="shared" si="7"/>
        <v>102</v>
      </c>
      <c r="N53">
        <f t="shared" si="8"/>
        <v>64.2</v>
      </c>
      <c r="O53" s="4">
        <f t="shared" si="9"/>
        <v>21.8</v>
      </c>
      <c r="P53" s="4">
        <f t="shared" si="18"/>
        <v>20.71</v>
      </c>
      <c r="Q53" s="4">
        <f t="shared" si="18"/>
        <v>19.674499999999998</v>
      </c>
      <c r="R53" s="4">
        <f t="shared" si="18"/>
        <v>18.690774999999999</v>
      </c>
      <c r="S53" s="4">
        <f t="shared" si="18"/>
        <v>17.756236249999997</v>
      </c>
      <c r="T53" s="4">
        <f t="shared" si="19"/>
        <v>16.868424437499996</v>
      </c>
      <c r="U53" s="4">
        <f t="shared" si="10"/>
        <v>16.025003215624995</v>
      </c>
      <c r="V53" s="4">
        <f t="shared" si="10"/>
        <v>15.223753054843744</v>
      </c>
      <c r="W53" s="4">
        <f t="shared" si="10"/>
        <v>13.135724539523432</v>
      </c>
      <c r="X53" s="4">
        <f t="shared" si="20"/>
        <v>0</v>
      </c>
      <c r="Y53" s="4">
        <f t="shared" si="21"/>
        <v>0</v>
      </c>
      <c r="Z53" s="4">
        <f t="shared" si="22"/>
        <v>0</v>
      </c>
      <c r="AA53" s="4">
        <f t="shared" si="23"/>
        <v>0</v>
      </c>
      <c r="AB53" s="4">
        <f t="shared" si="24"/>
        <v>0</v>
      </c>
      <c r="AC53" s="4">
        <f t="shared" si="25"/>
        <v>0</v>
      </c>
      <c r="AD53" s="4">
        <f t="shared" si="26"/>
        <v>0</v>
      </c>
      <c r="AE53" s="4">
        <f t="shared" si="27"/>
        <v>0</v>
      </c>
      <c r="AF53" s="4">
        <f t="shared" si="28"/>
        <v>0</v>
      </c>
      <c r="AG53" s="4">
        <f t="shared" si="12"/>
        <v>1</v>
      </c>
      <c r="AH53" s="4">
        <f t="shared" si="29"/>
        <v>0.95</v>
      </c>
      <c r="AI53" s="4">
        <f t="shared" si="30"/>
        <v>0.45124999999999998</v>
      </c>
      <c r="AJ53" s="4">
        <f t="shared" si="31"/>
        <v>0.21434374999999997</v>
      </c>
      <c r="AK53" s="4">
        <f t="shared" si="32"/>
        <v>0.10181328124999998</v>
      </c>
      <c r="AL53" s="4">
        <f t="shared" si="33"/>
        <v>9.6722617187499985E-2</v>
      </c>
      <c r="AM53" s="4">
        <f t="shared" si="34"/>
        <v>9.1886486328124975E-2</v>
      </c>
      <c r="AN53" s="4">
        <f t="shared" si="35"/>
        <v>8.7292162011718716E-2</v>
      </c>
      <c r="AO53" s="4">
        <f t="shared" si="36"/>
        <v>0</v>
      </c>
    </row>
    <row r="54" spans="1:41">
      <c r="A54">
        <f t="shared" si="38"/>
        <v>10</v>
      </c>
      <c r="B54">
        <f t="shared" si="2"/>
        <v>261</v>
      </c>
      <c r="C54">
        <f t="shared" si="3"/>
        <v>0</v>
      </c>
      <c r="D54">
        <f t="shared" si="4"/>
        <v>118</v>
      </c>
      <c r="E54">
        <f t="shared" si="5"/>
        <v>3</v>
      </c>
      <c r="F54">
        <f t="shared" si="14"/>
        <v>39.333333333333336</v>
      </c>
      <c r="G54">
        <f t="shared" si="6"/>
        <v>1</v>
      </c>
      <c r="H54">
        <f t="shared" si="0"/>
        <v>1</v>
      </c>
      <c r="I54">
        <f t="shared" si="1"/>
        <v>0.5</v>
      </c>
      <c r="J54">
        <f t="shared" si="15"/>
        <v>20.622824552260742</v>
      </c>
      <c r="K54">
        <f t="shared" si="16"/>
        <v>116.62282455226074</v>
      </c>
      <c r="L54">
        <f t="shared" si="17"/>
        <v>3749656.5</v>
      </c>
      <c r="M54">
        <f t="shared" si="7"/>
        <v>117</v>
      </c>
      <c r="N54">
        <f t="shared" si="8"/>
        <v>96</v>
      </c>
      <c r="O54" s="4">
        <f t="shared" si="9"/>
        <v>21.8</v>
      </c>
      <c r="P54" s="4">
        <f t="shared" si="18"/>
        <v>20.71</v>
      </c>
      <c r="Q54" s="4">
        <f t="shared" si="18"/>
        <v>19.674499999999998</v>
      </c>
      <c r="R54" s="4">
        <f t="shared" si="18"/>
        <v>18.690774999999999</v>
      </c>
      <c r="S54" s="4">
        <f t="shared" si="18"/>
        <v>17.756236249999997</v>
      </c>
      <c r="T54" s="4">
        <f t="shared" si="19"/>
        <v>16.868424437499996</v>
      </c>
      <c r="U54" s="4">
        <f t="shared" si="10"/>
        <v>16.025003215624995</v>
      </c>
      <c r="V54" s="4">
        <f t="shared" si="10"/>
        <v>15.223753054843744</v>
      </c>
      <c r="W54" s="4">
        <f t="shared" si="10"/>
        <v>14.462565402101557</v>
      </c>
      <c r="X54" s="4">
        <f t="shared" si="20"/>
        <v>0</v>
      </c>
      <c r="Y54" s="4">
        <f t="shared" si="21"/>
        <v>0</v>
      </c>
      <c r="Z54" s="4">
        <f t="shared" si="22"/>
        <v>0</v>
      </c>
      <c r="AA54" s="4">
        <f t="shared" si="23"/>
        <v>0</v>
      </c>
      <c r="AB54" s="4">
        <f t="shared" si="24"/>
        <v>0</v>
      </c>
      <c r="AC54" s="4">
        <f t="shared" si="25"/>
        <v>0</v>
      </c>
      <c r="AD54" s="4">
        <f t="shared" si="26"/>
        <v>0</v>
      </c>
      <c r="AE54" s="4">
        <f t="shared" si="27"/>
        <v>0</v>
      </c>
      <c r="AF54" s="4">
        <f t="shared" si="28"/>
        <v>0</v>
      </c>
      <c r="AG54" s="4">
        <f t="shared" si="12"/>
        <v>1</v>
      </c>
      <c r="AH54" s="4">
        <f t="shared" si="29"/>
        <v>0.95</v>
      </c>
      <c r="AI54" s="4">
        <f t="shared" si="30"/>
        <v>0.90249999999999997</v>
      </c>
      <c r="AJ54" s="4">
        <f t="shared" si="31"/>
        <v>0.42868749999999994</v>
      </c>
      <c r="AK54" s="4">
        <f t="shared" si="32"/>
        <v>0.20362656249999997</v>
      </c>
      <c r="AL54" s="4">
        <f t="shared" si="33"/>
        <v>9.6722617187499985E-2</v>
      </c>
      <c r="AM54" s="4">
        <f t="shared" si="34"/>
        <v>9.1886486328124975E-2</v>
      </c>
      <c r="AN54" s="4">
        <f t="shared" si="35"/>
        <v>8.7292162011718716E-2</v>
      </c>
      <c r="AO54" s="4">
        <f t="shared" si="36"/>
        <v>8.2927553911132781E-2</v>
      </c>
    </row>
    <row r="55" spans="1:41">
      <c r="A55">
        <f t="shared" si="38"/>
        <v>11</v>
      </c>
      <c r="B55">
        <f t="shared" si="2"/>
        <v>261</v>
      </c>
      <c r="C55">
        <f t="shared" si="3"/>
        <v>0</v>
      </c>
      <c r="D55">
        <f t="shared" si="4"/>
        <v>118</v>
      </c>
      <c r="E55">
        <f t="shared" si="5"/>
        <v>4</v>
      </c>
      <c r="F55">
        <f t="shared" si="14"/>
        <v>29.5</v>
      </c>
      <c r="G55">
        <f t="shared" si="6"/>
        <v>1</v>
      </c>
      <c r="H55">
        <f t="shared" si="0"/>
        <v>1</v>
      </c>
      <c r="I55">
        <f t="shared" si="1"/>
        <v>0.5</v>
      </c>
      <c r="J55">
        <f t="shared" si="15"/>
        <v>22.070963320312487</v>
      </c>
      <c r="K55">
        <f t="shared" si="16"/>
        <v>118.07096332031249</v>
      </c>
      <c r="L55">
        <f t="shared" si="17"/>
        <v>3749656.5</v>
      </c>
      <c r="M55">
        <f t="shared" si="7"/>
        <v>118</v>
      </c>
      <c r="N55">
        <f t="shared" si="8"/>
        <v>96</v>
      </c>
      <c r="O55" s="4">
        <f t="shared" si="9"/>
        <v>21.8</v>
      </c>
      <c r="P55" s="4">
        <f t="shared" si="18"/>
        <v>20.71</v>
      </c>
      <c r="Q55" s="4">
        <f t="shared" si="18"/>
        <v>19.674499999999998</v>
      </c>
      <c r="R55" s="4">
        <f t="shared" si="18"/>
        <v>18.690774999999999</v>
      </c>
      <c r="S55" s="4">
        <f t="shared" si="18"/>
        <v>17.756236249999997</v>
      </c>
      <c r="T55" s="4">
        <f t="shared" si="19"/>
        <v>16.868424437499996</v>
      </c>
      <c r="U55" s="4">
        <f t="shared" si="10"/>
        <v>16.025003215624995</v>
      </c>
      <c r="V55" s="4">
        <f t="shared" si="10"/>
        <v>15.223753054843744</v>
      </c>
      <c r="W55" s="4">
        <f t="shared" si="10"/>
        <v>14.462565402101557</v>
      </c>
      <c r="X55" s="4">
        <f t="shared" si="20"/>
        <v>0</v>
      </c>
      <c r="Y55" s="4">
        <f t="shared" si="21"/>
        <v>0</v>
      </c>
      <c r="Z55" s="4">
        <f t="shared" si="22"/>
        <v>0</v>
      </c>
      <c r="AA55" s="4">
        <f t="shared" si="23"/>
        <v>0</v>
      </c>
      <c r="AB55" s="4">
        <f t="shared" si="24"/>
        <v>0</v>
      </c>
      <c r="AC55" s="4">
        <f t="shared" si="25"/>
        <v>0</v>
      </c>
      <c r="AD55" s="4">
        <f t="shared" si="26"/>
        <v>0</v>
      </c>
      <c r="AE55" s="4">
        <f t="shared" si="27"/>
        <v>0</v>
      </c>
      <c r="AF55" s="4">
        <f t="shared" si="28"/>
        <v>0</v>
      </c>
      <c r="AG55" s="4">
        <f t="shared" si="12"/>
        <v>1</v>
      </c>
      <c r="AH55" s="4">
        <f t="shared" si="29"/>
        <v>0.95</v>
      </c>
      <c r="AI55" s="4">
        <f t="shared" si="30"/>
        <v>0.90249999999999997</v>
      </c>
      <c r="AJ55" s="4">
        <f t="shared" si="31"/>
        <v>0.85737499999999989</v>
      </c>
      <c r="AK55" s="4">
        <f t="shared" si="32"/>
        <v>0.40725312499999994</v>
      </c>
      <c r="AL55" s="4">
        <f t="shared" si="33"/>
        <v>0.19344523437499997</v>
      </c>
      <c r="AM55" s="4">
        <f t="shared" si="34"/>
        <v>9.1886486328124975E-2</v>
      </c>
      <c r="AN55" s="4">
        <f t="shared" si="35"/>
        <v>8.7292162011718716E-2</v>
      </c>
      <c r="AO55" s="4">
        <f t="shared" si="36"/>
        <v>8.2927553911132781E-2</v>
      </c>
    </row>
    <row r="56" spans="1:41">
      <c r="A56">
        <f t="shared" si="38"/>
        <v>12</v>
      </c>
      <c r="B56">
        <f t="shared" si="2"/>
        <v>262</v>
      </c>
      <c r="C56">
        <f t="shared" si="3"/>
        <v>0</v>
      </c>
      <c r="D56">
        <f t="shared" si="4"/>
        <v>118</v>
      </c>
      <c r="E56">
        <f t="shared" si="5"/>
        <v>5</v>
      </c>
      <c r="F56">
        <f t="shared" si="14"/>
        <v>23.6</v>
      </c>
      <c r="G56">
        <f t="shared" si="6"/>
        <v>1</v>
      </c>
      <c r="H56">
        <f t="shared" si="0"/>
        <v>1</v>
      </c>
      <c r="I56">
        <f t="shared" si="1"/>
        <v>0.5</v>
      </c>
      <c r="J56">
        <f t="shared" si="15"/>
        <v>22.107415154296845</v>
      </c>
      <c r="K56">
        <f t="shared" si="16"/>
        <v>118.10741515429685</v>
      </c>
      <c r="L56">
        <f t="shared" si="17"/>
        <v>3749656.5</v>
      </c>
      <c r="M56">
        <f t="shared" si="7"/>
        <v>118</v>
      </c>
      <c r="N56">
        <f t="shared" si="8"/>
        <v>96</v>
      </c>
      <c r="O56" s="4">
        <f t="shared" si="9"/>
        <v>21.8</v>
      </c>
      <c r="P56" s="4">
        <f t="shared" si="18"/>
        <v>20.71</v>
      </c>
      <c r="Q56" s="4">
        <f t="shared" si="18"/>
        <v>19.674499999999998</v>
      </c>
      <c r="R56" s="4">
        <f t="shared" si="18"/>
        <v>18.690774999999999</v>
      </c>
      <c r="S56" s="4">
        <f t="shared" si="18"/>
        <v>17.756236249999997</v>
      </c>
      <c r="T56" s="4">
        <f t="shared" si="19"/>
        <v>16.868424437499996</v>
      </c>
      <c r="U56" s="4">
        <f t="shared" si="10"/>
        <v>16.025003215624995</v>
      </c>
      <c r="V56" s="4">
        <f t="shared" si="10"/>
        <v>15.223753054843744</v>
      </c>
      <c r="W56" s="4">
        <f t="shared" si="10"/>
        <v>14.462565402101557</v>
      </c>
      <c r="X56" s="4">
        <f t="shared" si="20"/>
        <v>0</v>
      </c>
      <c r="Y56" s="4">
        <f t="shared" si="21"/>
        <v>0</v>
      </c>
      <c r="Z56" s="4">
        <f t="shared" si="22"/>
        <v>0</v>
      </c>
      <c r="AA56" s="4">
        <f t="shared" si="23"/>
        <v>0</v>
      </c>
      <c r="AB56" s="4">
        <f t="shared" si="24"/>
        <v>0</v>
      </c>
      <c r="AC56" s="4">
        <f t="shared" si="25"/>
        <v>0</v>
      </c>
      <c r="AD56" s="4">
        <f t="shared" si="26"/>
        <v>0</v>
      </c>
      <c r="AE56" s="4">
        <f t="shared" si="27"/>
        <v>0</v>
      </c>
      <c r="AF56" s="4">
        <f t="shared" si="28"/>
        <v>0</v>
      </c>
      <c r="AG56" s="4">
        <f t="shared" si="12"/>
        <v>1</v>
      </c>
      <c r="AH56" s="4">
        <f t="shared" si="29"/>
        <v>0.95</v>
      </c>
      <c r="AI56" s="4">
        <f t="shared" si="30"/>
        <v>0.90249999999999997</v>
      </c>
      <c r="AJ56" s="4">
        <f t="shared" si="31"/>
        <v>0.85737499999999989</v>
      </c>
      <c r="AK56" s="4">
        <f t="shared" si="32"/>
        <v>0.81450624999999988</v>
      </c>
      <c r="AL56" s="4">
        <f t="shared" si="33"/>
        <v>0.38689046874999994</v>
      </c>
      <c r="AM56" s="4">
        <f t="shared" si="34"/>
        <v>0.18377297265624995</v>
      </c>
      <c r="AN56" s="4">
        <f t="shared" si="35"/>
        <v>8.7292162011718716E-2</v>
      </c>
      <c r="AO56" s="4">
        <f t="shared" si="36"/>
        <v>8.2927553911132781E-2</v>
      </c>
    </row>
    <row r="57" spans="1:41">
      <c r="A57">
        <f t="shared" si="38"/>
        <v>13</v>
      </c>
      <c r="B57">
        <f t="shared" si="2"/>
        <v>263</v>
      </c>
      <c r="C57">
        <f t="shared" si="3"/>
        <v>0</v>
      </c>
      <c r="D57">
        <f t="shared" si="4"/>
        <v>118</v>
      </c>
      <c r="E57">
        <f t="shared" si="5"/>
        <v>5</v>
      </c>
      <c r="F57">
        <f t="shared" si="14"/>
        <v>23.6</v>
      </c>
      <c r="G57">
        <f t="shared" si="6"/>
        <v>0.5</v>
      </c>
      <c r="H57">
        <f t="shared" si="0"/>
        <v>1</v>
      </c>
      <c r="I57">
        <f t="shared" si="1"/>
        <v>0.5</v>
      </c>
      <c r="J57">
        <f t="shared" si="15"/>
        <v>22.142044396581998</v>
      </c>
      <c r="K57">
        <f t="shared" si="16"/>
        <v>118.14204439658199</v>
      </c>
      <c r="L57">
        <f t="shared" si="17"/>
        <v>3749656.5</v>
      </c>
      <c r="M57">
        <f t="shared" si="7"/>
        <v>118</v>
      </c>
      <c r="N57">
        <f t="shared" si="8"/>
        <v>96</v>
      </c>
      <c r="O57" s="4">
        <f t="shared" si="9"/>
        <v>21.8</v>
      </c>
      <c r="P57" s="4">
        <f t="shared" si="18"/>
        <v>20.71</v>
      </c>
      <c r="Q57" s="4">
        <f t="shared" si="18"/>
        <v>19.674499999999998</v>
      </c>
      <c r="R57" s="4">
        <f t="shared" si="18"/>
        <v>18.690774999999999</v>
      </c>
      <c r="S57" s="4">
        <f t="shared" si="18"/>
        <v>17.756236249999997</v>
      </c>
      <c r="T57" s="4">
        <f t="shared" si="19"/>
        <v>16.868424437499996</v>
      </c>
      <c r="U57" s="4">
        <f t="shared" si="10"/>
        <v>16.025003215624995</v>
      </c>
      <c r="V57" s="4">
        <f t="shared" si="10"/>
        <v>15.223753054843744</v>
      </c>
      <c r="W57" s="4">
        <f t="shared" si="10"/>
        <v>14.462565402101557</v>
      </c>
      <c r="X57" s="4">
        <f t="shared" si="20"/>
        <v>0</v>
      </c>
      <c r="Y57" s="4">
        <f t="shared" si="21"/>
        <v>0</v>
      </c>
      <c r="Z57" s="4">
        <f t="shared" si="22"/>
        <v>0</v>
      </c>
      <c r="AA57" s="4">
        <f t="shared" si="23"/>
        <v>0</v>
      </c>
      <c r="AB57" s="4">
        <f t="shared" si="24"/>
        <v>0</v>
      </c>
      <c r="AC57" s="4">
        <f t="shared" si="25"/>
        <v>0</v>
      </c>
      <c r="AD57" s="4">
        <f t="shared" si="26"/>
        <v>0</v>
      </c>
      <c r="AE57" s="4">
        <f t="shared" si="27"/>
        <v>0</v>
      </c>
      <c r="AF57" s="4">
        <f t="shared" si="28"/>
        <v>0</v>
      </c>
      <c r="AG57" s="4">
        <f t="shared" si="12"/>
        <v>1</v>
      </c>
      <c r="AH57" s="4">
        <f t="shared" si="29"/>
        <v>0.95</v>
      </c>
      <c r="AI57" s="4">
        <f t="shared" si="30"/>
        <v>0.90249999999999997</v>
      </c>
      <c r="AJ57" s="4">
        <f t="shared" si="31"/>
        <v>0.85737499999999989</v>
      </c>
      <c r="AK57" s="4">
        <f t="shared" si="32"/>
        <v>0.81450624999999988</v>
      </c>
      <c r="AL57" s="4">
        <f t="shared" si="33"/>
        <v>0.77378093749999988</v>
      </c>
      <c r="AM57" s="4">
        <f t="shared" si="34"/>
        <v>0.3675459453124999</v>
      </c>
      <c r="AN57" s="4">
        <f t="shared" si="35"/>
        <v>0.17458432402343743</v>
      </c>
      <c r="AO57" s="4">
        <f t="shared" si="36"/>
        <v>8.2927553911132781E-2</v>
      </c>
    </row>
    <row r="58" spans="1:41">
      <c r="A58">
        <f t="shared" si="38"/>
        <v>14</v>
      </c>
      <c r="B58">
        <f t="shared" si="2"/>
        <v>261</v>
      </c>
      <c r="C58">
        <f t="shared" si="3"/>
        <v>0</v>
      </c>
      <c r="D58">
        <f t="shared" si="4"/>
        <v>118</v>
      </c>
      <c r="E58">
        <f t="shared" si="5"/>
        <v>4</v>
      </c>
      <c r="F58">
        <f t="shared" si="14"/>
        <v>29.5</v>
      </c>
      <c r="G58">
        <f t="shared" si="6"/>
        <v>0.5</v>
      </c>
      <c r="H58">
        <f t="shared" si="0"/>
        <v>1</v>
      </c>
      <c r="I58">
        <f t="shared" si="1"/>
        <v>0.5</v>
      </c>
      <c r="J58">
        <f t="shared" si="15"/>
        <v>24.474081093749945</v>
      </c>
      <c r="K58">
        <f t="shared" si="16"/>
        <v>120.47408109374994</v>
      </c>
      <c r="L58">
        <f t="shared" si="17"/>
        <v>3749656.5</v>
      </c>
      <c r="M58">
        <f t="shared" si="7"/>
        <v>118</v>
      </c>
      <c r="N58">
        <f t="shared" si="8"/>
        <v>96</v>
      </c>
      <c r="O58" s="4">
        <f t="shared" si="9"/>
        <v>21.8</v>
      </c>
      <c r="P58" s="4">
        <f t="shared" si="18"/>
        <v>20.71</v>
      </c>
      <c r="Q58" s="4">
        <f t="shared" si="18"/>
        <v>19.674499999999998</v>
      </c>
      <c r="R58" s="4">
        <f t="shared" si="18"/>
        <v>18.690774999999999</v>
      </c>
      <c r="S58" s="4">
        <f t="shared" si="18"/>
        <v>17.756236249999997</v>
      </c>
      <c r="T58" s="4">
        <f t="shared" si="19"/>
        <v>16.868424437499996</v>
      </c>
      <c r="U58" s="4">
        <f t="shared" si="10"/>
        <v>16.025003215624995</v>
      </c>
      <c r="V58" s="4">
        <f t="shared" si="10"/>
        <v>15.223753054843744</v>
      </c>
      <c r="W58" s="4">
        <f t="shared" si="10"/>
        <v>14.462565402101557</v>
      </c>
      <c r="X58" s="4">
        <f t="shared" si="20"/>
        <v>0</v>
      </c>
      <c r="Y58" s="4">
        <f t="shared" si="21"/>
        <v>0</v>
      </c>
      <c r="Z58" s="4">
        <f t="shared" si="22"/>
        <v>0</v>
      </c>
      <c r="AA58" s="4">
        <f t="shared" si="23"/>
        <v>0</v>
      </c>
      <c r="AB58" s="4">
        <f t="shared" si="24"/>
        <v>0</v>
      </c>
      <c r="AC58" s="4">
        <f t="shared" si="25"/>
        <v>0</v>
      </c>
      <c r="AD58" s="4">
        <f t="shared" si="26"/>
        <v>0</v>
      </c>
      <c r="AE58" s="4">
        <f t="shared" si="27"/>
        <v>0</v>
      </c>
      <c r="AF58" s="4">
        <f t="shared" si="28"/>
        <v>0</v>
      </c>
      <c r="AG58" s="4">
        <f t="shared" si="12"/>
        <v>1</v>
      </c>
      <c r="AH58" s="4">
        <f t="shared" si="29"/>
        <v>0.95</v>
      </c>
      <c r="AI58" s="4">
        <f t="shared" si="30"/>
        <v>0.45124999999999998</v>
      </c>
      <c r="AJ58" s="4">
        <f t="shared" si="31"/>
        <v>0.42868749999999994</v>
      </c>
      <c r="AK58" s="4">
        <f t="shared" si="32"/>
        <v>0.40725312499999994</v>
      </c>
      <c r="AL58" s="4">
        <f t="shared" si="33"/>
        <v>0.38689046874999994</v>
      </c>
      <c r="AM58" s="4">
        <f t="shared" si="34"/>
        <v>0.3675459453124999</v>
      </c>
      <c r="AN58" s="4">
        <f t="shared" si="35"/>
        <v>0.17458432402343743</v>
      </c>
      <c r="AO58" s="4">
        <f t="shared" si="36"/>
        <v>8.2927553911132781E-2</v>
      </c>
    </row>
    <row r="59" spans="1:41">
      <c r="A59">
        <f t="shared" ref="A59:A71" si="39">A58+1</f>
        <v>15</v>
      </c>
      <c r="B59">
        <f t="shared" si="2"/>
        <v>260</v>
      </c>
      <c r="C59">
        <f t="shared" si="3"/>
        <v>0</v>
      </c>
      <c r="D59">
        <f t="shared" si="4"/>
        <v>118</v>
      </c>
      <c r="E59">
        <f t="shared" si="5"/>
        <v>3</v>
      </c>
      <c r="F59">
        <f t="shared" si="14"/>
        <v>39.333333333333336</v>
      </c>
      <c r="G59">
        <f t="shared" si="6"/>
        <v>1</v>
      </c>
      <c r="H59">
        <f t="shared" si="0"/>
        <v>1</v>
      </c>
      <c r="I59">
        <f t="shared" si="1"/>
        <v>0.5</v>
      </c>
      <c r="J59">
        <f t="shared" si="15"/>
        <v>23.595188519531217</v>
      </c>
      <c r="K59">
        <f t="shared" si="16"/>
        <v>119.59518851953122</v>
      </c>
      <c r="L59">
        <f t="shared" si="17"/>
        <v>3749656.5</v>
      </c>
      <c r="M59">
        <f t="shared" si="7"/>
        <v>118</v>
      </c>
      <c r="N59">
        <f t="shared" si="8"/>
        <v>96</v>
      </c>
      <c r="O59" s="4">
        <f t="shared" si="9"/>
        <v>21.8</v>
      </c>
      <c r="P59" s="4">
        <f t="shared" si="18"/>
        <v>20.71</v>
      </c>
      <c r="Q59" s="4">
        <f t="shared" si="18"/>
        <v>19.674499999999998</v>
      </c>
      <c r="R59" s="4">
        <f t="shared" si="18"/>
        <v>18.690774999999999</v>
      </c>
      <c r="S59" s="4">
        <f t="shared" si="18"/>
        <v>17.756236249999997</v>
      </c>
      <c r="T59" s="4">
        <f t="shared" si="19"/>
        <v>16.868424437499996</v>
      </c>
      <c r="U59" s="4">
        <f t="shared" si="10"/>
        <v>16.025003215624995</v>
      </c>
      <c r="V59" s="4">
        <f t="shared" si="10"/>
        <v>15.223753054843744</v>
      </c>
      <c r="W59" s="4">
        <f t="shared" si="10"/>
        <v>14.462565402101557</v>
      </c>
      <c r="X59" s="4">
        <f t="shared" si="20"/>
        <v>0</v>
      </c>
      <c r="Y59" s="4">
        <f t="shared" si="21"/>
        <v>0</v>
      </c>
      <c r="Z59" s="4">
        <f t="shared" si="22"/>
        <v>0</v>
      </c>
      <c r="AA59" s="4">
        <f t="shared" si="23"/>
        <v>0</v>
      </c>
      <c r="AB59" s="4">
        <f t="shared" si="24"/>
        <v>0</v>
      </c>
      <c r="AC59" s="4">
        <f t="shared" si="25"/>
        <v>0</v>
      </c>
      <c r="AD59" s="4">
        <f t="shared" si="26"/>
        <v>0</v>
      </c>
      <c r="AE59" s="4">
        <f t="shared" si="27"/>
        <v>0</v>
      </c>
      <c r="AF59" s="4">
        <f t="shared" si="28"/>
        <v>0</v>
      </c>
      <c r="AG59" s="4">
        <f t="shared" si="12"/>
        <v>1</v>
      </c>
      <c r="AH59" s="4">
        <f t="shared" si="29"/>
        <v>0.95</v>
      </c>
      <c r="AI59" s="4">
        <f t="shared" si="30"/>
        <v>0.45124999999999998</v>
      </c>
      <c r="AJ59" s="4">
        <f t="shared" si="31"/>
        <v>0.21434374999999997</v>
      </c>
      <c r="AK59" s="4">
        <f t="shared" si="32"/>
        <v>0.20362656249999997</v>
      </c>
      <c r="AL59" s="4">
        <f t="shared" si="33"/>
        <v>0.19344523437499997</v>
      </c>
      <c r="AM59" s="4">
        <f t="shared" si="34"/>
        <v>0.18377297265624995</v>
      </c>
      <c r="AN59" s="4">
        <f t="shared" si="35"/>
        <v>0.17458432402343743</v>
      </c>
      <c r="AO59" s="4">
        <f t="shared" si="36"/>
        <v>8.2927553911132781E-2</v>
      </c>
    </row>
    <row r="60" spans="1:41">
      <c r="A60">
        <f t="shared" si="39"/>
        <v>16</v>
      </c>
      <c r="B60">
        <f t="shared" si="2"/>
        <v>261</v>
      </c>
      <c r="C60">
        <f t="shared" si="3"/>
        <v>0</v>
      </c>
      <c r="D60">
        <f t="shared" si="4"/>
        <v>118</v>
      </c>
      <c r="E60">
        <f t="shared" si="5"/>
        <v>4</v>
      </c>
      <c r="F60">
        <f t="shared" si="14"/>
        <v>29.5</v>
      </c>
      <c r="G60">
        <f t="shared" si="6"/>
        <v>1</v>
      </c>
      <c r="H60">
        <f t="shared" si="0"/>
        <v>1</v>
      </c>
      <c r="I60">
        <f t="shared" si="1"/>
        <v>0.5</v>
      </c>
      <c r="J60">
        <f t="shared" si="15"/>
        <v>22.051478696088832</v>
      </c>
      <c r="K60">
        <f t="shared" si="16"/>
        <v>118.05147869608884</v>
      </c>
      <c r="L60">
        <f t="shared" si="17"/>
        <v>3749656.5</v>
      </c>
      <c r="M60">
        <f t="shared" si="7"/>
        <v>118</v>
      </c>
      <c r="N60">
        <f t="shared" si="8"/>
        <v>96</v>
      </c>
      <c r="O60" s="4">
        <f t="shared" si="9"/>
        <v>21.8</v>
      </c>
      <c r="P60" s="4">
        <f t="shared" si="18"/>
        <v>20.71</v>
      </c>
      <c r="Q60" s="4">
        <f t="shared" si="18"/>
        <v>19.674499999999998</v>
      </c>
      <c r="R60" s="4">
        <f t="shared" si="18"/>
        <v>18.690774999999999</v>
      </c>
      <c r="S60" s="4">
        <f t="shared" si="18"/>
        <v>17.756236249999997</v>
      </c>
      <c r="T60" s="4">
        <f t="shared" si="19"/>
        <v>16.868424437499996</v>
      </c>
      <c r="U60" s="4">
        <f t="shared" si="10"/>
        <v>16.025003215624995</v>
      </c>
      <c r="V60" s="4">
        <f t="shared" si="10"/>
        <v>15.223753054843744</v>
      </c>
      <c r="W60" s="4">
        <f t="shared" si="10"/>
        <v>14.462565402101557</v>
      </c>
      <c r="X60" s="4">
        <f t="shared" si="20"/>
        <v>0</v>
      </c>
      <c r="Y60" s="4">
        <f t="shared" si="21"/>
        <v>0</v>
      </c>
      <c r="Z60" s="4">
        <f t="shared" si="22"/>
        <v>0</v>
      </c>
      <c r="AA60" s="4">
        <f t="shared" si="23"/>
        <v>0</v>
      </c>
      <c r="AB60" s="4">
        <f t="shared" si="24"/>
        <v>0</v>
      </c>
      <c r="AC60" s="4">
        <f t="shared" si="25"/>
        <v>0</v>
      </c>
      <c r="AD60" s="4">
        <f t="shared" si="26"/>
        <v>0</v>
      </c>
      <c r="AE60" s="4">
        <f t="shared" si="27"/>
        <v>0</v>
      </c>
      <c r="AF60" s="4">
        <f t="shared" si="28"/>
        <v>0</v>
      </c>
      <c r="AG60" s="4">
        <f t="shared" si="12"/>
        <v>1</v>
      </c>
      <c r="AH60" s="4">
        <f t="shared" si="29"/>
        <v>0.95</v>
      </c>
      <c r="AI60" s="4">
        <f t="shared" si="30"/>
        <v>0.90249999999999997</v>
      </c>
      <c r="AJ60" s="4">
        <f t="shared" si="31"/>
        <v>0.42868749999999994</v>
      </c>
      <c r="AK60" s="4">
        <f t="shared" si="32"/>
        <v>0.20362656249999997</v>
      </c>
      <c r="AL60" s="4">
        <f t="shared" si="33"/>
        <v>0.19344523437499997</v>
      </c>
      <c r="AM60" s="4">
        <f t="shared" si="34"/>
        <v>0.18377297265624995</v>
      </c>
      <c r="AN60" s="4">
        <f t="shared" si="35"/>
        <v>0.17458432402343743</v>
      </c>
      <c r="AO60" s="4">
        <f t="shared" si="36"/>
        <v>0.16585510782226556</v>
      </c>
    </row>
    <row r="61" spans="1:41">
      <c r="A61">
        <f t="shared" si="39"/>
        <v>17</v>
      </c>
      <c r="B61">
        <f t="shared" si="2"/>
        <v>262</v>
      </c>
      <c r="C61">
        <f t="shared" si="3"/>
        <v>0</v>
      </c>
      <c r="D61">
        <f t="shared" si="4"/>
        <v>118</v>
      </c>
      <c r="E61">
        <f t="shared" si="5"/>
        <v>4</v>
      </c>
      <c r="F61">
        <f t="shared" si="14"/>
        <v>29.5</v>
      </c>
      <c r="G61">
        <f t="shared" si="6"/>
        <v>1</v>
      </c>
      <c r="H61">
        <f t="shared" si="0"/>
        <v>1</v>
      </c>
      <c r="I61">
        <f t="shared" si="1"/>
        <v>0.5</v>
      </c>
      <c r="J61">
        <f t="shared" si="15"/>
        <v>22.167685937499968</v>
      </c>
      <c r="K61">
        <f t="shared" si="16"/>
        <v>118.16768593749997</v>
      </c>
      <c r="L61">
        <f t="shared" si="17"/>
        <v>3749656.5</v>
      </c>
      <c r="M61">
        <f t="shared" si="7"/>
        <v>118</v>
      </c>
      <c r="N61">
        <f t="shared" si="8"/>
        <v>96</v>
      </c>
      <c r="O61" s="4">
        <f t="shared" si="9"/>
        <v>21.8</v>
      </c>
      <c r="P61" s="4">
        <f t="shared" si="18"/>
        <v>20.71</v>
      </c>
      <c r="Q61" s="4">
        <f t="shared" si="18"/>
        <v>19.674499999999998</v>
      </c>
      <c r="R61" s="4">
        <f t="shared" si="18"/>
        <v>18.690774999999999</v>
      </c>
      <c r="S61" s="4">
        <f t="shared" si="18"/>
        <v>17.756236249999997</v>
      </c>
      <c r="T61" s="4">
        <f t="shared" si="19"/>
        <v>16.868424437499996</v>
      </c>
      <c r="U61" s="4">
        <f t="shared" si="19"/>
        <v>16.025003215624995</v>
      </c>
      <c r="V61" s="4">
        <f t="shared" si="19"/>
        <v>15.223753054843744</v>
      </c>
      <c r="W61" s="4">
        <f t="shared" si="19"/>
        <v>14.462565402101557</v>
      </c>
      <c r="X61" s="4">
        <f t="shared" si="20"/>
        <v>0</v>
      </c>
      <c r="Y61" s="4">
        <f t="shared" si="21"/>
        <v>0</v>
      </c>
      <c r="Z61" s="4">
        <f t="shared" si="22"/>
        <v>0</v>
      </c>
      <c r="AA61" s="4">
        <f t="shared" si="23"/>
        <v>0</v>
      </c>
      <c r="AB61" s="4">
        <f t="shared" si="24"/>
        <v>0</v>
      </c>
      <c r="AC61" s="4">
        <f t="shared" si="25"/>
        <v>0</v>
      </c>
      <c r="AD61" s="4">
        <f t="shared" si="26"/>
        <v>0</v>
      </c>
      <c r="AE61" s="4">
        <f t="shared" si="27"/>
        <v>0</v>
      </c>
      <c r="AF61" s="4">
        <f t="shared" si="28"/>
        <v>0</v>
      </c>
      <c r="AG61" s="4">
        <f t="shared" si="12"/>
        <v>1</v>
      </c>
      <c r="AH61" s="4">
        <f t="shared" si="29"/>
        <v>0.95</v>
      </c>
      <c r="AI61" s="4">
        <f t="shared" si="30"/>
        <v>0.90249999999999997</v>
      </c>
      <c r="AJ61" s="4">
        <f t="shared" si="31"/>
        <v>0.85737499999999989</v>
      </c>
      <c r="AK61" s="4">
        <f t="shared" si="32"/>
        <v>0.40725312499999994</v>
      </c>
      <c r="AL61" s="4">
        <f t="shared" si="33"/>
        <v>0.19344523437499997</v>
      </c>
      <c r="AM61" s="4">
        <f t="shared" si="34"/>
        <v>0.18377297265624995</v>
      </c>
      <c r="AN61" s="4">
        <f t="shared" si="35"/>
        <v>0.17458432402343743</v>
      </c>
      <c r="AO61" s="4">
        <f t="shared" si="36"/>
        <v>0.16585510782226556</v>
      </c>
    </row>
    <row r="62" spans="1:41">
      <c r="A62">
        <f t="shared" si="39"/>
        <v>18</v>
      </c>
      <c r="B62">
        <f t="shared" si="2"/>
        <v>262</v>
      </c>
      <c r="C62">
        <f t="shared" si="3"/>
        <v>0</v>
      </c>
      <c r="D62">
        <f t="shared" si="4"/>
        <v>118</v>
      </c>
      <c r="E62">
        <f t="shared" si="5"/>
        <v>5</v>
      </c>
      <c r="F62">
        <f t="shared" si="14"/>
        <v>23.6</v>
      </c>
      <c r="G62">
        <f t="shared" si="6"/>
        <v>1</v>
      </c>
      <c r="H62">
        <f t="shared" si="0"/>
        <v>1</v>
      </c>
      <c r="I62">
        <f t="shared" si="1"/>
        <v>0.5</v>
      </c>
      <c r="J62">
        <f t="shared" si="15"/>
        <v>22.199301640624967</v>
      </c>
      <c r="K62">
        <f t="shared" si="16"/>
        <v>118.19930164062497</v>
      </c>
      <c r="L62">
        <f t="shared" si="17"/>
        <v>3749656.5</v>
      </c>
      <c r="M62">
        <f t="shared" si="7"/>
        <v>118</v>
      </c>
      <c r="N62">
        <f t="shared" si="8"/>
        <v>96</v>
      </c>
      <c r="O62" s="4">
        <f t="shared" si="9"/>
        <v>21.8</v>
      </c>
      <c r="P62" s="4">
        <f t="shared" si="18"/>
        <v>20.71</v>
      </c>
      <c r="Q62" s="4">
        <f t="shared" si="18"/>
        <v>19.674499999999998</v>
      </c>
      <c r="R62" s="4">
        <f t="shared" si="18"/>
        <v>18.690774999999999</v>
      </c>
      <c r="S62" s="4">
        <f t="shared" si="18"/>
        <v>17.756236249999997</v>
      </c>
      <c r="T62" s="4">
        <f t="shared" si="19"/>
        <v>16.868424437499996</v>
      </c>
      <c r="U62" s="4">
        <f t="shared" si="19"/>
        <v>16.025003215624995</v>
      </c>
      <c r="V62" s="4">
        <f t="shared" si="19"/>
        <v>15.223753054843744</v>
      </c>
      <c r="W62" s="4">
        <f t="shared" si="19"/>
        <v>14.462565402101557</v>
      </c>
      <c r="X62" s="4">
        <f t="shared" si="20"/>
        <v>0</v>
      </c>
      <c r="Y62" s="4">
        <f t="shared" si="21"/>
        <v>0</v>
      </c>
      <c r="Z62" s="4">
        <f t="shared" si="22"/>
        <v>0</v>
      </c>
      <c r="AA62" s="4">
        <f t="shared" si="23"/>
        <v>0</v>
      </c>
      <c r="AB62" s="4">
        <f t="shared" si="24"/>
        <v>0</v>
      </c>
      <c r="AC62" s="4">
        <f t="shared" si="25"/>
        <v>0</v>
      </c>
      <c r="AD62" s="4">
        <f t="shared" si="26"/>
        <v>0</v>
      </c>
      <c r="AE62" s="4">
        <f t="shared" si="27"/>
        <v>0</v>
      </c>
      <c r="AF62" s="4">
        <f t="shared" si="28"/>
        <v>0</v>
      </c>
      <c r="AG62" s="4">
        <f t="shared" si="12"/>
        <v>1</v>
      </c>
      <c r="AH62" s="4">
        <f t="shared" si="29"/>
        <v>0.95</v>
      </c>
      <c r="AI62" s="4">
        <f t="shared" si="30"/>
        <v>0.90249999999999997</v>
      </c>
      <c r="AJ62" s="4">
        <f t="shared" si="31"/>
        <v>0.85737499999999989</v>
      </c>
      <c r="AK62" s="4">
        <f t="shared" si="32"/>
        <v>0.81450624999999988</v>
      </c>
      <c r="AL62" s="4">
        <f t="shared" si="33"/>
        <v>0.38689046874999994</v>
      </c>
      <c r="AM62" s="4">
        <f t="shared" si="34"/>
        <v>0.18377297265624995</v>
      </c>
      <c r="AN62" s="4">
        <f t="shared" si="35"/>
        <v>0.17458432402343743</v>
      </c>
      <c r="AO62" s="4">
        <f t="shared" si="36"/>
        <v>0.16585510782226556</v>
      </c>
    </row>
    <row r="63" spans="1:41">
      <c r="A63">
        <f t="shared" si="39"/>
        <v>19</v>
      </c>
      <c r="B63">
        <f t="shared" si="2"/>
        <v>263</v>
      </c>
      <c r="C63">
        <f t="shared" si="3"/>
        <v>0</v>
      </c>
      <c r="D63">
        <f t="shared" si="4"/>
        <v>118</v>
      </c>
      <c r="E63">
        <f t="shared" si="5"/>
        <v>6</v>
      </c>
      <c r="F63">
        <f t="shared" si="14"/>
        <v>19.666666666666668</v>
      </c>
      <c r="G63">
        <f t="shared" si="6"/>
        <v>0.5</v>
      </c>
      <c r="H63">
        <f t="shared" si="0"/>
        <v>1</v>
      </c>
      <c r="I63">
        <f t="shared" si="1"/>
        <v>0.5</v>
      </c>
      <c r="J63">
        <f t="shared" si="15"/>
        <v>22.229336558593719</v>
      </c>
      <c r="K63">
        <f t="shared" si="16"/>
        <v>118.22933655859372</v>
      </c>
      <c r="L63">
        <f t="shared" si="17"/>
        <v>3749656.5</v>
      </c>
      <c r="M63">
        <f t="shared" si="7"/>
        <v>118</v>
      </c>
      <c r="N63">
        <f t="shared" si="8"/>
        <v>96</v>
      </c>
      <c r="O63" s="4">
        <f t="shared" si="9"/>
        <v>21.8</v>
      </c>
      <c r="P63" s="4">
        <f t="shared" si="18"/>
        <v>20.71</v>
      </c>
      <c r="Q63" s="4">
        <f t="shared" si="18"/>
        <v>19.674499999999998</v>
      </c>
      <c r="R63" s="4">
        <f t="shared" si="18"/>
        <v>18.690774999999999</v>
      </c>
      <c r="S63" s="4">
        <f t="shared" si="18"/>
        <v>17.756236249999997</v>
      </c>
      <c r="T63" s="4">
        <f t="shared" si="19"/>
        <v>16.868424437499996</v>
      </c>
      <c r="U63" s="4">
        <f t="shared" si="19"/>
        <v>16.025003215624995</v>
      </c>
      <c r="V63" s="4">
        <f t="shared" si="19"/>
        <v>15.223753054843744</v>
      </c>
      <c r="W63" s="4">
        <f t="shared" si="19"/>
        <v>14.462565402101557</v>
      </c>
      <c r="X63" s="4">
        <f t="shared" si="20"/>
        <v>0</v>
      </c>
      <c r="Y63" s="4">
        <f t="shared" si="21"/>
        <v>0</v>
      </c>
      <c r="Z63" s="4">
        <f t="shared" si="22"/>
        <v>0</v>
      </c>
      <c r="AA63" s="4">
        <f t="shared" si="23"/>
        <v>0</v>
      </c>
      <c r="AB63" s="4">
        <f t="shared" si="24"/>
        <v>0</v>
      </c>
      <c r="AC63" s="4">
        <f t="shared" si="25"/>
        <v>0</v>
      </c>
      <c r="AD63" s="4">
        <f t="shared" si="26"/>
        <v>0</v>
      </c>
      <c r="AE63" s="4">
        <f t="shared" si="27"/>
        <v>0</v>
      </c>
      <c r="AF63" s="4">
        <f t="shared" si="28"/>
        <v>0</v>
      </c>
      <c r="AG63" s="4">
        <f t="shared" si="12"/>
        <v>1</v>
      </c>
      <c r="AH63" s="4">
        <f t="shared" si="29"/>
        <v>0.95</v>
      </c>
      <c r="AI63" s="4">
        <f t="shared" si="30"/>
        <v>0.90249999999999997</v>
      </c>
      <c r="AJ63" s="4">
        <f t="shared" si="31"/>
        <v>0.85737499999999989</v>
      </c>
      <c r="AK63" s="4">
        <f t="shared" si="32"/>
        <v>0.81450624999999988</v>
      </c>
      <c r="AL63" s="4">
        <f t="shared" si="33"/>
        <v>0.77378093749999988</v>
      </c>
      <c r="AM63" s="4">
        <f t="shared" si="34"/>
        <v>0.3675459453124999</v>
      </c>
      <c r="AN63" s="4">
        <f t="shared" si="35"/>
        <v>0.17458432402343743</v>
      </c>
      <c r="AO63" s="4">
        <f t="shared" si="36"/>
        <v>0.16585510782226556</v>
      </c>
    </row>
    <row r="64" spans="1:41">
      <c r="A64">
        <f t="shared" si="39"/>
        <v>20</v>
      </c>
      <c r="B64">
        <f t="shared" si="2"/>
        <v>261</v>
      </c>
      <c r="C64">
        <f t="shared" si="3"/>
        <v>0</v>
      </c>
      <c r="D64">
        <f t="shared" si="4"/>
        <v>118</v>
      </c>
      <c r="E64">
        <f t="shared" si="5"/>
        <v>4</v>
      </c>
      <c r="F64">
        <f t="shared" si="14"/>
        <v>29.5</v>
      </c>
      <c r="G64">
        <f t="shared" si="6"/>
        <v>0.5</v>
      </c>
      <c r="H64">
        <f t="shared" si="0"/>
        <v>1</v>
      </c>
      <c r="I64">
        <f t="shared" si="1"/>
        <v>0.5</v>
      </c>
      <c r="J64">
        <f t="shared" si="15"/>
        <v>24.557008647661078</v>
      </c>
      <c r="K64">
        <f t="shared" si="16"/>
        <v>120.55700864766108</v>
      </c>
      <c r="L64">
        <f t="shared" si="17"/>
        <v>3749656.5</v>
      </c>
      <c r="M64">
        <f t="shared" si="7"/>
        <v>118</v>
      </c>
      <c r="N64">
        <f t="shared" si="8"/>
        <v>96</v>
      </c>
      <c r="O64" s="4">
        <f t="shared" si="9"/>
        <v>21.8</v>
      </c>
      <c r="P64" s="4">
        <f t="shared" si="18"/>
        <v>20.71</v>
      </c>
      <c r="Q64" s="4">
        <f t="shared" si="18"/>
        <v>19.674499999999998</v>
      </c>
      <c r="R64" s="4">
        <f t="shared" si="18"/>
        <v>18.690774999999999</v>
      </c>
      <c r="S64" s="4">
        <f t="shared" si="18"/>
        <v>17.756236249999997</v>
      </c>
      <c r="T64" s="4">
        <f t="shared" si="19"/>
        <v>16.868424437499996</v>
      </c>
      <c r="U64" s="4">
        <f t="shared" si="19"/>
        <v>16.025003215624995</v>
      </c>
      <c r="V64" s="4">
        <f t="shared" si="19"/>
        <v>15.223753054843744</v>
      </c>
      <c r="W64" s="4">
        <f t="shared" si="19"/>
        <v>14.462565402101557</v>
      </c>
      <c r="X64" s="4">
        <f t="shared" si="20"/>
        <v>0</v>
      </c>
      <c r="Y64" s="4">
        <f t="shared" si="21"/>
        <v>0</v>
      </c>
      <c r="Z64" s="4">
        <f t="shared" si="22"/>
        <v>0</v>
      </c>
      <c r="AA64" s="4">
        <f t="shared" si="23"/>
        <v>0</v>
      </c>
      <c r="AB64" s="4">
        <f t="shared" si="24"/>
        <v>0</v>
      </c>
      <c r="AC64" s="4">
        <f t="shared" si="25"/>
        <v>0</v>
      </c>
      <c r="AD64" s="4">
        <f t="shared" si="26"/>
        <v>0</v>
      </c>
      <c r="AE64" s="4">
        <f t="shared" si="27"/>
        <v>0</v>
      </c>
      <c r="AF64" s="4">
        <f t="shared" si="28"/>
        <v>0</v>
      </c>
      <c r="AG64" s="4">
        <f t="shared" si="12"/>
        <v>1</v>
      </c>
      <c r="AH64" s="4">
        <f t="shared" si="29"/>
        <v>0.95</v>
      </c>
      <c r="AI64" s="4">
        <f t="shared" si="30"/>
        <v>0.45124999999999998</v>
      </c>
      <c r="AJ64" s="4">
        <f t="shared" si="31"/>
        <v>0.42868749999999994</v>
      </c>
      <c r="AK64" s="4">
        <f t="shared" si="32"/>
        <v>0.40725312499999994</v>
      </c>
      <c r="AL64" s="4">
        <f t="shared" si="33"/>
        <v>0.38689046874999994</v>
      </c>
      <c r="AM64" s="4">
        <f t="shared" si="34"/>
        <v>0.3675459453124999</v>
      </c>
      <c r="AN64" s="4">
        <f t="shared" si="35"/>
        <v>0.17458432402343743</v>
      </c>
      <c r="AO64" s="4">
        <f t="shared" si="36"/>
        <v>8.2927553911132781E-2</v>
      </c>
    </row>
    <row r="65" spans="1:41">
      <c r="A65">
        <f t="shared" si="39"/>
        <v>21</v>
      </c>
      <c r="B65">
        <f t="shared" si="2"/>
        <v>260</v>
      </c>
      <c r="C65">
        <f t="shared" si="3"/>
        <v>0</v>
      </c>
      <c r="D65">
        <f t="shared" si="4"/>
        <v>118</v>
      </c>
      <c r="E65">
        <f t="shared" si="5"/>
        <v>3</v>
      </c>
      <c r="F65">
        <f t="shared" si="14"/>
        <v>39.333333333333336</v>
      </c>
      <c r="G65">
        <f t="shared" si="6"/>
        <v>1</v>
      </c>
      <c r="H65">
        <f t="shared" si="0"/>
        <v>1</v>
      </c>
      <c r="I65">
        <f t="shared" si="1"/>
        <v>0.5</v>
      </c>
      <c r="J65">
        <f t="shared" si="15"/>
        <v>23.595188519531217</v>
      </c>
      <c r="K65">
        <f t="shared" si="16"/>
        <v>119.59518851953122</v>
      </c>
      <c r="L65">
        <f t="shared" si="17"/>
        <v>3749656.5</v>
      </c>
      <c r="M65">
        <f t="shared" si="7"/>
        <v>118</v>
      </c>
      <c r="N65">
        <f t="shared" si="8"/>
        <v>96</v>
      </c>
      <c r="O65" s="4">
        <f t="shared" si="9"/>
        <v>21.8</v>
      </c>
      <c r="P65" s="4">
        <f t="shared" si="18"/>
        <v>20.71</v>
      </c>
      <c r="Q65" s="4">
        <f t="shared" si="18"/>
        <v>19.674499999999998</v>
      </c>
      <c r="R65" s="4">
        <f t="shared" si="18"/>
        <v>18.690774999999999</v>
      </c>
      <c r="S65" s="4">
        <f t="shared" si="18"/>
        <v>17.756236249999997</v>
      </c>
      <c r="T65" s="4">
        <f t="shared" si="19"/>
        <v>16.868424437499996</v>
      </c>
      <c r="U65" s="4">
        <f t="shared" si="19"/>
        <v>16.025003215624995</v>
      </c>
      <c r="V65" s="4">
        <f t="shared" si="19"/>
        <v>15.223753054843744</v>
      </c>
      <c r="W65" s="4">
        <f t="shared" si="19"/>
        <v>14.462565402101557</v>
      </c>
      <c r="X65" s="4">
        <f t="shared" si="20"/>
        <v>0</v>
      </c>
      <c r="Y65" s="4">
        <f t="shared" si="21"/>
        <v>0</v>
      </c>
      <c r="Z65" s="4">
        <f t="shared" si="22"/>
        <v>0</v>
      </c>
      <c r="AA65" s="4">
        <f t="shared" si="23"/>
        <v>0</v>
      </c>
      <c r="AB65" s="4">
        <f t="shared" si="24"/>
        <v>0</v>
      </c>
      <c r="AC65" s="4">
        <f t="shared" si="25"/>
        <v>0</v>
      </c>
      <c r="AD65" s="4">
        <f t="shared" si="26"/>
        <v>0</v>
      </c>
      <c r="AE65" s="4">
        <f t="shared" si="27"/>
        <v>0</v>
      </c>
      <c r="AF65" s="4">
        <f t="shared" si="28"/>
        <v>0</v>
      </c>
      <c r="AG65" s="4">
        <f t="shared" si="12"/>
        <v>1</v>
      </c>
      <c r="AH65" s="4">
        <f t="shared" si="29"/>
        <v>0.95</v>
      </c>
      <c r="AI65" s="4">
        <f t="shared" si="30"/>
        <v>0.45124999999999998</v>
      </c>
      <c r="AJ65" s="4">
        <f t="shared" si="31"/>
        <v>0.21434374999999997</v>
      </c>
      <c r="AK65" s="4">
        <f t="shared" si="32"/>
        <v>0.20362656249999997</v>
      </c>
      <c r="AL65" s="4">
        <f t="shared" si="33"/>
        <v>0.19344523437499997</v>
      </c>
      <c r="AM65" s="4">
        <f t="shared" si="34"/>
        <v>0.18377297265624995</v>
      </c>
      <c r="AN65" s="4">
        <f t="shared" si="35"/>
        <v>0.17458432402343743</v>
      </c>
      <c r="AO65" s="4">
        <f t="shared" si="36"/>
        <v>8.2927553911132781E-2</v>
      </c>
    </row>
    <row r="66" spans="1:41">
      <c r="A66">
        <f t="shared" si="39"/>
        <v>22</v>
      </c>
      <c r="B66">
        <f t="shared" si="2"/>
        <v>261</v>
      </c>
      <c r="C66">
        <f t="shared" si="3"/>
        <v>0</v>
      </c>
      <c r="D66">
        <f t="shared" si="4"/>
        <v>118</v>
      </c>
      <c r="E66">
        <f t="shared" si="5"/>
        <v>4</v>
      </c>
      <c r="F66">
        <f t="shared" si="14"/>
        <v>29.5</v>
      </c>
      <c r="G66">
        <f t="shared" si="6"/>
        <v>1</v>
      </c>
      <c r="H66">
        <f t="shared" si="0"/>
        <v>1</v>
      </c>
      <c r="I66">
        <f t="shared" si="1"/>
        <v>0.5</v>
      </c>
      <c r="J66">
        <f t="shared" si="15"/>
        <v>22.051478696088832</v>
      </c>
      <c r="K66">
        <f t="shared" si="16"/>
        <v>118.05147869608884</v>
      </c>
      <c r="L66">
        <f t="shared" si="17"/>
        <v>3749656.5</v>
      </c>
      <c r="M66">
        <f t="shared" si="7"/>
        <v>118</v>
      </c>
      <c r="N66">
        <f t="shared" si="8"/>
        <v>96</v>
      </c>
      <c r="O66" s="4">
        <f t="shared" si="9"/>
        <v>21.8</v>
      </c>
      <c r="P66" s="4">
        <f t="shared" si="18"/>
        <v>20.71</v>
      </c>
      <c r="Q66" s="4">
        <f t="shared" si="18"/>
        <v>19.674499999999998</v>
      </c>
      <c r="R66" s="4">
        <f t="shared" si="18"/>
        <v>18.690774999999999</v>
      </c>
      <c r="S66" s="4">
        <f t="shared" si="18"/>
        <v>17.756236249999997</v>
      </c>
      <c r="T66" s="4">
        <f t="shared" si="19"/>
        <v>16.868424437499996</v>
      </c>
      <c r="U66" s="4">
        <f t="shared" si="19"/>
        <v>16.025003215624995</v>
      </c>
      <c r="V66" s="4">
        <f t="shared" si="19"/>
        <v>15.223753054843744</v>
      </c>
      <c r="W66" s="4">
        <f t="shared" si="19"/>
        <v>14.462565402101557</v>
      </c>
      <c r="X66" s="4">
        <f t="shared" si="20"/>
        <v>0</v>
      </c>
      <c r="Y66" s="4">
        <f t="shared" si="21"/>
        <v>0</v>
      </c>
      <c r="Z66" s="4">
        <f t="shared" si="22"/>
        <v>0</v>
      </c>
      <c r="AA66" s="4">
        <f t="shared" si="23"/>
        <v>0</v>
      </c>
      <c r="AB66" s="4">
        <f t="shared" si="24"/>
        <v>0</v>
      </c>
      <c r="AC66" s="4">
        <f t="shared" si="25"/>
        <v>0</v>
      </c>
      <c r="AD66" s="4">
        <f t="shared" si="26"/>
        <v>0</v>
      </c>
      <c r="AE66" s="4">
        <f t="shared" si="27"/>
        <v>0</v>
      </c>
      <c r="AF66" s="4">
        <f t="shared" si="28"/>
        <v>0</v>
      </c>
      <c r="AG66" s="4">
        <f t="shared" si="12"/>
        <v>1</v>
      </c>
      <c r="AH66" s="4">
        <f t="shared" si="29"/>
        <v>0.95</v>
      </c>
      <c r="AI66" s="4">
        <f t="shared" si="30"/>
        <v>0.90249999999999997</v>
      </c>
      <c r="AJ66" s="4">
        <f t="shared" si="31"/>
        <v>0.42868749999999994</v>
      </c>
      <c r="AK66" s="4">
        <f t="shared" si="32"/>
        <v>0.20362656249999997</v>
      </c>
      <c r="AL66" s="4">
        <f t="shared" si="33"/>
        <v>0.19344523437499997</v>
      </c>
      <c r="AM66" s="4">
        <f t="shared" si="34"/>
        <v>0.18377297265624995</v>
      </c>
      <c r="AN66" s="4">
        <f t="shared" si="35"/>
        <v>0.17458432402343743</v>
      </c>
      <c r="AO66" s="4">
        <f t="shared" si="36"/>
        <v>0.16585510782226556</v>
      </c>
    </row>
    <row r="67" spans="1:41">
      <c r="A67">
        <f t="shared" si="39"/>
        <v>23</v>
      </c>
      <c r="B67">
        <f t="shared" si="2"/>
        <v>262</v>
      </c>
      <c r="C67">
        <f t="shared" si="3"/>
        <v>0</v>
      </c>
      <c r="D67">
        <f t="shared" si="4"/>
        <v>118</v>
      </c>
      <c r="E67">
        <f t="shared" si="5"/>
        <v>4</v>
      </c>
      <c r="F67">
        <f t="shared" si="14"/>
        <v>29.5</v>
      </c>
      <c r="G67">
        <f t="shared" si="6"/>
        <v>1</v>
      </c>
      <c r="H67">
        <f t="shared" si="0"/>
        <v>1</v>
      </c>
      <c r="I67">
        <f t="shared" si="1"/>
        <v>0.5</v>
      </c>
      <c r="J67">
        <f t="shared" si="15"/>
        <v>22.167685937499968</v>
      </c>
      <c r="K67">
        <f t="shared" si="16"/>
        <v>118.16768593749997</v>
      </c>
      <c r="L67">
        <f t="shared" si="17"/>
        <v>3749656.5</v>
      </c>
      <c r="M67">
        <f t="shared" si="7"/>
        <v>118</v>
      </c>
      <c r="N67">
        <f t="shared" si="8"/>
        <v>96</v>
      </c>
      <c r="O67" s="4">
        <f t="shared" si="9"/>
        <v>21.8</v>
      </c>
      <c r="P67" s="4">
        <f t="shared" si="18"/>
        <v>20.71</v>
      </c>
      <c r="Q67" s="4">
        <f t="shared" si="18"/>
        <v>19.674499999999998</v>
      </c>
      <c r="R67" s="4">
        <f t="shared" si="18"/>
        <v>18.690774999999999</v>
      </c>
      <c r="S67" s="4">
        <f t="shared" si="18"/>
        <v>17.756236249999997</v>
      </c>
      <c r="T67" s="4">
        <f t="shared" si="19"/>
        <v>16.868424437499996</v>
      </c>
      <c r="U67" s="4">
        <f t="shared" si="19"/>
        <v>16.025003215624995</v>
      </c>
      <c r="V67" s="4">
        <f t="shared" si="19"/>
        <v>15.223753054843744</v>
      </c>
      <c r="W67" s="4">
        <f t="shared" si="19"/>
        <v>14.462565402101557</v>
      </c>
      <c r="X67" s="4">
        <f t="shared" si="20"/>
        <v>0</v>
      </c>
      <c r="Y67" s="4">
        <f t="shared" si="21"/>
        <v>0</v>
      </c>
      <c r="Z67" s="4">
        <f t="shared" si="22"/>
        <v>0</v>
      </c>
      <c r="AA67" s="4">
        <f t="shared" si="23"/>
        <v>0</v>
      </c>
      <c r="AB67" s="4">
        <f t="shared" si="24"/>
        <v>0</v>
      </c>
      <c r="AC67" s="4">
        <f t="shared" si="25"/>
        <v>0</v>
      </c>
      <c r="AD67" s="4">
        <f t="shared" si="26"/>
        <v>0</v>
      </c>
      <c r="AE67" s="4">
        <f t="shared" si="27"/>
        <v>0</v>
      </c>
      <c r="AF67" s="4">
        <f t="shared" si="28"/>
        <v>0</v>
      </c>
      <c r="AG67" s="4">
        <f t="shared" si="12"/>
        <v>1</v>
      </c>
      <c r="AH67" s="4">
        <f t="shared" si="29"/>
        <v>0.95</v>
      </c>
      <c r="AI67" s="4">
        <f t="shared" si="30"/>
        <v>0.90249999999999997</v>
      </c>
      <c r="AJ67" s="4">
        <f t="shared" si="31"/>
        <v>0.85737499999999989</v>
      </c>
      <c r="AK67" s="4">
        <f t="shared" si="32"/>
        <v>0.40725312499999994</v>
      </c>
      <c r="AL67" s="4">
        <f t="shared" si="33"/>
        <v>0.19344523437499997</v>
      </c>
      <c r="AM67" s="4">
        <f t="shared" si="34"/>
        <v>0.18377297265624995</v>
      </c>
      <c r="AN67" s="4">
        <f t="shared" si="35"/>
        <v>0.17458432402343743</v>
      </c>
      <c r="AO67" s="4">
        <f t="shared" si="36"/>
        <v>0.16585510782226556</v>
      </c>
    </row>
    <row r="68" spans="1:41">
      <c r="A68">
        <f t="shared" si="39"/>
        <v>24</v>
      </c>
      <c r="B68">
        <f t="shared" si="2"/>
        <v>262</v>
      </c>
      <c r="C68">
        <f t="shared" si="3"/>
        <v>0</v>
      </c>
      <c r="D68">
        <f t="shared" si="4"/>
        <v>118</v>
      </c>
      <c r="E68">
        <f t="shared" si="5"/>
        <v>5</v>
      </c>
      <c r="F68">
        <f t="shared" si="14"/>
        <v>23.6</v>
      </c>
      <c r="G68">
        <f t="shared" si="6"/>
        <v>1</v>
      </c>
      <c r="H68">
        <f t="shared" si="0"/>
        <v>1</v>
      </c>
      <c r="I68">
        <f t="shared" si="1"/>
        <v>0.5</v>
      </c>
      <c r="J68">
        <f t="shared" si="15"/>
        <v>22.199301640624967</v>
      </c>
      <c r="K68">
        <f t="shared" si="16"/>
        <v>118.19930164062497</v>
      </c>
      <c r="L68">
        <f t="shared" si="17"/>
        <v>3749656.5</v>
      </c>
      <c r="M68">
        <f t="shared" si="7"/>
        <v>118</v>
      </c>
      <c r="N68">
        <f t="shared" si="8"/>
        <v>96</v>
      </c>
      <c r="O68" s="4">
        <f t="shared" si="9"/>
        <v>21.8</v>
      </c>
      <c r="P68" s="4">
        <f t="shared" si="18"/>
        <v>20.71</v>
      </c>
      <c r="Q68" s="4">
        <f t="shared" si="18"/>
        <v>19.674499999999998</v>
      </c>
      <c r="R68" s="4">
        <f t="shared" si="18"/>
        <v>18.690774999999999</v>
      </c>
      <c r="S68" s="4">
        <f t="shared" si="18"/>
        <v>17.756236249999997</v>
      </c>
      <c r="T68" s="4">
        <f t="shared" si="19"/>
        <v>16.868424437499996</v>
      </c>
      <c r="U68" s="4">
        <f t="shared" si="19"/>
        <v>16.025003215624995</v>
      </c>
      <c r="V68" s="4">
        <f t="shared" si="19"/>
        <v>15.223753054843744</v>
      </c>
      <c r="W68" s="4">
        <f t="shared" si="19"/>
        <v>14.462565402101557</v>
      </c>
      <c r="X68" s="4">
        <f t="shared" si="20"/>
        <v>0</v>
      </c>
      <c r="Y68" s="4">
        <f t="shared" si="21"/>
        <v>0</v>
      </c>
      <c r="Z68" s="4">
        <f t="shared" si="22"/>
        <v>0</v>
      </c>
      <c r="AA68" s="4">
        <f t="shared" si="23"/>
        <v>0</v>
      </c>
      <c r="AB68" s="4">
        <f t="shared" si="24"/>
        <v>0</v>
      </c>
      <c r="AC68" s="4">
        <f t="shared" si="25"/>
        <v>0</v>
      </c>
      <c r="AD68" s="4">
        <f t="shared" si="26"/>
        <v>0</v>
      </c>
      <c r="AE68" s="4">
        <f t="shared" si="27"/>
        <v>0</v>
      </c>
      <c r="AF68" s="4">
        <f t="shared" si="28"/>
        <v>0</v>
      </c>
      <c r="AG68" s="4">
        <f t="shared" si="12"/>
        <v>1</v>
      </c>
      <c r="AH68" s="4">
        <f t="shared" si="29"/>
        <v>0.95</v>
      </c>
      <c r="AI68" s="4">
        <f t="shared" si="30"/>
        <v>0.90249999999999997</v>
      </c>
      <c r="AJ68" s="4">
        <f t="shared" si="31"/>
        <v>0.85737499999999989</v>
      </c>
      <c r="AK68" s="4">
        <f t="shared" si="32"/>
        <v>0.81450624999999988</v>
      </c>
      <c r="AL68" s="4">
        <f t="shared" si="33"/>
        <v>0.38689046874999994</v>
      </c>
      <c r="AM68" s="4">
        <f t="shared" si="34"/>
        <v>0.18377297265624995</v>
      </c>
      <c r="AN68" s="4">
        <f t="shared" si="35"/>
        <v>0.17458432402343743</v>
      </c>
      <c r="AO68" s="4">
        <f t="shared" si="36"/>
        <v>0.16585510782226556</v>
      </c>
    </row>
    <row r="69" spans="1:41">
      <c r="A69">
        <f t="shared" si="39"/>
        <v>25</v>
      </c>
      <c r="B69">
        <f t="shared" si="2"/>
        <v>263</v>
      </c>
      <c r="C69">
        <f t="shared" si="3"/>
        <v>0</v>
      </c>
      <c r="D69">
        <f t="shared" si="4"/>
        <v>118</v>
      </c>
      <c r="E69">
        <f t="shared" si="5"/>
        <v>6</v>
      </c>
      <c r="F69">
        <f t="shared" si="14"/>
        <v>19.666666666666668</v>
      </c>
      <c r="G69">
        <f t="shared" si="6"/>
        <v>0.5</v>
      </c>
      <c r="H69">
        <f t="shared" si="0"/>
        <v>1</v>
      </c>
      <c r="I69">
        <f t="shared" si="1"/>
        <v>0.5</v>
      </c>
      <c r="J69">
        <f t="shared" si="15"/>
        <v>22.229336558593719</v>
      </c>
      <c r="K69">
        <f t="shared" si="16"/>
        <v>118.22933655859372</v>
      </c>
      <c r="L69">
        <f t="shared" si="17"/>
        <v>3749656.5</v>
      </c>
      <c r="M69">
        <f t="shared" si="7"/>
        <v>118</v>
      </c>
      <c r="N69">
        <f t="shared" si="8"/>
        <v>96</v>
      </c>
      <c r="O69" s="4">
        <f t="shared" si="9"/>
        <v>21.8</v>
      </c>
      <c r="P69" s="4">
        <f t="shared" si="18"/>
        <v>20.71</v>
      </c>
      <c r="Q69" s="4">
        <f t="shared" si="18"/>
        <v>19.674499999999998</v>
      </c>
      <c r="R69" s="4">
        <f t="shared" si="18"/>
        <v>18.690774999999999</v>
      </c>
      <c r="S69" s="4">
        <f t="shared" si="18"/>
        <v>17.756236249999997</v>
      </c>
      <c r="T69" s="4">
        <f t="shared" si="19"/>
        <v>16.868424437499996</v>
      </c>
      <c r="U69" s="4">
        <f t="shared" si="19"/>
        <v>16.025003215624995</v>
      </c>
      <c r="V69" s="4">
        <f t="shared" si="19"/>
        <v>15.223753054843744</v>
      </c>
      <c r="W69" s="4">
        <f t="shared" si="19"/>
        <v>14.462565402101557</v>
      </c>
      <c r="X69" s="4">
        <f t="shared" si="20"/>
        <v>0</v>
      </c>
      <c r="Y69" s="4">
        <f t="shared" si="21"/>
        <v>0</v>
      </c>
      <c r="Z69" s="4">
        <f t="shared" si="22"/>
        <v>0</v>
      </c>
      <c r="AA69" s="4">
        <f t="shared" si="23"/>
        <v>0</v>
      </c>
      <c r="AB69" s="4">
        <f t="shared" si="24"/>
        <v>0</v>
      </c>
      <c r="AC69" s="4">
        <f t="shared" si="25"/>
        <v>0</v>
      </c>
      <c r="AD69" s="4">
        <f t="shared" si="26"/>
        <v>0</v>
      </c>
      <c r="AE69" s="4">
        <f t="shared" si="27"/>
        <v>0</v>
      </c>
      <c r="AF69" s="4">
        <f t="shared" si="28"/>
        <v>0</v>
      </c>
      <c r="AG69" s="4">
        <f t="shared" si="12"/>
        <v>1</v>
      </c>
      <c r="AH69" s="4">
        <f t="shared" si="29"/>
        <v>0.95</v>
      </c>
      <c r="AI69" s="4">
        <f t="shared" si="30"/>
        <v>0.90249999999999997</v>
      </c>
      <c r="AJ69" s="4">
        <f t="shared" si="31"/>
        <v>0.85737499999999989</v>
      </c>
      <c r="AK69" s="4">
        <f t="shared" si="32"/>
        <v>0.81450624999999988</v>
      </c>
      <c r="AL69" s="4">
        <f t="shared" si="33"/>
        <v>0.77378093749999988</v>
      </c>
      <c r="AM69" s="4">
        <f t="shared" si="34"/>
        <v>0.3675459453124999</v>
      </c>
      <c r="AN69" s="4">
        <f t="shared" si="35"/>
        <v>0.17458432402343743</v>
      </c>
      <c r="AO69" s="4">
        <f t="shared" si="36"/>
        <v>0.16585510782226556</v>
      </c>
    </row>
    <row r="70" spans="1:41">
      <c r="A70">
        <f t="shared" si="39"/>
        <v>26</v>
      </c>
      <c r="B70">
        <f t="shared" si="2"/>
        <v>261</v>
      </c>
      <c r="C70">
        <f t="shared" si="3"/>
        <v>0</v>
      </c>
      <c r="D70">
        <f t="shared" si="4"/>
        <v>118</v>
      </c>
      <c r="E70">
        <f t="shared" si="5"/>
        <v>4</v>
      </c>
      <c r="F70">
        <f t="shared" si="14"/>
        <v>29.5</v>
      </c>
      <c r="G70">
        <f t="shared" si="6"/>
        <v>0.5</v>
      </c>
      <c r="H70">
        <f t="shared" si="0"/>
        <v>1</v>
      </c>
      <c r="I70">
        <f t="shared" si="1"/>
        <v>0.5</v>
      </c>
      <c r="J70">
        <f t="shared" si="15"/>
        <v>24.557008647661078</v>
      </c>
      <c r="K70">
        <f t="shared" si="16"/>
        <v>120.55700864766108</v>
      </c>
      <c r="L70">
        <f t="shared" si="17"/>
        <v>3749656.5</v>
      </c>
      <c r="M70">
        <f t="shared" si="7"/>
        <v>118</v>
      </c>
      <c r="N70">
        <f t="shared" si="8"/>
        <v>96</v>
      </c>
      <c r="O70" s="4">
        <f t="shared" si="9"/>
        <v>21.8</v>
      </c>
      <c r="P70" s="4">
        <f t="shared" si="18"/>
        <v>20.71</v>
      </c>
      <c r="Q70" s="4">
        <f t="shared" si="18"/>
        <v>19.674499999999998</v>
      </c>
      <c r="R70" s="4">
        <f t="shared" si="18"/>
        <v>18.690774999999999</v>
      </c>
      <c r="S70" s="4">
        <f t="shared" si="18"/>
        <v>17.756236249999997</v>
      </c>
      <c r="T70" s="4">
        <f t="shared" si="19"/>
        <v>16.868424437499996</v>
      </c>
      <c r="U70" s="4">
        <f t="shared" si="19"/>
        <v>16.025003215624995</v>
      </c>
      <c r="V70" s="4">
        <f t="shared" si="19"/>
        <v>15.223753054843744</v>
      </c>
      <c r="W70" s="4">
        <f t="shared" si="19"/>
        <v>14.462565402101557</v>
      </c>
      <c r="X70" s="4">
        <f t="shared" si="20"/>
        <v>0</v>
      </c>
      <c r="Y70" s="4">
        <f t="shared" si="21"/>
        <v>0</v>
      </c>
      <c r="Z70" s="4">
        <f t="shared" si="22"/>
        <v>0</v>
      </c>
      <c r="AA70" s="4">
        <f t="shared" si="23"/>
        <v>0</v>
      </c>
      <c r="AB70" s="4">
        <f t="shared" si="24"/>
        <v>0</v>
      </c>
      <c r="AC70" s="4">
        <f t="shared" si="25"/>
        <v>0</v>
      </c>
      <c r="AD70" s="4">
        <f t="shared" si="26"/>
        <v>0</v>
      </c>
      <c r="AE70" s="4">
        <f t="shared" si="27"/>
        <v>0</v>
      </c>
      <c r="AF70" s="4">
        <f t="shared" si="28"/>
        <v>0</v>
      </c>
      <c r="AG70" s="4">
        <f t="shared" si="12"/>
        <v>1</v>
      </c>
      <c r="AH70" s="4">
        <f t="shared" si="29"/>
        <v>0.95</v>
      </c>
      <c r="AI70" s="4">
        <f t="shared" si="30"/>
        <v>0.45124999999999998</v>
      </c>
      <c r="AJ70" s="4">
        <f t="shared" si="31"/>
        <v>0.42868749999999994</v>
      </c>
      <c r="AK70" s="4">
        <f t="shared" si="32"/>
        <v>0.40725312499999994</v>
      </c>
      <c r="AL70" s="4">
        <f t="shared" si="33"/>
        <v>0.38689046874999994</v>
      </c>
      <c r="AM70" s="4">
        <f t="shared" si="34"/>
        <v>0.3675459453124999</v>
      </c>
      <c r="AN70" s="4">
        <f t="shared" si="35"/>
        <v>0.17458432402343743</v>
      </c>
      <c r="AO70" s="4">
        <f t="shared" si="36"/>
        <v>8.2927553911132781E-2</v>
      </c>
    </row>
    <row r="71" spans="1:41">
      <c r="A71">
        <f t="shared" si="39"/>
        <v>27</v>
      </c>
      <c r="B71">
        <f t="shared" si="2"/>
        <v>260</v>
      </c>
      <c r="C71">
        <f t="shared" si="3"/>
        <v>0</v>
      </c>
      <c r="D71">
        <f t="shared" si="4"/>
        <v>118</v>
      </c>
      <c r="E71">
        <f t="shared" si="5"/>
        <v>3</v>
      </c>
      <c r="F71">
        <f t="shared" si="14"/>
        <v>39.333333333333336</v>
      </c>
      <c r="G71">
        <f t="shared" si="6"/>
        <v>1</v>
      </c>
      <c r="H71">
        <f t="shared" si="0"/>
        <v>1</v>
      </c>
      <c r="I71">
        <f t="shared" si="1"/>
        <v>0.5</v>
      </c>
      <c r="J71">
        <f t="shared" si="15"/>
        <v>23.595188519531217</v>
      </c>
      <c r="K71">
        <f t="shared" si="16"/>
        <v>119.59518851953122</v>
      </c>
      <c r="L71">
        <f t="shared" si="17"/>
        <v>3749656.5</v>
      </c>
      <c r="M71">
        <f t="shared" si="7"/>
        <v>118</v>
      </c>
      <c r="N71">
        <f t="shared" si="8"/>
        <v>96</v>
      </c>
      <c r="O71" s="4">
        <f t="shared" si="9"/>
        <v>21.8</v>
      </c>
      <c r="P71" s="4">
        <f t="shared" si="18"/>
        <v>20.71</v>
      </c>
      <c r="Q71" s="4">
        <f t="shared" si="18"/>
        <v>19.674499999999998</v>
      </c>
      <c r="R71" s="4">
        <f t="shared" si="18"/>
        <v>18.690774999999999</v>
      </c>
      <c r="S71" s="4">
        <f t="shared" si="18"/>
        <v>17.756236249999997</v>
      </c>
      <c r="T71" s="4">
        <f t="shared" si="19"/>
        <v>16.868424437499996</v>
      </c>
      <c r="U71" s="4">
        <f t="shared" si="19"/>
        <v>16.025003215624995</v>
      </c>
      <c r="V71" s="4">
        <f t="shared" si="19"/>
        <v>15.223753054843744</v>
      </c>
      <c r="W71" s="4">
        <f t="shared" si="19"/>
        <v>14.462565402101557</v>
      </c>
      <c r="X71" s="4">
        <f t="shared" si="20"/>
        <v>0</v>
      </c>
      <c r="Y71" s="4">
        <f t="shared" si="21"/>
        <v>0</v>
      </c>
      <c r="Z71" s="4">
        <f t="shared" si="22"/>
        <v>0</v>
      </c>
      <c r="AA71" s="4">
        <f t="shared" si="23"/>
        <v>0</v>
      </c>
      <c r="AB71" s="4">
        <f t="shared" si="24"/>
        <v>0</v>
      </c>
      <c r="AC71" s="4">
        <f t="shared" si="25"/>
        <v>0</v>
      </c>
      <c r="AD71" s="4">
        <f t="shared" si="26"/>
        <v>0</v>
      </c>
      <c r="AE71" s="4">
        <f t="shared" si="27"/>
        <v>0</v>
      </c>
      <c r="AF71" s="4">
        <f t="shared" si="28"/>
        <v>0</v>
      </c>
      <c r="AG71" s="4">
        <f t="shared" si="12"/>
        <v>1</v>
      </c>
      <c r="AH71" s="4">
        <f t="shared" si="29"/>
        <v>0.95</v>
      </c>
      <c r="AI71" s="4">
        <f t="shared" si="30"/>
        <v>0.45124999999999998</v>
      </c>
      <c r="AJ71" s="4">
        <f t="shared" si="31"/>
        <v>0.21434374999999997</v>
      </c>
      <c r="AK71" s="4">
        <f t="shared" si="32"/>
        <v>0.20362656249999997</v>
      </c>
      <c r="AL71" s="4">
        <f t="shared" si="33"/>
        <v>0.19344523437499997</v>
      </c>
      <c r="AM71" s="4">
        <f t="shared" si="34"/>
        <v>0.18377297265624995</v>
      </c>
      <c r="AN71" s="4">
        <f t="shared" si="35"/>
        <v>0.17458432402343743</v>
      </c>
      <c r="AO71" s="4">
        <f t="shared" si="36"/>
        <v>8.2927553911132781E-2</v>
      </c>
    </row>
    <row r="72" spans="1:41">
      <c r="A72">
        <f t="shared" ref="A72:A75" si="40">A71+1</f>
        <v>28</v>
      </c>
      <c r="B72">
        <f t="shared" si="2"/>
        <v>261</v>
      </c>
      <c r="C72">
        <f t="shared" si="3"/>
        <v>0</v>
      </c>
      <c r="D72">
        <f t="shared" si="4"/>
        <v>118</v>
      </c>
      <c r="E72">
        <f t="shared" si="5"/>
        <v>4</v>
      </c>
      <c r="F72">
        <f t="shared" si="14"/>
        <v>29.5</v>
      </c>
      <c r="G72">
        <f t="shared" si="6"/>
        <v>1</v>
      </c>
      <c r="H72">
        <f t="shared" si="0"/>
        <v>1</v>
      </c>
      <c r="I72">
        <f t="shared" si="1"/>
        <v>0.5</v>
      </c>
      <c r="J72">
        <f t="shared" si="15"/>
        <v>22.051478696088832</v>
      </c>
      <c r="K72">
        <f t="shared" si="16"/>
        <v>118.05147869608884</v>
      </c>
      <c r="L72">
        <f t="shared" si="17"/>
        <v>3749656.5</v>
      </c>
      <c r="M72">
        <f t="shared" si="7"/>
        <v>118</v>
      </c>
      <c r="N72">
        <f t="shared" si="8"/>
        <v>96</v>
      </c>
      <c r="O72" s="4">
        <f t="shared" si="9"/>
        <v>21.8</v>
      </c>
      <c r="P72" s="4">
        <f t="shared" si="18"/>
        <v>20.71</v>
      </c>
      <c r="Q72" s="4">
        <f t="shared" si="18"/>
        <v>19.674499999999998</v>
      </c>
      <c r="R72" s="4">
        <f t="shared" si="18"/>
        <v>18.690774999999999</v>
      </c>
      <c r="S72" s="4">
        <f t="shared" si="18"/>
        <v>17.756236249999997</v>
      </c>
      <c r="T72" s="4">
        <f t="shared" si="19"/>
        <v>16.868424437499996</v>
      </c>
      <c r="U72" s="4">
        <f t="shared" si="19"/>
        <v>16.025003215624995</v>
      </c>
      <c r="V72" s="4">
        <f t="shared" si="19"/>
        <v>15.223753054843744</v>
      </c>
      <c r="W72" s="4">
        <f t="shared" si="19"/>
        <v>14.462565402101557</v>
      </c>
      <c r="X72" s="4">
        <f t="shared" si="20"/>
        <v>0</v>
      </c>
      <c r="Y72" s="4">
        <f t="shared" si="21"/>
        <v>0</v>
      </c>
      <c r="Z72" s="4">
        <f t="shared" si="22"/>
        <v>0</v>
      </c>
      <c r="AA72" s="4">
        <f t="shared" si="23"/>
        <v>0</v>
      </c>
      <c r="AB72" s="4">
        <f t="shared" si="24"/>
        <v>0</v>
      </c>
      <c r="AC72" s="4">
        <f t="shared" si="25"/>
        <v>0</v>
      </c>
      <c r="AD72" s="4">
        <f t="shared" si="26"/>
        <v>0</v>
      </c>
      <c r="AE72" s="4">
        <f t="shared" si="27"/>
        <v>0</v>
      </c>
      <c r="AF72" s="4">
        <f t="shared" si="28"/>
        <v>0</v>
      </c>
      <c r="AG72" s="4">
        <f t="shared" si="12"/>
        <v>1</v>
      </c>
      <c r="AH72" s="4">
        <f t="shared" si="29"/>
        <v>0.95</v>
      </c>
      <c r="AI72" s="4">
        <f t="shared" si="30"/>
        <v>0.90249999999999997</v>
      </c>
      <c r="AJ72" s="4">
        <f t="shared" si="31"/>
        <v>0.42868749999999994</v>
      </c>
      <c r="AK72" s="4">
        <f t="shared" si="32"/>
        <v>0.20362656249999997</v>
      </c>
      <c r="AL72" s="4">
        <f t="shared" si="33"/>
        <v>0.19344523437499997</v>
      </c>
      <c r="AM72" s="4">
        <f t="shared" si="34"/>
        <v>0.18377297265624995</v>
      </c>
      <c r="AN72" s="4">
        <f t="shared" si="35"/>
        <v>0.17458432402343743</v>
      </c>
      <c r="AO72" s="4">
        <f t="shared" si="36"/>
        <v>0.16585510782226556</v>
      </c>
    </row>
    <row r="73" spans="1:41">
      <c r="A73">
        <f t="shared" si="40"/>
        <v>29</v>
      </c>
      <c r="B73">
        <f t="shared" si="2"/>
        <v>262</v>
      </c>
      <c r="C73">
        <f t="shared" si="3"/>
        <v>0</v>
      </c>
      <c r="D73">
        <f t="shared" si="4"/>
        <v>118</v>
      </c>
      <c r="E73">
        <f t="shared" si="5"/>
        <v>4</v>
      </c>
      <c r="F73">
        <f t="shared" si="14"/>
        <v>29.5</v>
      </c>
      <c r="G73">
        <f t="shared" si="6"/>
        <v>1</v>
      </c>
      <c r="H73">
        <f t="shared" si="0"/>
        <v>1</v>
      </c>
      <c r="I73">
        <f t="shared" si="1"/>
        <v>0.5</v>
      </c>
      <c r="J73">
        <f t="shared" si="15"/>
        <v>22.167685937499968</v>
      </c>
      <c r="K73">
        <f t="shared" si="16"/>
        <v>118.16768593749997</v>
      </c>
      <c r="L73">
        <f t="shared" si="17"/>
        <v>3749656.5</v>
      </c>
      <c r="M73">
        <f t="shared" si="7"/>
        <v>118</v>
      </c>
      <c r="N73">
        <f t="shared" si="8"/>
        <v>96</v>
      </c>
      <c r="O73" s="4">
        <f t="shared" si="9"/>
        <v>21.8</v>
      </c>
      <c r="P73" s="4">
        <f t="shared" si="18"/>
        <v>20.71</v>
      </c>
      <c r="Q73" s="4">
        <f t="shared" si="18"/>
        <v>19.674499999999998</v>
      </c>
      <c r="R73" s="4">
        <f t="shared" si="18"/>
        <v>18.690774999999999</v>
      </c>
      <c r="S73" s="4">
        <f t="shared" si="18"/>
        <v>17.756236249999997</v>
      </c>
      <c r="T73" s="4">
        <f t="shared" si="19"/>
        <v>16.868424437499996</v>
      </c>
      <c r="U73" s="4">
        <f t="shared" si="19"/>
        <v>16.025003215624995</v>
      </c>
      <c r="V73" s="4">
        <f t="shared" si="19"/>
        <v>15.223753054843744</v>
      </c>
      <c r="W73" s="4">
        <f t="shared" si="19"/>
        <v>14.462565402101557</v>
      </c>
      <c r="X73" s="4">
        <f t="shared" si="20"/>
        <v>0</v>
      </c>
      <c r="Y73" s="4">
        <f t="shared" si="21"/>
        <v>0</v>
      </c>
      <c r="Z73" s="4">
        <f t="shared" si="22"/>
        <v>0</v>
      </c>
      <c r="AA73" s="4">
        <f t="shared" si="23"/>
        <v>0</v>
      </c>
      <c r="AB73" s="4">
        <f t="shared" si="24"/>
        <v>0</v>
      </c>
      <c r="AC73" s="4">
        <f t="shared" si="25"/>
        <v>0</v>
      </c>
      <c r="AD73" s="4">
        <f t="shared" si="26"/>
        <v>0</v>
      </c>
      <c r="AE73" s="4">
        <f t="shared" si="27"/>
        <v>0</v>
      </c>
      <c r="AF73" s="4">
        <f t="shared" si="28"/>
        <v>0</v>
      </c>
      <c r="AG73" s="4">
        <f t="shared" si="12"/>
        <v>1</v>
      </c>
      <c r="AH73" s="4">
        <f t="shared" si="29"/>
        <v>0.95</v>
      </c>
      <c r="AI73" s="4">
        <f t="shared" si="30"/>
        <v>0.90249999999999997</v>
      </c>
      <c r="AJ73" s="4">
        <f t="shared" si="31"/>
        <v>0.85737499999999989</v>
      </c>
      <c r="AK73" s="4">
        <f t="shared" si="32"/>
        <v>0.40725312499999994</v>
      </c>
      <c r="AL73" s="4">
        <f t="shared" si="33"/>
        <v>0.19344523437499997</v>
      </c>
      <c r="AM73" s="4">
        <f t="shared" si="34"/>
        <v>0.18377297265624995</v>
      </c>
      <c r="AN73" s="4">
        <f t="shared" si="35"/>
        <v>0.17458432402343743</v>
      </c>
      <c r="AO73" s="4">
        <f t="shared" si="36"/>
        <v>0.16585510782226556</v>
      </c>
    </row>
    <row r="74" spans="1:41">
      <c r="A74">
        <f t="shared" si="40"/>
        <v>30</v>
      </c>
      <c r="B74">
        <f t="shared" si="2"/>
        <v>262</v>
      </c>
      <c r="C74">
        <f t="shared" si="3"/>
        <v>0</v>
      </c>
      <c r="D74">
        <f t="shared" si="4"/>
        <v>118</v>
      </c>
      <c r="E74">
        <f t="shared" si="5"/>
        <v>5</v>
      </c>
      <c r="F74">
        <f t="shared" si="14"/>
        <v>23.6</v>
      </c>
      <c r="G74">
        <f t="shared" si="6"/>
        <v>1</v>
      </c>
      <c r="H74">
        <f t="shared" si="0"/>
        <v>1</v>
      </c>
      <c r="I74">
        <f t="shared" si="1"/>
        <v>0.5</v>
      </c>
      <c r="J74">
        <f t="shared" si="15"/>
        <v>22.199301640624967</v>
      </c>
      <c r="K74">
        <f t="shared" si="16"/>
        <v>118.19930164062497</v>
      </c>
      <c r="L74">
        <f t="shared" si="17"/>
        <v>3749656.5</v>
      </c>
      <c r="M74">
        <f t="shared" si="7"/>
        <v>118</v>
      </c>
      <c r="N74">
        <f t="shared" si="8"/>
        <v>96</v>
      </c>
      <c r="O74" s="4">
        <f t="shared" si="9"/>
        <v>21.8</v>
      </c>
      <c r="P74" s="4">
        <f t="shared" si="18"/>
        <v>20.71</v>
      </c>
      <c r="Q74" s="4">
        <f t="shared" si="18"/>
        <v>19.674499999999998</v>
      </c>
      <c r="R74" s="4">
        <f t="shared" si="18"/>
        <v>18.690774999999999</v>
      </c>
      <c r="S74" s="4">
        <f t="shared" si="18"/>
        <v>17.756236249999997</v>
      </c>
      <c r="T74" s="4">
        <f t="shared" si="19"/>
        <v>16.868424437499996</v>
      </c>
      <c r="U74" s="4">
        <f t="shared" si="19"/>
        <v>16.025003215624995</v>
      </c>
      <c r="V74" s="4">
        <f t="shared" si="19"/>
        <v>15.223753054843744</v>
      </c>
      <c r="W74" s="4">
        <f t="shared" si="19"/>
        <v>14.462565402101557</v>
      </c>
      <c r="X74" s="4">
        <f t="shared" si="20"/>
        <v>0</v>
      </c>
      <c r="Y74" s="4">
        <f t="shared" si="21"/>
        <v>0</v>
      </c>
      <c r="Z74" s="4">
        <f t="shared" si="22"/>
        <v>0</v>
      </c>
      <c r="AA74" s="4">
        <f t="shared" si="23"/>
        <v>0</v>
      </c>
      <c r="AB74" s="4">
        <f t="shared" si="24"/>
        <v>0</v>
      </c>
      <c r="AC74" s="4">
        <f t="shared" si="25"/>
        <v>0</v>
      </c>
      <c r="AD74" s="4">
        <f t="shared" si="26"/>
        <v>0</v>
      </c>
      <c r="AE74" s="4">
        <f t="shared" si="27"/>
        <v>0</v>
      </c>
      <c r="AF74" s="4">
        <f t="shared" si="28"/>
        <v>0</v>
      </c>
      <c r="AG74" s="4">
        <f t="shared" si="12"/>
        <v>1</v>
      </c>
      <c r="AH74" s="4">
        <f t="shared" si="29"/>
        <v>0.95</v>
      </c>
      <c r="AI74" s="4">
        <f t="shared" si="30"/>
        <v>0.90249999999999997</v>
      </c>
      <c r="AJ74" s="4">
        <f t="shared" si="31"/>
        <v>0.85737499999999989</v>
      </c>
      <c r="AK74" s="4">
        <f t="shared" si="32"/>
        <v>0.81450624999999988</v>
      </c>
      <c r="AL74" s="4">
        <f t="shared" si="33"/>
        <v>0.38689046874999994</v>
      </c>
      <c r="AM74" s="4">
        <f t="shared" si="34"/>
        <v>0.18377297265624995</v>
      </c>
      <c r="AN74" s="4">
        <f t="shared" si="35"/>
        <v>0.17458432402343743</v>
      </c>
      <c r="AO74" s="4">
        <f t="shared" si="36"/>
        <v>0.16585510782226556</v>
      </c>
    </row>
    <row r="75" spans="1:41">
      <c r="A75">
        <f t="shared" si="40"/>
        <v>31</v>
      </c>
      <c r="B75">
        <f t="shared" si="2"/>
        <v>263</v>
      </c>
      <c r="C75">
        <f t="shared" si="3"/>
        <v>0</v>
      </c>
      <c r="D75">
        <f t="shared" si="4"/>
        <v>118</v>
      </c>
      <c r="E75">
        <f t="shared" si="5"/>
        <v>6</v>
      </c>
      <c r="F75">
        <f t="shared" si="14"/>
        <v>19.666666666666668</v>
      </c>
      <c r="G75">
        <f t="shared" si="6"/>
        <v>0.5</v>
      </c>
      <c r="H75">
        <f t="shared" si="0"/>
        <v>1</v>
      </c>
      <c r="I75">
        <f t="shared" si="1"/>
        <v>0.5</v>
      </c>
      <c r="J75">
        <f t="shared" si="15"/>
        <v>22.229336558593719</v>
      </c>
      <c r="K75">
        <f t="shared" si="16"/>
        <v>118.22933655859372</v>
      </c>
      <c r="L75">
        <f t="shared" si="17"/>
        <v>3749656.5</v>
      </c>
      <c r="M75">
        <f t="shared" si="7"/>
        <v>118</v>
      </c>
      <c r="N75">
        <f t="shared" si="8"/>
        <v>96</v>
      </c>
      <c r="O75" s="4">
        <f t="shared" si="9"/>
        <v>21.8</v>
      </c>
      <c r="P75" s="4">
        <f t="shared" si="18"/>
        <v>20.71</v>
      </c>
      <c r="Q75" s="4">
        <f t="shared" si="18"/>
        <v>19.674499999999998</v>
      </c>
      <c r="R75" s="4">
        <f t="shared" si="18"/>
        <v>18.690774999999999</v>
      </c>
      <c r="S75" s="4">
        <f t="shared" si="18"/>
        <v>17.756236249999997</v>
      </c>
      <c r="T75" s="4">
        <f t="shared" si="19"/>
        <v>16.868424437499996</v>
      </c>
      <c r="U75" s="4">
        <f t="shared" si="19"/>
        <v>16.025003215624995</v>
      </c>
      <c r="V75" s="4">
        <f t="shared" si="19"/>
        <v>15.223753054843744</v>
      </c>
      <c r="W75" s="4">
        <f t="shared" si="19"/>
        <v>14.462565402101557</v>
      </c>
      <c r="X75" s="4">
        <f t="shared" si="20"/>
        <v>0</v>
      </c>
      <c r="Y75" s="4">
        <f t="shared" si="21"/>
        <v>0</v>
      </c>
      <c r="Z75" s="4">
        <f t="shared" si="22"/>
        <v>0</v>
      </c>
      <c r="AA75" s="4">
        <f t="shared" si="23"/>
        <v>0</v>
      </c>
      <c r="AB75" s="4">
        <f t="shared" si="24"/>
        <v>0</v>
      </c>
      <c r="AC75" s="4">
        <f t="shared" si="25"/>
        <v>0</v>
      </c>
      <c r="AD75" s="4">
        <f t="shared" si="26"/>
        <v>0</v>
      </c>
      <c r="AE75" s="4">
        <f t="shared" si="27"/>
        <v>0</v>
      </c>
      <c r="AF75" s="4">
        <f t="shared" si="28"/>
        <v>0</v>
      </c>
      <c r="AG75" s="4">
        <f t="shared" si="12"/>
        <v>1</v>
      </c>
      <c r="AH75" s="4">
        <f t="shared" si="29"/>
        <v>0.95</v>
      </c>
      <c r="AI75" s="4">
        <f t="shared" si="30"/>
        <v>0.90249999999999997</v>
      </c>
      <c r="AJ75" s="4">
        <f t="shared" si="31"/>
        <v>0.85737499999999989</v>
      </c>
      <c r="AK75" s="4">
        <f t="shared" si="32"/>
        <v>0.81450624999999988</v>
      </c>
      <c r="AL75" s="4">
        <f t="shared" si="33"/>
        <v>0.77378093749999988</v>
      </c>
      <c r="AM75" s="4">
        <f t="shared" si="34"/>
        <v>0.3675459453124999</v>
      </c>
      <c r="AN75" s="4">
        <f t="shared" si="35"/>
        <v>0.17458432402343743</v>
      </c>
      <c r="AO75" s="4">
        <f t="shared" si="36"/>
        <v>0.16585510782226556</v>
      </c>
    </row>
    <row r="76" spans="1:41">
      <c r="A76">
        <f t="shared" ref="A76:A80" si="41">A75+1</f>
        <v>32</v>
      </c>
      <c r="B76">
        <f t="shared" si="2"/>
        <v>261</v>
      </c>
      <c r="C76">
        <f t="shared" si="3"/>
        <v>0</v>
      </c>
      <c r="D76">
        <f t="shared" si="4"/>
        <v>118</v>
      </c>
      <c r="E76">
        <f t="shared" si="5"/>
        <v>4</v>
      </c>
      <c r="F76">
        <f t="shared" si="14"/>
        <v>29.5</v>
      </c>
      <c r="G76">
        <f t="shared" si="6"/>
        <v>0.5</v>
      </c>
      <c r="H76">
        <f t="shared" si="0"/>
        <v>1</v>
      </c>
      <c r="I76">
        <f t="shared" si="1"/>
        <v>0.5</v>
      </c>
      <c r="J76">
        <f t="shared" ref="J76:J80" si="42">SUM(O75:AO75)-SUM(P76:W76)-SUM(Y76:AF76)-SUM(AH76:AO76)</f>
        <v>24.557008647661078</v>
      </c>
      <c r="K76">
        <f t="shared" ref="K76:K80" si="43">IF(J76&gt;0,J76,0)+N76</f>
        <v>120.55700864766108</v>
      </c>
      <c r="L76">
        <f t="shared" si="17"/>
        <v>3749656.5</v>
      </c>
      <c r="M76">
        <f t="shared" si="7"/>
        <v>118</v>
      </c>
      <c r="N76">
        <f t="shared" si="8"/>
        <v>96</v>
      </c>
      <c r="O76" s="4">
        <f t="shared" si="9"/>
        <v>21.8</v>
      </c>
      <c r="P76" s="4">
        <f t="shared" si="18"/>
        <v>20.71</v>
      </c>
      <c r="Q76" s="4">
        <f t="shared" si="18"/>
        <v>19.674499999999998</v>
      </c>
      <c r="R76" s="4">
        <f t="shared" si="18"/>
        <v>18.690774999999999</v>
      </c>
      <c r="S76" s="4">
        <f t="shared" si="18"/>
        <v>17.756236249999997</v>
      </c>
      <c r="T76" s="4">
        <f t="shared" si="19"/>
        <v>16.868424437499996</v>
      </c>
      <c r="U76" s="4">
        <f t="shared" si="19"/>
        <v>16.025003215624995</v>
      </c>
      <c r="V76" s="4">
        <f t="shared" si="19"/>
        <v>15.223753054843744</v>
      </c>
      <c r="W76" s="4">
        <f t="shared" si="19"/>
        <v>14.462565402101557</v>
      </c>
      <c r="X76" s="4">
        <f t="shared" si="20"/>
        <v>0</v>
      </c>
      <c r="Y76" s="4">
        <f t="shared" si="21"/>
        <v>0</v>
      </c>
      <c r="Z76" s="4">
        <f t="shared" si="22"/>
        <v>0</v>
      </c>
      <c r="AA76" s="4">
        <f t="shared" si="23"/>
        <v>0</v>
      </c>
      <c r="AB76" s="4">
        <f t="shared" si="24"/>
        <v>0</v>
      </c>
      <c r="AC76" s="4">
        <f t="shared" si="25"/>
        <v>0</v>
      </c>
      <c r="AD76" s="4">
        <f t="shared" si="26"/>
        <v>0</v>
      </c>
      <c r="AE76" s="4">
        <f t="shared" si="27"/>
        <v>0</v>
      </c>
      <c r="AF76" s="4">
        <f t="shared" si="28"/>
        <v>0</v>
      </c>
      <c r="AG76" s="4">
        <f t="shared" si="12"/>
        <v>1</v>
      </c>
      <c r="AH76" s="4">
        <f t="shared" si="29"/>
        <v>0.95</v>
      </c>
      <c r="AI76" s="4">
        <f t="shared" si="30"/>
        <v>0.45124999999999998</v>
      </c>
      <c r="AJ76" s="4">
        <f t="shared" si="31"/>
        <v>0.42868749999999994</v>
      </c>
      <c r="AK76" s="4">
        <f t="shared" si="32"/>
        <v>0.40725312499999994</v>
      </c>
      <c r="AL76" s="4">
        <f t="shared" si="33"/>
        <v>0.38689046874999994</v>
      </c>
      <c r="AM76" s="4">
        <f t="shared" si="34"/>
        <v>0.3675459453124999</v>
      </c>
      <c r="AN76" s="4">
        <f t="shared" si="35"/>
        <v>0.17458432402343743</v>
      </c>
      <c r="AO76" s="4">
        <f t="shared" si="36"/>
        <v>8.2927553911132781E-2</v>
      </c>
    </row>
    <row r="77" spans="1:41">
      <c r="A77">
        <f t="shared" si="41"/>
        <v>33</v>
      </c>
      <c r="B77">
        <f t="shared" si="2"/>
        <v>260</v>
      </c>
      <c r="C77">
        <f t="shared" si="3"/>
        <v>0</v>
      </c>
      <c r="D77">
        <f t="shared" si="4"/>
        <v>118</v>
      </c>
      <c r="E77">
        <f t="shared" si="5"/>
        <v>3</v>
      </c>
      <c r="F77">
        <f t="shared" si="14"/>
        <v>39.333333333333336</v>
      </c>
      <c r="G77">
        <f t="shared" si="6"/>
        <v>1</v>
      </c>
      <c r="H77">
        <f t="shared" si="0"/>
        <v>1</v>
      </c>
      <c r="I77">
        <f t="shared" si="1"/>
        <v>0.5</v>
      </c>
      <c r="J77">
        <f t="shared" si="42"/>
        <v>23.595188519531217</v>
      </c>
      <c r="K77">
        <f t="shared" si="43"/>
        <v>119.59518851953122</v>
      </c>
      <c r="L77">
        <f t="shared" si="17"/>
        <v>3749656.5</v>
      </c>
      <c r="M77">
        <f t="shared" si="7"/>
        <v>118</v>
      </c>
      <c r="N77">
        <f t="shared" si="8"/>
        <v>96</v>
      </c>
      <c r="O77" s="4">
        <f t="shared" si="9"/>
        <v>21.8</v>
      </c>
      <c r="P77" s="4">
        <f t="shared" si="18"/>
        <v>20.71</v>
      </c>
      <c r="Q77" s="4">
        <f t="shared" si="18"/>
        <v>19.674499999999998</v>
      </c>
      <c r="R77" s="4">
        <f t="shared" si="18"/>
        <v>18.690774999999999</v>
      </c>
      <c r="S77" s="4">
        <f t="shared" si="18"/>
        <v>17.756236249999997</v>
      </c>
      <c r="T77" s="4">
        <f t="shared" si="19"/>
        <v>16.868424437499996</v>
      </c>
      <c r="U77" s="4">
        <f t="shared" si="19"/>
        <v>16.025003215624995</v>
      </c>
      <c r="V77" s="4">
        <f t="shared" si="19"/>
        <v>15.223753054843744</v>
      </c>
      <c r="W77" s="4">
        <f t="shared" si="19"/>
        <v>14.462565402101557</v>
      </c>
      <c r="X77" s="4">
        <f t="shared" si="20"/>
        <v>0</v>
      </c>
      <c r="Y77" s="4">
        <f t="shared" si="21"/>
        <v>0</v>
      </c>
      <c r="Z77" s="4">
        <f t="shared" si="22"/>
        <v>0</v>
      </c>
      <c r="AA77" s="4">
        <f t="shared" si="23"/>
        <v>0</v>
      </c>
      <c r="AB77" s="4">
        <f t="shared" si="24"/>
        <v>0</v>
      </c>
      <c r="AC77" s="4">
        <f t="shared" si="25"/>
        <v>0</v>
      </c>
      <c r="AD77" s="4">
        <f t="shared" si="26"/>
        <v>0</v>
      </c>
      <c r="AE77" s="4">
        <f t="shared" si="27"/>
        <v>0</v>
      </c>
      <c r="AF77" s="4">
        <f t="shared" si="28"/>
        <v>0</v>
      </c>
      <c r="AG77" s="4">
        <f t="shared" si="12"/>
        <v>1</v>
      </c>
      <c r="AH77" s="4">
        <f t="shared" si="29"/>
        <v>0.95</v>
      </c>
      <c r="AI77" s="4">
        <f t="shared" si="30"/>
        <v>0.45124999999999998</v>
      </c>
      <c r="AJ77" s="4">
        <f t="shared" si="31"/>
        <v>0.21434374999999997</v>
      </c>
      <c r="AK77" s="4">
        <f t="shared" si="32"/>
        <v>0.20362656249999997</v>
      </c>
      <c r="AL77" s="4">
        <f t="shared" si="33"/>
        <v>0.19344523437499997</v>
      </c>
      <c r="AM77" s="4">
        <f t="shared" si="34"/>
        <v>0.18377297265624995</v>
      </c>
      <c r="AN77" s="4">
        <f t="shared" si="35"/>
        <v>0.17458432402343743</v>
      </c>
      <c r="AO77" s="4">
        <f t="shared" si="36"/>
        <v>8.2927553911132781E-2</v>
      </c>
    </row>
    <row r="78" spans="1:41">
      <c r="A78">
        <f t="shared" si="41"/>
        <v>34</v>
      </c>
      <c r="B78">
        <f t="shared" si="2"/>
        <v>261</v>
      </c>
      <c r="C78">
        <f t="shared" si="3"/>
        <v>0</v>
      </c>
      <c r="D78">
        <f t="shared" si="4"/>
        <v>118</v>
      </c>
      <c r="E78">
        <f t="shared" si="5"/>
        <v>4</v>
      </c>
      <c r="F78">
        <f t="shared" si="14"/>
        <v>29.5</v>
      </c>
      <c r="G78">
        <f t="shared" si="6"/>
        <v>1</v>
      </c>
      <c r="H78">
        <f t="shared" si="0"/>
        <v>1</v>
      </c>
      <c r="I78">
        <f t="shared" si="1"/>
        <v>0.5</v>
      </c>
      <c r="J78">
        <f t="shared" si="42"/>
        <v>22.051478696088832</v>
      </c>
      <c r="K78">
        <f t="shared" si="43"/>
        <v>118.05147869608884</v>
      </c>
      <c r="L78">
        <f t="shared" si="17"/>
        <v>3749656.5</v>
      </c>
      <c r="M78">
        <f t="shared" si="7"/>
        <v>118</v>
      </c>
      <c r="N78">
        <f t="shared" si="8"/>
        <v>96</v>
      </c>
      <c r="O78" s="4">
        <f t="shared" si="9"/>
        <v>21.8</v>
      </c>
      <c r="P78" s="4">
        <f t="shared" si="18"/>
        <v>20.71</v>
      </c>
      <c r="Q78" s="4">
        <f t="shared" si="18"/>
        <v>19.674499999999998</v>
      </c>
      <c r="R78" s="4">
        <f t="shared" si="18"/>
        <v>18.690774999999999</v>
      </c>
      <c r="S78" s="4">
        <f t="shared" si="18"/>
        <v>17.756236249999997</v>
      </c>
      <c r="T78" s="4">
        <f t="shared" si="19"/>
        <v>16.868424437499996</v>
      </c>
      <c r="U78" s="4">
        <f t="shared" si="19"/>
        <v>16.025003215624995</v>
      </c>
      <c r="V78" s="4">
        <f t="shared" si="19"/>
        <v>15.223753054843744</v>
      </c>
      <c r="W78" s="4">
        <f t="shared" si="19"/>
        <v>14.462565402101557</v>
      </c>
      <c r="X78" s="4">
        <f t="shared" si="20"/>
        <v>0</v>
      </c>
      <c r="Y78" s="4">
        <f t="shared" si="21"/>
        <v>0</v>
      </c>
      <c r="Z78" s="4">
        <f t="shared" si="22"/>
        <v>0</v>
      </c>
      <c r="AA78" s="4">
        <f t="shared" si="23"/>
        <v>0</v>
      </c>
      <c r="AB78" s="4">
        <f t="shared" si="24"/>
        <v>0</v>
      </c>
      <c r="AC78" s="4">
        <f t="shared" si="25"/>
        <v>0</v>
      </c>
      <c r="AD78" s="4">
        <f t="shared" si="26"/>
        <v>0</v>
      </c>
      <c r="AE78" s="4">
        <f t="shared" si="27"/>
        <v>0</v>
      </c>
      <c r="AF78" s="4">
        <f t="shared" si="28"/>
        <v>0</v>
      </c>
      <c r="AG78" s="4">
        <f t="shared" si="12"/>
        <v>1</v>
      </c>
      <c r="AH78" s="4">
        <f t="shared" si="29"/>
        <v>0.95</v>
      </c>
      <c r="AI78" s="4">
        <f t="shared" si="30"/>
        <v>0.90249999999999997</v>
      </c>
      <c r="AJ78" s="4">
        <f t="shared" si="31"/>
        <v>0.42868749999999994</v>
      </c>
      <c r="AK78" s="4">
        <f t="shared" si="32"/>
        <v>0.20362656249999997</v>
      </c>
      <c r="AL78" s="4">
        <f t="shared" si="33"/>
        <v>0.19344523437499997</v>
      </c>
      <c r="AM78" s="4">
        <f t="shared" si="34"/>
        <v>0.18377297265624995</v>
      </c>
      <c r="AN78" s="4">
        <f t="shared" si="35"/>
        <v>0.17458432402343743</v>
      </c>
      <c r="AO78" s="4">
        <f t="shared" si="36"/>
        <v>0.16585510782226556</v>
      </c>
    </row>
    <row r="79" spans="1:41">
      <c r="A79">
        <f t="shared" si="41"/>
        <v>35</v>
      </c>
      <c r="B79">
        <f t="shared" si="2"/>
        <v>262</v>
      </c>
      <c r="C79">
        <f t="shared" si="3"/>
        <v>0</v>
      </c>
      <c r="D79">
        <f t="shared" si="4"/>
        <v>118</v>
      </c>
      <c r="E79">
        <f t="shared" si="5"/>
        <v>4</v>
      </c>
      <c r="F79">
        <f t="shared" si="14"/>
        <v>29.5</v>
      </c>
      <c r="G79">
        <f t="shared" si="6"/>
        <v>1</v>
      </c>
      <c r="H79">
        <f t="shared" si="0"/>
        <v>1</v>
      </c>
      <c r="I79">
        <f t="shared" si="1"/>
        <v>0.5</v>
      </c>
      <c r="J79">
        <f t="shared" si="42"/>
        <v>22.167685937499968</v>
      </c>
      <c r="K79">
        <f t="shared" si="43"/>
        <v>118.16768593749997</v>
      </c>
      <c r="L79">
        <f t="shared" si="17"/>
        <v>3749656.5</v>
      </c>
      <c r="M79">
        <f t="shared" si="7"/>
        <v>118</v>
      </c>
      <c r="N79">
        <f t="shared" si="8"/>
        <v>96</v>
      </c>
      <c r="O79" s="4">
        <f t="shared" si="9"/>
        <v>21.8</v>
      </c>
      <c r="P79" s="4">
        <f t="shared" si="18"/>
        <v>20.71</v>
      </c>
      <c r="Q79" s="4">
        <f t="shared" si="18"/>
        <v>19.674499999999998</v>
      </c>
      <c r="R79" s="4">
        <f t="shared" si="18"/>
        <v>18.690774999999999</v>
      </c>
      <c r="S79" s="4">
        <f t="shared" si="18"/>
        <v>17.756236249999997</v>
      </c>
      <c r="T79" s="4">
        <f t="shared" si="19"/>
        <v>16.868424437499996</v>
      </c>
      <c r="U79" s="4">
        <f t="shared" si="19"/>
        <v>16.025003215624995</v>
      </c>
      <c r="V79" s="4">
        <f t="shared" si="19"/>
        <v>15.223753054843744</v>
      </c>
      <c r="W79" s="4">
        <f t="shared" si="19"/>
        <v>14.462565402101557</v>
      </c>
      <c r="X79" s="4">
        <f t="shared" si="20"/>
        <v>0</v>
      </c>
      <c r="Y79" s="4">
        <f t="shared" si="21"/>
        <v>0</v>
      </c>
      <c r="Z79" s="4">
        <f t="shared" si="22"/>
        <v>0</v>
      </c>
      <c r="AA79" s="4">
        <f t="shared" si="23"/>
        <v>0</v>
      </c>
      <c r="AB79" s="4">
        <f t="shared" si="24"/>
        <v>0</v>
      </c>
      <c r="AC79" s="4">
        <f t="shared" si="25"/>
        <v>0</v>
      </c>
      <c r="AD79" s="4">
        <f t="shared" si="26"/>
        <v>0</v>
      </c>
      <c r="AE79" s="4">
        <f t="shared" si="27"/>
        <v>0</v>
      </c>
      <c r="AF79" s="4">
        <f t="shared" si="28"/>
        <v>0</v>
      </c>
      <c r="AG79" s="4">
        <f t="shared" si="12"/>
        <v>1</v>
      </c>
      <c r="AH79" s="4">
        <f t="shared" si="29"/>
        <v>0.95</v>
      </c>
      <c r="AI79" s="4">
        <f t="shared" si="30"/>
        <v>0.90249999999999997</v>
      </c>
      <c r="AJ79" s="4">
        <f t="shared" si="31"/>
        <v>0.85737499999999989</v>
      </c>
      <c r="AK79" s="4">
        <f t="shared" si="32"/>
        <v>0.40725312499999994</v>
      </c>
      <c r="AL79" s="4">
        <f t="shared" si="33"/>
        <v>0.19344523437499997</v>
      </c>
      <c r="AM79" s="4">
        <f t="shared" si="34"/>
        <v>0.18377297265624995</v>
      </c>
      <c r="AN79" s="4">
        <f t="shared" si="35"/>
        <v>0.17458432402343743</v>
      </c>
      <c r="AO79" s="4">
        <f t="shared" si="36"/>
        <v>0.16585510782226556</v>
      </c>
    </row>
    <row r="80" spans="1:41">
      <c r="A80">
        <f t="shared" si="41"/>
        <v>36</v>
      </c>
      <c r="B80">
        <f t="shared" si="2"/>
        <v>262</v>
      </c>
      <c r="C80">
        <f t="shared" si="3"/>
        <v>0</v>
      </c>
      <c r="D80">
        <f t="shared" si="4"/>
        <v>118</v>
      </c>
      <c r="E80">
        <f t="shared" si="5"/>
        <v>5</v>
      </c>
      <c r="F80">
        <f t="shared" si="14"/>
        <v>23.6</v>
      </c>
      <c r="G80">
        <f t="shared" si="6"/>
        <v>1</v>
      </c>
      <c r="H80">
        <f t="shared" si="0"/>
        <v>1</v>
      </c>
      <c r="I80">
        <f t="shared" si="1"/>
        <v>0.5</v>
      </c>
      <c r="J80">
        <f t="shared" si="42"/>
        <v>22.199301640624967</v>
      </c>
      <c r="K80">
        <f t="shared" si="43"/>
        <v>118.19930164062497</v>
      </c>
      <c r="L80">
        <f t="shared" si="17"/>
        <v>3749656.5</v>
      </c>
      <c r="M80">
        <f t="shared" si="7"/>
        <v>118</v>
      </c>
      <c r="N80">
        <f t="shared" si="8"/>
        <v>96</v>
      </c>
      <c r="O80" s="4">
        <f t="shared" si="9"/>
        <v>21.8</v>
      </c>
      <c r="P80" s="4">
        <f t="shared" si="18"/>
        <v>20.71</v>
      </c>
      <c r="Q80" s="4">
        <f t="shared" si="18"/>
        <v>19.674499999999998</v>
      </c>
      <c r="R80" s="4">
        <f t="shared" si="18"/>
        <v>18.690774999999999</v>
      </c>
      <c r="S80" s="4">
        <f t="shared" si="18"/>
        <v>17.756236249999997</v>
      </c>
      <c r="T80" s="4">
        <f t="shared" si="19"/>
        <v>16.868424437499996</v>
      </c>
      <c r="U80" s="4">
        <f t="shared" si="19"/>
        <v>16.025003215624995</v>
      </c>
      <c r="V80" s="4">
        <f t="shared" si="19"/>
        <v>15.223753054843744</v>
      </c>
      <c r="W80" s="4">
        <f t="shared" si="19"/>
        <v>14.462565402101557</v>
      </c>
      <c r="X80" s="4">
        <f t="shared" si="20"/>
        <v>0</v>
      </c>
      <c r="Y80" s="4">
        <f t="shared" si="21"/>
        <v>0</v>
      </c>
      <c r="Z80" s="4">
        <f t="shared" si="22"/>
        <v>0</v>
      </c>
      <c r="AA80" s="4">
        <f t="shared" si="23"/>
        <v>0</v>
      </c>
      <c r="AB80" s="4">
        <f t="shared" si="24"/>
        <v>0</v>
      </c>
      <c r="AC80" s="4">
        <f t="shared" si="25"/>
        <v>0</v>
      </c>
      <c r="AD80" s="4">
        <f t="shared" si="26"/>
        <v>0</v>
      </c>
      <c r="AE80" s="4">
        <f t="shared" si="27"/>
        <v>0</v>
      </c>
      <c r="AF80" s="4">
        <f t="shared" si="28"/>
        <v>0</v>
      </c>
      <c r="AG80" s="4">
        <f t="shared" si="12"/>
        <v>1</v>
      </c>
      <c r="AH80" s="4">
        <f t="shared" si="29"/>
        <v>0.95</v>
      </c>
      <c r="AI80" s="4">
        <f t="shared" si="30"/>
        <v>0.90249999999999997</v>
      </c>
      <c r="AJ80" s="4">
        <f t="shared" si="31"/>
        <v>0.85737499999999989</v>
      </c>
      <c r="AK80" s="4">
        <f t="shared" si="32"/>
        <v>0.81450624999999988</v>
      </c>
      <c r="AL80" s="4">
        <f t="shared" si="33"/>
        <v>0.38689046874999994</v>
      </c>
      <c r="AM80" s="4">
        <f t="shared" si="34"/>
        <v>0.18377297265624995</v>
      </c>
      <c r="AN80" s="4">
        <f t="shared" si="35"/>
        <v>0.17458432402343743</v>
      </c>
      <c r="AO80" s="4">
        <f t="shared" si="36"/>
        <v>0.16585510782226556</v>
      </c>
    </row>
    <row r="81" spans="6:6">
      <c r="F81">
        <f t="shared" si="14"/>
        <v>0</v>
      </c>
    </row>
  </sheetData>
  <pageMargins left="0.7" right="0.7" top="0.75" bottom="0.75" header="0.3" footer="0.3"/>
  <pageSetup orientation="portrait" horizontalDpi="0" verticalDpi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0AAF59-74DD-8741-972D-AB9022076D4B}">
  <dimension ref="A1:F60"/>
  <sheetViews>
    <sheetView workbookViewId="0"/>
  </sheetViews>
  <sheetFormatPr baseColWidth="10" defaultRowHeight="16"/>
  <cols>
    <col min="1" max="1" width="29" bestFit="1" customWidth="1"/>
  </cols>
  <sheetData>
    <row r="1" spans="1:4">
      <c r="A1" t="s">
        <v>120</v>
      </c>
      <c r="B1">
        <f>Vehicle!E25</f>
        <v>989</v>
      </c>
    </row>
    <row r="3" spans="1:4">
      <c r="A3" t="s">
        <v>247</v>
      </c>
    </row>
    <row r="5" spans="1:4">
      <c r="A5" t="s">
        <v>248</v>
      </c>
      <c r="B5">
        <f>Agriculture!D11</f>
        <v>5.2447664141414165</v>
      </c>
    </row>
    <row r="6" spans="1:4">
      <c r="A6" t="s">
        <v>252</v>
      </c>
      <c r="B6">
        <f>B5*B1+SUM(B26:D26)+B43+B59</f>
        <v>316351.19750927953</v>
      </c>
    </row>
    <row r="7" spans="1:4">
      <c r="A7" t="s">
        <v>249</v>
      </c>
      <c r="B7">
        <v>1</v>
      </c>
    </row>
    <row r="8" spans="1:4">
      <c r="A8" t="s">
        <v>250</v>
      </c>
      <c r="B8">
        <f>B6/B7</f>
        <v>316351.19750927953</v>
      </c>
    </row>
    <row r="9" spans="1:4">
      <c r="A9" t="s">
        <v>251</v>
      </c>
      <c r="B9">
        <v>2</v>
      </c>
    </row>
    <row r="10" spans="1:4">
      <c r="A10" t="s">
        <v>442</v>
      </c>
      <c r="B10">
        <f>B8*B9</f>
        <v>632702.39501855907</v>
      </c>
    </row>
    <row r="12" spans="1:4">
      <c r="A12" t="s">
        <v>271</v>
      </c>
      <c r="B12" t="s">
        <v>277</v>
      </c>
      <c r="C12" t="s">
        <v>278</v>
      </c>
      <c r="D12" t="s">
        <v>279</v>
      </c>
    </row>
    <row r="13" spans="1:4">
      <c r="A13" t="s">
        <v>310</v>
      </c>
      <c r="B13">
        <f>Agriculture!D13*B1</f>
        <v>13486.363636363634</v>
      </c>
    </row>
    <row r="14" spans="1:4">
      <c r="A14" t="s">
        <v>283</v>
      </c>
      <c r="B14">
        <v>0.1</v>
      </c>
    </row>
    <row r="15" spans="1:4">
      <c r="A15" t="s">
        <v>272</v>
      </c>
      <c r="B15">
        <f>B16/B1</f>
        <v>3.4090909090909087</v>
      </c>
      <c r="C15">
        <f>C16/B1</f>
        <v>10.227272727272727</v>
      </c>
      <c r="D15">
        <f>D16/B1</f>
        <v>0.68181818181818177</v>
      </c>
    </row>
    <row r="16" spans="1:4">
      <c r="A16" t="s">
        <v>273</v>
      </c>
      <c r="B16">
        <f>B13*0.25</f>
        <v>3371.5909090909086</v>
      </c>
      <c r="C16">
        <f>B13*0.75</f>
        <v>10114.772727272726</v>
      </c>
      <c r="D16">
        <f>B13*0.05</f>
        <v>674.31818181818176</v>
      </c>
    </row>
    <row r="17" spans="1:6">
      <c r="A17" t="s">
        <v>274</v>
      </c>
      <c r="B17">
        <v>0.66</v>
      </c>
      <c r="C17">
        <v>0.66</v>
      </c>
      <c r="D17">
        <v>0.66</v>
      </c>
    </row>
    <row r="18" spans="1:6">
      <c r="A18" t="s">
        <v>275</v>
      </c>
      <c r="B18">
        <f>B16/B17</f>
        <v>5108.4710743801643</v>
      </c>
      <c r="C18">
        <f>C16/C17</f>
        <v>15325.413223140493</v>
      </c>
      <c r="D18">
        <f>D16/D17</f>
        <v>1021.6942148760329</v>
      </c>
    </row>
    <row r="19" spans="1:6">
      <c r="A19" t="s">
        <v>325</v>
      </c>
      <c r="B19">
        <f>B18/2</f>
        <v>2554.2355371900821</v>
      </c>
      <c r="C19">
        <f>C18/6</f>
        <v>2554.2355371900821</v>
      </c>
      <c r="D19">
        <f>D18/4</f>
        <v>255.42355371900823</v>
      </c>
    </row>
    <row r="20" spans="1:6">
      <c r="A20" t="s">
        <v>445</v>
      </c>
      <c r="B20">
        <f>SUM(B19:D19)</f>
        <v>5363.8946280991722</v>
      </c>
    </row>
    <row r="21" spans="1:6">
      <c r="A21" t="s">
        <v>326</v>
      </c>
      <c r="B21">
        <v>0.27100000000000002</v>
      </c>
      <c r="C21" t="s">
        <v>20</v>
      </c>
    </row>
    <row r="22" spans="1:6">
      <c r="A22" t="s">
        <v>324</v>
      </c>
      <c r="B22">
        <f>SUM(B19:D19)*B21*11</f>
        <v>15989.769886363634</v>
      </c>
    </row>
    <row r="23" spans="1:6">
      <c r="A23" t="s">
        <v>281</v>
      </c>
      <c r="B23">
        <f>B24*0.25</f>
        <v>0.55555555555555558</v>
      </c>
      <c r="C23">
        <f t="shared" ref="C23:D23" si="0">C24*0.25</f>
        <v>1.4583333333333333</v>
      </c>
      <c r="D23">
        <f t="shared" si="0"/>
        <v>1.4583333333333333</v>
      </c>
      <c r="F23" t="s">
        <v>276</v>
      </c>
    </row>
    <row r="24" spans="1:6">
      <c r="A24" t="s">
        <v>251</v>
      </c>
      <c r="B24">
        <f>(1+1.5+1.5)/1.8</f>
        <v>2.2222222222222223</v>
      </c>
      <c r="C24">
        <f>(1+5+4.5)/1.8</f>
        <v>5.833333333333333</v>
      </c>
      <c r="D24">
        <f>(1+5+4.5)/1.8</f>
        <v>5.833333333333333</v>
      </c>
    </row>
    <row r="25" spans="1:6">
      <c r="A25" t="s">
        <v>280</v>
      </c>
      <c r="B25">
        <f>B18*B24</f>
        <v>11352.157943067032</v>
      </c>
      <c r="C25">
        <f>C18*C24</f>
        <v>89398.243801652876</v>
      </c>
      <c r="D25">
        <f>D18*D24</f>
        <v>5959.8829201101917</v>
      </c>
    </row>
    <row r="26" spans="1:6">
      <c r="A26" t="s">
        <v>282</v>
      </c>
      <c r="B26">
        <f>B25*$B$14</f>
        <v>1135.2157943067032</v>
      </c>
      <c r="C26">
        <f t="shared" ref="C26:D26" si="1">C25*$B$14</f>
        <v>8939.8243801652879</v>
      </c>
      <c r="D26">
        <f t="shared" si="1"/>
        <v>595.98829201101921</v>
      </c>
    </row>
    <row r="27" spans="1:6">
      <c r="A27" t="s">
        <v>442</v>
      </c>
      <c r="B27">
        <f>SUM(B25:D25)-SUM(B26:D26)</f>
        <v>96039.256198347095</v>
      </c>
    </row>
    <row r="29" spans="1:6">
      <c r="A29" t="s">
        <v>302</v>
      </c>
      <c r="B29" t="s">
        <v>309</v>
      </c>
    </row>
    <row r="31" spans="1:6">
      <c r="A31" t="s">
        <v>310</v>
      </c>
      <c r="B31">
        <f>Agriculture!D14*B1</f>
        <v>4495.454545454545</v>
      </c>
    </row>
    <row r="32" spans="1:6">
      <c r="A32" t="s">
        <v>274</v>
      </c>
      <c r="B32">
        <v>0.75</v>
      </c>
    </row>
    <row r="33" spans="1:4">
      <c r="A33" t="s">
        <v>275</v>
      </c>
      <c r="B33">
        <f>B31/B32</f>
        <v>5993.9393939393931</v>
      </c>
    </row>
    <row r="34" spans="1:4">
      <c r="A34" t="s">
        <v>311</v>
      </c>
      <c r="B34">
        <v>105</v>
      </c>
    </row>
    <row r="35" spans="1:4">
      <c r="A35" t="s">
        <v>312</v>
      </c>
      <c r="B35">
        <f>B33/B34</f>
        <v>57.085137085137077</v>
      </c>
    </row>
    <row r="36" spans="1:4">
      <c r="A36" t="s">
        <v>323</v>
      </c>
      <c r="B36">
        <v>4</v>
      </c>
    </row>
    <row r="37" spans="1:4">
      <c r="A37" t="s">
        <v>324</v>
      </c>
      <c r="B37">
        <f>B35*B36*11</f>
        <v>2511.7460317460313</v>
      </c>
    </row>
    <row r="38" spans="1:4">
      <c r="A38" t="s">
        <v>281</v>
      </c>
      <c r="B38">
        <f>B39*0.25</f>
        <v>0.81168831168831168</v>
      </c>
    </row>
    <row r="39" spans="1:4">
      <c r="A39" t="s">
        <v>251</v>
      </c>
      <c r="B39">
        <f>B41/B33</f>
        <v>3.2467532467532467</v>
      </c>
    </row>
    <row r="40" spans="1:4">
      <c r="A40" t="s">
        <v>313</v>
      </c>
      <c r="B40">
        <f>750/2.2</f>
        <v>340.90909090909088</v>
      </c>
      <c r="C40" t="s">
        <v>315</v>
      </c>
      <c r="D40" t="s">
        <v>314</v>
      </c>
    </row>
    <row r="41" spans="1:4">
      <c r="A41" t="s">
        <v>280</v>
      </c>
      <c r="B41">
        <f>B40*B35</f>
        <v>19460.842188114912</v>
      </c>
    </row>
    <row r="42" spans="1:4">
      <c r="A42" t="s">
        <v>321</v>
      </c>
      <c r="C42">
        <v>0</v>
      </c>
    </row>
    <row r="43" spans="1:4">
      <c r="A43" t="s">
        <v>282</v>
      </c>
      <c r="B43">
        <f>(B41-C42)*B14</f>
        <v>1946.0842188114912</v>
      </c>
    </row>
    <row r="44" spans="1:4">
      <c r="A44" t="s">
        <v>442</v>
      </c>
      <c r="B44">
        <f>B41-C42</f>
        <v>19460.842188114912</v>
      </c>
    </row>
    <row r="46" spans="1:4">
      <c r="A46" t="s">
        <v>570</v>
      </c>
    </row>
    <row r="48" spans="1:4">
      <c r="A48" t="s">
        <v>310</v>
      </c>
      <c r="B48">
        <f>Agriculture!D15*B18</f>
        <v>91952.479338842953</v>
      </c>
      <c r="D48" t="s">
        <v>571</v>
      </c>
    </row>
    <row r="49" spans="1:3">
      <c r="A49" t="s">
        <v>274</v>
      </c>
      <c r="B49">
        <v>0.75</v>
      </c>
    </row>
    <row r="50" spans="1:3">
      <c r="A50" t="s">
        <v>275</v>
      </c>
      <c r="B50">
        <f>B48/B49</f>
        <v>122603.30578512394</v>
      </c>
    </row>
    <row r="51" spans="1:3">
      <c r="A51" t="s">
        <v>311</v>
      </c>
      <c r="B51">
        <v>105</v>
      </c>
    </row>
    <row r="52" spans="1:3">
      <c r="A52" t="s">
        <v>312</v>
      </c>
      <c r="B52">
        <f>B50/B51</f>
        <v>1167.6505312868946</v>
      </c>
    </row>
    <row r="53" spans="1:3">
      <c r="A53" t="s">
        <v>323</v>
      </c>
      <c r="B53">
        <v>4</v>
      </c>
    </row>
    <row r="54" spans="1:3">
      <c r="A54" t="s">
        <v>324</v>
      </c>
      <c r="B54">
        <f>B52*B53*11</f>
        <v>51376.623376623364</v>
      </c>
    </row>
    <row r="55" spans="1:3">
      <c r="A55" t="s">
        <v>281</v>
      </c>
      <c r="B55">
        <f>B56*0.25</f>
        <v>0.81168831168831157</v>
      </c>
    </row>
    <row r="56" spans="1:3">
      <c r="A56" t="s">
        <v>251</v>
      </c>
      <c r="B56">
        <f>B58/B50</f>
        <v>3.2467532467532463</v>
      </c>
    </row>
    <row r="57" spans="1:3">
      <c r="A57" t="s">
        <v>313</v>
      </c>
      <c r="B57">
        <f>750/2.2</f>
        <v>340.90909090909088</v>
      </c>
      <c r="C57" t="s">
        <v>572</v>
      </c>
    </row>
    <row r="58" spans="1:3">
      <c r="A58" t="s">
        <v>280</v>
      </c>
      <c r="B58">
        <f>B57*B52</f>
        <v>398062.68112053222</v>
      </c>
    </row>
    <row r="59" spans="1:3">
      <c r="A59" t="s">
        <v>282</v>
      </c>
      <c r="B59">
        <f>B58*0.75</f>
        <v>298547.01084039919</v>
      </c>
    </row>
    <row r="60" spans="1:3">
      <c r="A60" t="s">
        <v>442</v>
      </c>
      <c r="B60">
        <f>B58-B59</f>
        <v>99515.670280133025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19</vt:i4>
      </vt:variant>
      <vt:variant>
        <vt:lpstr>Named Ranges</vt:lpstr>
      </vt:variant>
      <vt:variant>
        <vt:i4>3</vt:i4>
      </vt:variant>
    </vt:vector>
  </HeadingPairs>
  <TitlesOfParts>
    <vt:vector size="22" baseType="lpstr">
      <vt:lpstr>Vehicle</vt:lpstr>
      <vt:lpstr>Automation</vt:lpstr>
      <vt:lpstr>Conversion</vt:lpstr>
      <vt:lpstr>Costs</vt:lpstr>
      <vt:lpstr>Geometry</vt:lpstr>
      <vt:lpstr>Gravity</vt:lpstr>
      <vt:lpstr>Sheet2</vt:lpstr>
      <vt:lpstr>Power Consumption</vt:lpstr>
      <vt:lpstr>Propulsion</vt:lpstr>
      <vt:lpstr>Population</vt:lpstr>
      <vt:lpstr>Population Model</vt:lpstr>
      <vt:lpstr>Vocations</vt:lpstr>
      <vt:lpstr>Billet</vt:lpstr>
      <vt:lpstr>Agriculture</vt:lpstr>
      <vt:lpstr>Crops</vt:lpstr>
      <vt:lpstr>Diet</vt:lpstr>
      <vt:lpstr>Aquaculture</vt:lpstr>
      <vt:lpstr>Cattle</vt:lpstr>
      <vt:lpstr>Protein</vt:lpstr>
      <vt:lpstr>Vocations!Criteria</vt:lpstr>
      <vt:lpstr>Vocations!Extract</vt:lpstr>
      <vt:lpstr>Vocations!Print_Area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Woods</dc:creator>
  <cp:lastModifiedBy>Sean Woods</cp:lastModifiedBy>
  <cp:lastPrinted>2019-03-30T21:01:46Z</cp:lastPrinted>
  <dcterms:created xsi:type="dcterms:W3CDTF">2019-01-31T03:30:08Z</dcterms:created>
  <dcterms:modified xsi:type="dcterms:W3CDTF">2019-04-23T10:20:30Z</dcterms:modified>
</cp:coreProperties>
</file>