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eandeelywoods/www/etoyoc/sites/sublight/content/09bcb5bb-14d0-41de-a0a6-7d30cb6263ed/"/>
    </mc:Choice>
  </mc:AlternateContent>
  <xr:revisionPtr revIDLastSave="0" documentId="13_ncr:1_{6FA89EB3-F03F-A942-8C29-BEDDF48769A6}" xr6:coauthVersionLast="36" xr6:coauthVersionMax="36" xr10:uidLastSave="{00000000-0000-0000-0000-000000000000}"/>
  <bookViews>
    <workbookView xWindow="9800" yWindow="460" windowWidth="24260" windowHeight="20360" xr2:uid="{C5C5FF5A-7655-834A-B11B-272060538216}"/>
  </bookViews>
  <sheets>
    <sheet name="design" sheetId="3" r:id="rId1"/>
    <sheet name="structure" sheetId="5" r:id="rId2"/>
    <sheet name="accomodation" sheetId="4" r:id="rId3"/>
    <sheet name="performance" sheetId="1" r:id="rId4"/>
    <sheet name="constants" sheetId="2" r:id="rId5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" i="2" l="1"/>
  <c r="H38" i="3" s="1"/>
  <c r="E2" i="2"/>
  <c r="C2" i="2" s="1"/>
  <c r="C13" i="5"/>
  <c r="C53" i="5"/>
  <c r="F65" i="4"/>
  <c r="K65" i="4"/>
  <c r="K66" i="4"/>
  <c r="K67" i="4"/>
  <c r="K68" i="4"/>
  <c r="I65" i="4"/>
  <c r="I66" i="4"/>
  <c r="I67" i="4"/>
  <c r="I68" i="4"/>
  <c r="J68" i="4"/>
  <c r="J67" i="4"/>
  <c r="J65" i="4"/>
  <c r="J66" i="4"/>
  <c r="I2" i="3"/>
  <c r="F36" i="3"/>
  <c r="C54" i="5"/>
  <c r="C4" i="3"/>
  <c r="C46" i="4" l="1"/>
  <c r="H46" i="1"/>
  <c r="F49" i="1"/>
  <c r="F47" i="1"/>
  <c r="H48" i="1" l="1"/>
  <c r="C6" i="1"/>
  <c r="E6" i="1" s="1"/>
  <c r="C9" i="1"/>
  <c r="C4" i="1" s="1"/>
  <c r="C10" i="1" l="1"/>
  <c r="C7" i="1"/>
  <c r="B43" i="3" l="1"/>
  <c r="C7" i="3"/>
  <c r="C17" i="3"/>
  <c r="A58" i="1"/>
  <c r="A59" i="1" s="1"/>
  <c r="A60" i="1" s="1"/>
  <c r="A61" i="1" s="1"/>
  <c r="C25" i="3"/>
  <c r="C12" i="3"/>
  <c r="F65" i="1" s="1"/>
  <c r="F66" i="1" s="1"/>
  <c r="J35" i="3"/>
  <c r="F59" i="1" l="1"/>
  <c r="F60" i="1"/>
  <c r="F58" i="1"/>
  <c r="F57" i="1"/>
  <c r="F61" i="1"/>
  <c r="A39" i="1"/>
  <c r="A40" i="1" s="1"/>
  <c r="A41" i="1" s="1"/>
  <c r="A42" i="1" s="1"/>
  <c r="C5" i="1"/>
  <c r="E5" i="1" s="1"/>
  <c r="G2" i="3"/>
  <c r="C5" i="2"/>
  <c r="C6" i="2"/>
  <c r="C4" i="2"/>
  <c r="C2" i="5"/>
  <c r="F38" i="1" l="1"/>
  <c r="H38" i="1" s="1"/>
  <c r="F42" i="1"/>
  <c r="H42" i="1" s="1"/>
  <c r="F41" i="1"/>
  <c r="F40" i="1"/>
  <c r="F39" i="1"/>
  <c r="G19" i="1"/>
  <c r="E19" i="1" s="1"/>
  <c r="C19" i="1" s="1"/>
  <c r="H57" i="1" l="1"/>
  <c r="H60" i="1"/>
  <c r="H58" i="1"/>
  <c r="H61" i="1"/>
  <c r="H59" i="1"/>
  <c r="H66" i="1"/>
  <c r="H65" i="1"/>
  <c r="H49" i="1"/>
  <c r="H39" i="1"/>
  <c r="H40" i="1"/>
  <c r="H41" i="1"/>
  <c r="C21" i="2"/>
  <c r="H47" i="1" l="1"/>
  <c r="C48" i="5"/>
  <c r="C26" i="2" l="1"/>
  <c r="C25" i="2"/>
  <c r="C59" i="4"/>
  <c r="C20" i="2"/>
  <c r="C14" i="5"/>
  <c r="B66" i="4"/>
  <c r="B67" i="4" s="1"/>
  <c r="C10" i="4"/>
  <c r="E15" i="4"/>
  <c r="C19" i="2"/>
  <c r="C16" i="4" l="1"/>
  <c r="B68" i="4"/>
  <c r="C26" i="5" l="1"/>
  <c r="C27" i="5" s="1"/>
  <c r="C20" i="5"/>
  <c r="C15" i="5"/>
  <c r="C50" i="5"/>
  <c r="D65" i="4"/>
  <c r="C49" i="5"/>
  <c r="C21" i="5"/>
  <c r="C57" i="5"/>
  <c r="C58" i="5" s="1"/>
  <c r="E16" i="4"/>
  <c r="D68" i="4"/>
  <c r="D66" i="4"/>
  <c r="D67" i="4"/>
  <c r="C59" i="5" l="1"/>
  <c r="H41" i="3"/>
  <c r="C23" i="5"/>
  <c r="C24" i="5" s="1"/>
  <c r="C51" i="5"/>
  <c r="C60" i="5" s="1"/>
  <c r="C61" i="5" l="1"/>
  <c r="E61" i="5" s="1"/>
  <c r="C15" i="2" l="1"/>
  <c r="C12" i="2" l="1"/>
  <c r="C29" i="3"/>
  <c r="F43" i="3" s="1"/>
  <c r="C6" i="4"/>
  <c r="F40" i="3" l="1"/>
  <c r="H39" i="3"/>
  <c r="B34" i="3"/>
  <c r="D34" i="3" s="1"/>
  <c r="C9" i="4"/>
  <c r="C17" i="4" l="1"/>
  <c r="D22" i="3" l="1"/>
  <c r="C26" i="3" l="1"/>
  <c r="C16" i="5" l="1"/>
  <c r="C17" i="5" s="1"/>
  <c r="C18" i="5" s="1"/>
  <c r="C9" i="5" s="1"/>
  <c r="C3" i="3" s="1"/>
  <c r="C13" i="4"/>
  <c r="G3" i="3" l="1"/>
  <c r="C41" i="5"/>
  <c r="C42" i="5" s="1"/>
  <c r="C67" i="4"/>
  <c r="F67" i="4" s="1"/>
  <c r="C21" i="4"/>
  <c r="C68" i="4"/>
  <c r="F35" i="3"/>
  <c r="C14" i="4"/>
  <c r="F37" i="3" s="1"/>
  <c r="C66" i="4"/>
  <c r="F66" i="4" s="1"/>
  <c r="C65" i="4"/>
  <c r="F33" i="3" l="1"/>
  <c r="C20" i="4"/>
  <c r="F68" i="4"/>
  <c r="C31" i="4" l="1"/>
  <c r="C32" i="4" s="1"/>
  <c r="C2" i="4" s="1"/>
  <c r="C38" i="4"/>
  <c r="C39" i="4" s="1"/>
  <c r="C47" i="4"/>
  <c r="C42" i="4" l="1"/>
  <c r="C55" i="4" s="1"/>
  <c r="C3" i="4"/>
  <c r="C50" i="4"/>
  <c r="C4" i="4"/>
  <c r="C5" i="4" s="1"/>
  <c r="C52" i="4"/>
  <c r="C44" i="4"/>
  <c r="C36" i="4"/>
  <c r="C61" i="4" l="1"/>
  <c r="C22" i="4"/>
  <c r="E17" i="4"/>
  <c r="B22" i="3"/>
  <c r="C24" i="4"/>
  <c r="C26" i="4"/>
  <c r="C29" i="4" l="1"/>
  <c r="C27" i="4"/>
  <c r="G20" i="1"/>
  <c r="C37" i="5"/>
  <c r="E24" i="4"/>
  <c r="C11" i="4" s="1"/>
  <c r="E11" i="4" s="1"/>
  <c r="C18" i="4"/>
  <c r="C19" i="4"/>
  <c r="B37" i="3" s="1"/>
  <c r="B33" i="3" s="1"/>
  <c r="E18" i="4" l="1"/>
  <c r="H37" i="3"/>
  <c r="C27" i="1"/>
  <c r="C14" i="1"/>
  <c r="E20" i="1"/>
  <c r="C20" i="1" s="1"/>
  <c r="C23" i="1"/>
  <c r="C22" i="1" l="1"/>
  <c r="C36" i="5" s="1"/>
  <c r="C16" i="1"/>
  <c r="C17" i="1" l="1"/>
  <c r="C18" i="1" s="1"/>
  <c r="H40" i="3"/>
  <c r="H33" i="3" s="1"/>
  <c r="C43" i="5"/>
  <c r="E43" i="5" s="1"/>
  <c r="C44" i="5"/>
  <c r="C45" i="5" s="1"/>
  <c r="E2" i="3" l="1"/>
  <c r="C26" i="1"/>
  <c r="C16" i="3"/>
  <c r="G16" i="3" l="1"/>
  <c r="C11" i="1"/>
  <c r="C28" i="1"/>
  <c r="C49" i="1"/>
  <c r="J49" i="1" l="1"/>
  <c r="B49" i="1"/>
  <c r="C61" i="1"/>
  <c r="C66" i="1"/>
  <c r="C42" i="1"/>
  <c r="B42" i="1" l="1"/>
  <c r="K42" i="1"/>
  <c r="K66" i="1"/>
  <c r="B66" i="1"/>
  <c r="B61" i="1"/>
  <c r="K61" i="1"/>
  <c r="G49" i="1"/>
  <c r="E49" i="1"/>
  <c r="D49" i="1" s="1"/>
  <c r="L49" i="1" s="1"/>
  <c r="C48" i="1"/>
  <c r="G61" i="1" l="1"/>
  <c r="C60" i="1"/>
  <c r="E61" i="1"/>
  <c r="D61" i="1" s="1"/>
  <c r="L61" i="1" s="1"/>
  <c r="J61" i="1"/>
  <c r="E66" i="1"/>
  <c r="D66" i="1" s="1"/>
  <c r="L66" i="1" s="1"/>
  <c r="J66" i="1"/>
  <c r="C65" i="1"/>
  <c r="G66" i="1"/>
  <c r="J48" i="1"/>
  <c r="B48" i="1"/>
  <c r="J42" i="1"/>
  <c r="C41" i="1"/>
  <c r="E42" i="1"/>
  <c r="D42" i="1" s="1"/>
  <c r="G42" i="1"/>
  <c r="L42" i="1" l="1"/>
  <c r="C8" i="5"/>
  <c r="K41" i="1"/>
  <c r="B41" i="1"/>
  <c r="C47" i="1"/>
  <c r="E48" i="1"/>
  <c r="D48" i="1" s="1"/>
  <c r="L48" i="1" s="1"/>
  <c r="M50" i="1" s="1"/>
  <c r="G48" i="1"/>
  <c r="K60" i="1"/>
  <c r="B60" i="1"/>
  <c r="B65" i="1"/>
  <c r="K65" i="1"/>
  <c r="B47" i="1" l="1"/>
  <c r="J47" i="1"/>
  <c r="B35" i="1" s="1"/>
  <c r="C6" i="3" s="1"/>
  <c r="E41" i="1"/>
  <c r="G41" i="1"/>
  <c r="J41" i="1"/>
  <c r="D41" i="1"/>
  <c r="C40" i="1"/>
  <c r="J65" i="1"/>
  <c r="C10" i="3"/>
  <c r="G10" i="3" s="1"/>
  <c r="E65" i="1"/>
  <c r="D65" i="1" s="1"/>
  <c r="G65" i="1"/>
  <c r="G60" i="1"/>
  <c r="E60" i="1"/>
  <c r="D60" i="1" s="1"/>
  <c r="L60" i="1" s="1"/>
  <c r="J60" i="1"/>
  <c r="C59" i="1"/>
  <c r="B40" i="1" l="1"/>
  <c r="K40" i="1"/>
  <c r="C7" i="5"/>
  <c r="L41" i="1"/>
  <c r="L65" i="1"/>
  <c r="L63" i="1" s="1"/>
  <c r="B54" i="1" s="1"/>
  <c r="C15" i="3" s="1"/>
  <c r="B52" i="1"/>
  <c r="C11" i="3"/>
  <c r="G11" i="3" s="1"/>
  <c r="K59" i="1"/>
  <c r="B59" i="1"/>
  <c r="E47" i="1"/>
  <c r="D47" i="1" s="1"/>
  <c r="C46" i="1"/>
  <c r="G47" i="1"/>
  <c r="L47" i="1" l="1"/>
  <c r="D44" i="1"/>
  <c r="B46" i="1"/>
  <c r="J46" i="1"/>
  <c r="J40" i="1"/>
  <c r="G40" i="1"/>
  <c r="C39" i="1"/>
  <c r="D40" i="1"/>
  <c r="C6" i="5" s="1"/>
  <c r="D6" i="5" s="1"/>
  <c r="D9" i="5" s="1"/>
  <c r="E40" i="1"/>
  <c r="C58" i="1"/>
  <c r="J59" i="1"/>
  <c r="E59" i="1"/>
  <c r="D59" i="1" s="1"/>
  <c r="G59" i="1"/>
  <c r="B39" i="1" l="1"/>
  <c r="K39" i="1"/>
  <c r="B58" i="1"/>
  <c r="K58" i="1"/>
  <c r="E24" i="5"/>
  <c r="E46" i="1"/>
  <c r="D46" i="1" s="1"/>
  <c r="L46" i="1" s="1"/>
  <c r="G46" i="1"/>
  <c r="G58" i="1" l="1"/>
  <c r="C57" i="1"/>
  <c r="J58" i="1"/>
  <c r="E58" i="1"/>
  <c r="D58" i="1" s="1"/>
  <c r="L58" i="1" s="1"/>
  <c r="C38" i="1"/>
  <c r="E39" i="1"/>
  <c r="D39" i="1" s="1"/>
  <c r="G39" i="1"/>
  <c r="J39" i="1"/>
  <c r="C5" i="5" l="1"/>
  <c r="L39" i="1"/>
  <c r="B38" i="1"/>
  <c r="K38" i="1"/>
  <c r="K57" i="1"/>
  <c r="B57" i="1"/>
  <c r="G57" i="1" l="1"/>
  <c r="J57" i="1"/>
  <c r="E57" i="1"/>
  <c r="D57" i="1" s="1"/>
  <c r="L57" i="1" s="1"/>
  <c r="L55" i="1" s="1"/>
  <c r="J38" i="1"/>
  <c r="G38" i="1"/>
  <c r="E38" i="1"/>
  <c r="C31" i="1" s="1"/>
  <c r="D36" i="3" s="1"/>
  <c r="D38" i="1" l="1"/>
  <c r="B53" i="1"/>
  <c r="C14" i="3" s="1"/>
  <c r="L38" i="1" l="1"/>
  <c r="L36" i="1" s="1"/>
  <c r="B34" i="1" s="1"/>
  <c r="C5" i="3" s="1"/>
  <c r="C21" i="3" s="1"/>
  <c r="B33" i="1"/>
  <c r="C30" i="1"/>
  <c r="E3" i="3" s="1"/>
  <c r="C4" i="5"/>
  <c r="D4" i="5" s="1"/>
  <c r="D10" i="5" s="1"/>
  <c r="C30" i="5" s="1"/>
  <c r="C10" i="5" l="1"/>
  <c r="E11" i="3" s="1"/>
  <c r="C29" i="5"/>
  <c r="C28" i="5" s="1"/>
  <c r="C3" i="5"/>
  <c r="E21" i="3"/>
  <c r="C31" i="5" l="1"/>
  <c r="J42" i="3"/>
  <c r="J33" i="3" s="1"/>
  <c r="C18" i="3" s="1"/>
  <c r="C52" i="1"/>
  <c r="C33" i="1"/>
  <c r="D31" i="1"/>
  <c r="C39" i="5" l="1"/>
  <c r="C40" i="5" s="1"/>
  <c r="C8" i="3"/>
</calcChain>
</file>

<file path=xl/sharedStrings.xml><?xml version="1.0" encoding="utf-8"?>
<sst xmlns="http://schemas.openxmlformats.org/spreadsheetml/2006/main" count="458" uniqueCount="236">
  <si>
    <t>kg/m^3</t>
  </si>
  <si>
    <t>Kg/m^2 manned space</t>
  </si>
  <si>
    <t>long ton/ft^3</t>
  </si>
  <si>
    <t>Radition Shielding</t>
  </si>
  <si>
    <t>kg/m^2</t>
  </si>
  <si>
    <t>AU</t>
  </si>
  <si>
    <t>m</t>
  </si>
  <si>
    <t>gvm</t>
  </si>
  <si>
    <t>kg</t>
  </si>
  <si>
    <t>Voyage</t>
  </si>
  <si>
    <t>Propellent</t>
  </si>
  <si>
    <t>Performance</t>
  </si>
  <si>
    <t>mdot</t>
  </si>
  <si>
    <t>kg/s</t>
  </si>
  <si>
    <t>1400 MJ/kg</t>
  </si>
  <si>
    <t>https://en.wikipedia.org/wiki/Specific_impulse</t>
  </si>
  <si>
    <t>ve</t>
  </si>
  <si>
    <t>iSP</t>
  </si>
  <si>
    <t>s</t>
  </si>
  <si>
    <t>Impulse</t>
  </si>
  <si>
    <t>N</t>
  </si>
  <si>
    <t>m/s/s</t>
  </si>
  <si>
    <t>Fusion Fuel Usage</t>
  </si>
  <si>
    <t>Fuel Mass Fac</t>
  </si>
  <si>
    <t>kg/kwh</t>
  </si>
  <si>
    <t>Engines</t>
  </si>
  <si>
    <t>kg/day</t>
  </si>
  <si>
    <t>kwh</t>
  </si>
  <si>
    <t>Habitat</t>
  </si>
  <si>
    <t>Structure</t>
  </si>
  <si>
    <t>m^2</t>
  </si>
  <si>
    <t>Passengers</t>
  </si>
  <si>
    <t>Volume</t>
  </si>
  <si>
    <t>Dry Mass</t>
  </si>
  <si>
    <t>days</t>
  </si>
  <si>
    <t>souls</t>
  </si>
  <si>
    <t>Launch GVM</t>
  </si>
  <si>
    <t>Propellent Budget</t>
  </si>
  <si>
    <t>Fuel Capacity</t>
  </si>
  <si>
    <t>hours</t>
  </si>
  <si>
    <t>m/s</t>
  </si>
  <si>
    <t>au/day</t>
  </si>
  <si>
    <t>Fuel</t>
  </si>
  <si>
    <t>Time</t>
  </si>
  <si>
    <t>au</t>
  </si>
  <si>
    <t>g</t>
  </si>
  <si>
    <t>Mission Duration</t>
  </si>
  <si>
    <t>Food</t>
  </si>
  <si>
    <t>tons</t>
  </si>
  <si>
    <t>Engine mass</t>
  </si>
  <si>
    <t>w/kg</t>
  </si>
  <si>
    <t>Reactor</t>
  </si>
  <si>
    <t>Reactor Mass</t>
  </si>
  <si>
    <t>m^3</t>
  </si>
  <si>
    <t>Cross Section</t>
  </si>
  <si>
    <t>Height</t>
  </si>
  <si>
    <t>Conformal Reaction Mass Tank</t>
  </si>
  <si>
    <t>Outer Radius</t>
  </si>
  <si>
    <t>Inner Radius</t>
  </si>
  <si>
    <t>height</t>
  </si>
  <si>
    <t>Bow Tank</t>
  </si>
  <si>
    <t>Cross Sectional Area</t>
  </si>
  <si>
    <t>volume</t>
  </si>
  <si>
    <t>Nimitz Carrier</t>
  </si>
  <si>
    <t>Mass</t>
  </si>
  <si>
    <t>Saturn v</t>
  </si>
  <si>
    <t>nimitz carrier</t>
  </si>
  <si>
    <t>Crew</t>
  </si>
  <si>
    <t>All</t>
  </si>
  <si>
    <t>Decks</t>
  </si>
  <si>
    <t>Area</t>
  </si>
  <si>
    <t>Cabins</t>
  </si>
  <si>
    <t>Water</t>
  </si>
  <si>
    <t>l/day/person</t>
  </si>
  <si>
    <t>Recycle</t>
  </si>
  <si>
    <t>deltav</t>
  </si>
  <si>
    <t>Cruise Ship</t>
  </si>
  <si>
    <t>Cargo Density</t>
  </si>
  <si>
    <t>tons/person</t>
  </si>
  <si>
    <t>Cabin Size</t>
  </si>
  <si>
    <t>Diameter</t>
  </si>
  <si>
    <t>Passengers/Cabin</t>
  </si>
  <si>
    <t>First Class</t>
  </si>
  <si>
    <t>Second Class</t>
  </si>
  <si>
    <t>Class</t>
  </si>
  <si>
    <t>Engineering</t>
  </si>
  <si>
    <t>Hotel Crew</t>
  </si>
  <si>
    <t>Kitchen</t>
  </si>
  <si>
    <t>Meals Per Chef</t>
  </si>
  <si>
    <t>https://www.stripes.com/news/what-does-it-take-to-feed-an-aircraft-carrier-on-a-combat-mission-about-17-300-meals-1.527749</t>
  </si>
  <si>
    <t>Meals/Day</t>
  </si>
  <si>
    <t>Hospitality</t>
  </si>
  <si>
    <t>Mess Staff</t>
  </si>
  <si>
    <t>Meal Mass</t>
  </si>
  <si>
    <t>kg/meal</t>
  </si>
  <si>
    <t>Personal Effects</t>
  </si>
  <si>
    <t>Total</t>
  </si>
  <si>
    <t>Vessel</t>
  </si>
  <si>
    <t>Crew Accomodations</t>
  </si>
  <si>
    <t>Crew Accomodation</t>
  </si>
  <si>
    <t>Bunks</t>
  </si>
  <si>
    <t>Crew Billets</t>
  </si>
  <si>
    <t>Cargo Mass</t>
  </si>
  <si>
    <t>Usage</t>
  </si>
  <si>
    <t>Tankage</t>
  </si>
  <si>
    <t>m^2/person</t>
  </si>
  <si>
    <t>ton/person</t>
  </si>
  <si>
    <t>Core Cross Section</t>
  </si>
  <si>
    <t>Rotational Grav</t>
  </si>
  <si>
    <t>Outer Wall Radius</t>
  </si>
  <si>
    <t>Rotation</t>
  </si>
  <si>
    <t>rad/sec</t>
  </si>
  <si>
    <t>rpm</t>
  </si>
  <si>
    <t>Radius</t>
  </si>
  <si>
    <t>Deck Spacing</t>
  </si>
  <si>
    <t>Accoodation Length</t>
  </si>
  <si>
    <t>Gravity</t>
  </si>
  <si>
    <t>Core</t>
  </si>
  <si>
    <t>Accoodation Volume</t>
  </si>
  <si>
    <t>Payload</t>
  </si>
  <si>
    <t>actual</t>
  </si>
  <si>
    <t>Bulk Cargo</t>
  </si>
  <si>
    <t>Mass Budget</t>
  </si>
  <si>
    <t>area</t>
  </si>
  <si>
    <t>radius</t>
  </si>
  <si>
    <t>Mission Profile</t>
  </si>
  <si>
    <t>Endurance</t>
  </si>
  <si>
    <t>Range</t>
  </si>
  <si>
    <t>Overall</t>
  </si>
  <si>
    <t>Moment of Inertia</t>
  </si>
  <si>
    <t>nuclear plasma</t>
  </si>
  <si>
    <t>Power Usage</t>
  </si>
  <si>
    <t>Power Requirements</t>
  </si>
  <si>
    <t>kwh/person/day</t>
  </si>
  <si>
    <t>kwh/day</t>
  </si>
  <si>
    <t>Peak Output</t>
  </si>
  <si>
    <t>w</t>
  </si>
  <si>
    <t>Efficiency</t>
  </si>
  <si>
    <t>Rector Volume</t>
  </si>
  <si>
    <t>Reactor Radius</t>
  </si>
  <si>
    <t>Based on international space station</t>
  </si>
  <si>
    <t>Radiator</t>
  </si>
  <si>
    <t>Energy Dissapation</t>
  </si>
  <si>
    <t>w/m^2</t>
  </si>
  <si>
    <t>Electrical Efficiency</t>
  </si>
  <si>
    <t>watt</t>
  </si>
  <si>
    <t>Surface area</t>
  </si>
  <si>
    <t>Thermal Heat (peak)</t>
  </si>
  <si>
    <t>Thermal Heat (coast)</t>
  </si>
  <si>
    <t>Thermal Management</t>
  </si>
  <si>
    <t>Engines Running</t>
  </si>
  <si>
    <t>Coasting</t>
  </si>
  <si>
    <t>radiated watts</t>
  </si>
  <si>
    <t>density</t>
  </si>
  <si>
    <t>Ice</t>
  </si>
  <si>
    <t>Enthalpy of react mass</t>
  </si>
  <si>
    <t>enthalpy of fusion</t>
  </si>
  <si>
    <t>J/kg</t>
  </si>
  <si>
    <t>enthalpy</t>
  </si>
  <si>
    <t>seconds</t>
  </si>
  <si>
    <t>Time to melt</t>
  </si>
  <si>
    <t>Temperature rise water</t>
  </si>
  <si>
    <t>dec c / second</t>
  </si>
  <si>
    <t>Full engine thrust</t>
  </si>
  <si>
    <t>Counter-Gyros</t>
  </si>
  <si>
    <t>Density</t>
  </si>
  <si>
    <t>Thicknes</t>
  </si>
  <si>
    <t>Angular Momentum</t>
  </si>
  <si>
    <t>Spacecratft</t>
  </si>
  <si>
    <t>Angular Speed</t>
  </si>
  <si>
    <t>Momentum</t>
  </si>
  <si>
    <t>Speed</t>
  </si>
  <si>
    <t>Gyros</t>
  </si>
  <si>
    <t>Meals/day</t>
  </si>
  <si>
    <t>Austere</t>
  </si>
  <si>
    <t>Life Support Equipment</t>
  </si>
  <si>
    <t>kg/person</t>
  </si>
  <si>
    <t>(Emergency)</t>
  </si>
  <si>
    <t>enclosed mass</t>
  </si>
  <si>
    <t>Drop Tank</t>
  </si>
  <si>
    <t>Voyage Stages</t>
  </si>
  <si>
    <t>reaction mass</t>
  </si>
  <si>
    <t>Internal Reaction Tank</t>
  </si>
  <si>
    <t>steel ship</t>
  </si>
  <si>
    <t>cryogenic fuel tank</t>
  </si>
  <si>
    <t>ice tank</t>
  </si>
  <si>
    <t>Based on Space Shuttle main tank</t>
  </si>
  <si>
    <t>solid propellant</t>
  </si>
  <si>
    <t>Ammonium Percolate</t>
  </si>
  <si>
    <t>Max Deltav</t>
  </si>
  <si>
    <t>Reaction Mass (total)</t>
  </si>
  <si>
    <t>Stages</t>
  </si>
  <si>
    <t>dry mass</t>
  </si>
  <si>
    <t>payload</t>
  </si>
  <si>
    <t>External Tanks</t>
  </si>
  <si>
    <t>Stage</t>
  </si>
  <si>
    <t>m0</t>
  </si>
  <si>
    <t>mf</t>
  </si>
  <si>
    <t>stages</t>
  </si>
  <si>
    <t>Empty Mass</t>
  </si>
  <si>
    <t>propellant</t>
  </si>
  <si>
    <t>kg/kg</t>
  </si>
  <si>
    <t>Internal Fuel</t>
  </si>
  <si>
    <t>External Fuel</t>
  </si>
  <si>
    <t>Officers</t>
  </si>
  <si>
    <t>Marines</t>
  </si>
  <si>
    <t>Weapons</t>
  </si>
  <si>
    <t>Mission Areas</t>
  </si>
  <si>
    <t>wat/kg</t>
  </si>
  <si>
    <t>kwh/kg</t>
  </si>
  <si>
    <t>Lithium Deutride is exploded in volumes of propellent to produce thrust</t>
  </si>
  <si>
    <t>Max G</t>
  </si>
  <si>
    <t>Stage 1</t>
  </si>
  <si>
    <t>Stage 2</t>
  </si>
  <si>
    <t>Stage 3</t>
  </si>
  <si>
    <t>Stage 4</t>
  </si>
  <si>
    <t>Deployment</t>
  </si>
  <si>
    <t>Return</t>
  </si>
  <si>
    <t>Patrol</t>
  </si>
  <si>
    <t>Deploy / Patrol / Return</t>
  </si>
  <si>
    <t>Ferry</t>
  </si>
  <si>
    <t>(With Drop Tank)</t>
  </si>
  <si>
    <t>(Internal Tanks)</t>
  </si>
  <si>
    <t>total Propellent</t>
  </si>
  <si>
    <t>total fuel</t>
  </si>
  <si>
    <t>Accomdation</t>
  </si>
  <si>
    <t>Total Propellant</t>
  </si>
  <si>
    <t>Combat Radius</t>
  </si>
  <si>
    <t>Ferry Range</t>
  </si>
  <si>
    <t>distance</t>
  </si>
  <si>
    <t>Officer</t>
  </si>
  <si>
    <t>Tons</t>
  </si>
  <si>
    <t>Floor Area</t>
  </si>
  <si>
    <t>Officer / Crew</t>
  </si>
  <si>
    <t>steel ship (ocean going)</t>
  </si>
  <si>
    <t>(Assuming weight savings can make a spacegoing vessel 25% of the mass)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</si>
</sst>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0.0000E+00"/>
    <numFmt numFmtId="166" formatCode="0.000"/>
    <numFmt numFmtId="167" formatCode="0.000E+00"/>
    <numFmt numFmtId="168" formatCode="0.0000"/>
  </numFmts>
  <fonts count="4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rgb="FF202122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0">
    <xf numFmtId="0" fontId="0" fillId="0" borderId="0" xfId="0"/>
    <xf numFmtId="0" fontId="0" fillId="2" borderId="0" xfId="0" applyFill="1"/>
    <xf numFmtId="11" fontId="0" fillId="2" borderId="0" xfId="0" applyNumberFormat="1" applyFill="1"/>
    <xf numFmtId="11" fontId="0" fillId="0" borderId="0" xfId="0" applyNumberFormat="1"/>
    <xf numFmtId="2" fontId="0" fillId="0" borderId="0" xfId="0" applyNumberFormat="1"/>
    <xf numFmtId="164" fontId="0" fillId="0" borderId="0" xfId="0" applyNumberFormat="1"/>
    <xf numFmtId="0" fontId="1" fillId="0" borderId="0" xfId="1"/>
    <xf numFmtId="2" fontId="2" fillId="0" borderId="0" xfId="0" applyNumberFormat="1" applyFont="1"/>
    <xf numFmtId="11" fontId="3" fillId="0" borderId="0" xfId="0" applyNumberFormat="1" applyFont="1"/>
    <xf numFmtId="1" fontId="0" fillId="0" borderId="0" xfId="0" applyNumberFormat="1"/>
    <xf numFmtId="11" fontId="0" fillId="3" borderId="0" xfId="0" applyNumberFormat="1" applyFill="1"/>
    <xf numFmtId="166" fontId="0" fillId="0" borderId="0" xfId="0" applyNumberFormat="1"/>
    <xf numFmtId="0" fontId="0" fillId="3" borderId="0" xfId="0" applyFill="1"/>
    <xf numFmtId="11" fontId="0" fillId="4" borderId="0" xfId="0" applyNumberFormat="1" applyFill="1"/>
    <xf numFmtId="164" fontId="0" fillId="3" borderId="0" xfId="0" applyNumberFormat="1" applyFill="1"/>
    <xf numFmtId="11" fontId="0" fillId="0" borderId="0" xfId="0" applyNumberFormat="1" applyFill="1"/>
    <xf numFmtId="167" fontId="0" fillId="2" borderId="0" xfId="0" applyNumberFormat="1" applyFill="1"/>
    <xf numFmtId="2" fontId="0" fillId="2" borderId="0" xfId="0" applyNumberFormat="1" applyFill="1"/>
    <xf numFmtId="168" fontId="0" fillId="2" borderId="0" xfId="0" applyNumberFormat="1" applyFill="1"/>
    <xf numFmtId="0" fontId="2" fillId="0" borderId="0" xfId="0" applyFont="1"/>
    <xf numFmtId="11" fontId="2" fillId="0" borderId="0" xfId="0" applyNumberFormat="1" applyFont="1"/>
    <xf numFmtId="0" fontId="2" fillId="2" borderId="0" xfId="0" applyFont="1" applyFill="1"/>
    <xf numFmtId="0" fontId="2" fillId="5" borderId="0" xfId="0" applyFont="1" applyFill="1"/>
    <xf numFmtId="2" fontId="0" fillId="5" borderId="0" xfId="0" applyNumberFormat="1" applyFill="1"/>
    <xf numFmtId="0" fontId="0" fillId="5" borderId="0" xfId="0" applyFill="1"/>
    <xf numFmtId="11" fontId="2" fillId="5" borderId="0" xfId="0" applyNumberFormat="1" applyFont="1" applyFill="1"/>
    <xf numFmtId="167" fontId="2" fillId="4" borderId="0" xfId="0" applyNumberFormat="1" applyFont="1" applyFill="1"/>
    <xf numFmtId="165" fontId="0" fillId="4" borderId="0" xfId="0" applyNumberFormat="1" applyFill="1"/>
    <xf numFmtId="165" fontId="0" fillId="2" borderId="0" xfId="0" applyNumberFormat="1" applyFill="1"/>
    <xf numFmtId="2" fontId="2" fillId="2" borderId="0" xfId="0" applyNumberFormat="1" applyFont="1" applyFill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stripes.com/news/what-does-it-take-to-feed-an-aircraft-carrier-on-a-combat-mission-about-17-300-meals-1.52774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858C3E-8F18-CE42-BC80-3608AE2005FD}">
  <dimension ref="A1:L43"/>
  <sheetViews>
    <sheetView tabSelected="1" workbookViewId="0">
      <selection activeCell="E5" sqref="E5"/>
    </sheetView>
  </sheetViews>
  <sheetFormatPr baseColWidth="10" defaultRowHeight="16" x14ac:dyDescent="0.2"/>
  <cols>
    <col min="1" max="1" width="19.6640625" bestFit="1" customWidth="1"/>
    <col min="2" max="2" width="18" bestFit="1" customWidth="1"/>
    <col min="3" max="3" width="15.6640625" bestFit="1" customWidth="1"/>
    <col min="5" max="5" width="12.1640625" bestFit="1" customWidth="1"/>
  </cols>
  <sheetData>
    <row r="1" spans="1:10" x14ac:dyDescent="0.2">
      <c r="A1" t="s">
        <v>128</v>
      </c>
    </row>
    <row r="2" spans="1:10" x14ac:dyDescent="0.2">
      <c r="A2" t="s">
        <v>221</v>
      </c>
      <c r="B2" t="s">
        <v>7</v>
      </c>
      <c r="C2" s="28">
        <v>12100000</v>
      </c>
      <c r="D2" t="s">
        <v>8</v>
      </c>
      <c r="E2" s="27">
        <f>H33+B33+C3</f>
        <v>12068866.543632131</v>
      </c>
      <c r="F2" t="s">
        <v>120</v>
      </c>
      <c r="G2" s="23">
        <f>C2/constants!$C$12</f>
        <v>1.1381225530365109E-2</v>
      </c>
      <c r="H2" t="s">
        <v>66</v>
      </c>
      <c r="I2" s="4">
        <f>C2/1000</f>
        <v>12100</v>
      </c>
      <c r="J2" t="s">
        <v>231</v>
      </c>
    </row>
    <row r="3" spans="1:10" x14ac:dyDescent="0.2">
      <c r="B3" t="s">
        <v>181</v>
      </c>
      <c r="C3" s="16">
        <f>structure!C9</f>
        <v>6566167.4070443437</v>
      </c>
      <c r="E3" s="26">
        <f>performance!C30</f>
        <v>7047013.5211502993</v>
      </c>
      <c r="F3" t="s">
        <v>120</v>
      </c>
      <c r="G3" s="23">
        <f>C3/constants!$C$12</f>
        <v>6.1761183578268068E-3</v>
      </c>
      <c r="H3" t="s">
        <v>66</v>
      </c>
    </row>
    <row r="4" spans="1:10" x14ac:dyDescent="0.2">
      <c r="B4" s="9" t="s">
        <v>189</v>
      </c>
      <c r="C4" s="22">
        <f>constants!$C$9/(3600*24)*E4</f>
        <v>346291.3673611111</v>
      </c>
      <c r="D4" s="19" t="s">
        <v>40</v>
      </c>
      <c r="E4" s="21">
        <v>0.2</v>
      </c>
      <c r="F4" s="20" t="s">
        <v>41</v>
      </c>
      <c r="G4" s="23"/>
    </row>
    <row r="5" spans="1:10" x14ac:dyDescent="0.2">
      <c r="B5" s="9" t="s">
        <v>227</v>
      </c>
      <c r="C5" s="29">
        <f>performance!B34</f>
        <v>11.450249270152501</v>
      </c>
      <c r="D5" s="19" t="s">
        <v>44</v>
      </c>
      <c r="E5" s="21"/>
      <c r="F5" s="20"/>
      <c r="G5" s="23"/>
    </row>
    <row r="6" spans="1:10" x14ac:dyDescent="0.2">
      <c r="B6" s="9" t="s">
        <v>228</v>
      </c>
      <c r="C6" s="29">
        <f>performance!B35</f>
        <v>61.473036159720877</v>
      </c>
      <c r="D6" s="19" t="s">
        <v>44</v>
      </c>
      <c r="E6" s="21"/>
      <c r="F6" s="20"/>
      <c r="G6" s="23"/>
    </row>
    <row r="7" spans="1:10" x14ac:dyDescent="0.2">
      <c r="B7" t="s">
        <v>80</v>
      </c>
      <c r="C7" s="24">
        <f>($C$30+2)*2</f>
        <v>40</v>
      </c>
      <c r="D7" s="4"/>
    </row>
    <row r="8" spans="1:10" x14ac:dyDescent="0.2">
      <c r="B8" t="s">
        <v>55</v>
      </c>
      <c r="C8" s="23">
        <f>$J$33-$J$39</f>
        <v>35.417415926292641</v>
      </c>
      <c r="D8" s="4"/>
    </row>
    <row r="9" spans="1:10" x14ac:dyDescent="0.2">
      <c r="C9" s="16"/>
      <c r="E9" s="26"/>
      <c r="G9" s="23"/>
    </row>
    <row r="10" spans="1:10" x14ac:dyDescent="0.2">
      <c r="A10" t="s">
        <v>222</v>
      </c>
      <c r="B10" t="s">
        <v>7</v>
      </c>
      <c r="C10" s="16">
        <f>performance!B65</f>
        <v>14452926.744913569</v>
      </c>
      <c r="E10" s="26"/>
      <c r="G10" s="23">
        <f>C10/constants!$C$12</f>
        <v>1.3594381723777438E-2</v>
      </c>
      <c r="H10" t="s">
        <v>66</v>
      </c>
    </row>
    <row r="11" spans="1:10" x14ac:dyDescent="0.2">
      <c r="B11" t="s">
        <v>181</v>
      </c>
      <c r="C11" s="16">
        <f>performance!D65+performance!D66</f>
        <v>8949522.9811901618</v>
      </c>
      <c r="E11" s="26">
        <f>structure!$C$10+structure!C9</f>
        <v>7047013.5211503003</v>
      </c>
      <c r="G11" s="23">
        <f>C11/constants!$C$12</f>
        <v>8.4178958213314663E-3</v>
      </c>
      <c r="H11" t="s">
        <v>66</v>
      </c>
    </row>
    <row r="12" spans="1:10" x14ac:dyDescent="0.2">
      <c r="B12" s="9" t="s">
        <v>189</v>
      </c>
      <c r="C12" s="22">
        <f>constants!$C$9/(3600*24)*E12</f>
        <v>1013941.1236333334</v>
      </c>
      <c r="D12" s="19" t="s">
        <v>40</v>
      </c>
      <c r="E12" s="21">
        <v>0.58560000000000001</v>
      </c>
      <c r="F12" s="20" t="s">
        <v>41</v>
      </c>
      <c r="G12" s="23"/>
    </row>
    <row r="13" spans="1:10" x14ac:dyDescent="0.2">
      <c r="B13" s="9" t="s">
        <v>191</v>
      </c>
      <c r="C13" s="21">
        <v>2</v>
      </c>
      <c r="D13" s="19"/>
      <c r="E13" s="21"/>
      <c r="G13" s="23"/>
    </row>
    <row r="14" spans="1:10" x14ac:dyDescent="0.2">
      <c r="B14" s="9" t="s">
        <v>227</v>
      </c>
      <c r="C14" s="29">
        <f>performance!B53</f>
        <v>13.180783624416573</v>
      </c>
      <c r="D14" s="19" t="s">
        <v>44</v>
      </c>
      <c r="E14" s="21"/>
      <c r="G14" s="23"/>
    </row>
    <row r="15" spans="1:10" x14ac:dyDescent="0.2">
      <c r="B15" s="9" t="s">
        <v>228</v>
      </c>
      <c r="C15" s="17">
        <f>performance!B54</f>
        <v>32.002724157552223</v>
      </c>
      <c r="D15" t="s">
        <v>44</v>
      </c>
      <c r="E15" s="26"/>
      <c r="G15" s="23"/>
    </row>
    <row r="16" spans="1:10" x14ac:dyDescent="0.2">
      <c r="B16" t="s">
        <v>33</v>
      </c>
      <c r="C16" s="2">
        <f>B33+H33</f>
        <v>5502699.1365877874</v>
      </c>
      <c r="E16" s="15"/>
      <c r="F16" s="4"/>
      <c r="G16" s="23">
        <f>C16/constants!$C$12</f>
        <v>5.1758231321695014E-3</v>
      </c>
      <c r="H16" t="s">
        <v>66</v>
      </c>
    </row>
    <row r="17" spans="1:10" x14ac:dyDescent="0.2">
      <c r="B17" t="s">
        <v>80</v>
      </c>
      <c r="C17" s="24">
        <f>($C$30+2)*2</f>
        <v>40</v>
      </c>
      <c r="D17" s="4"/>
    </row>
    <row r="18" spans="1:10" x14ac:dyDescent="0.2">
      <c r="B18" t="s">
        <v>55</v>
      </c>
      <c r="C18" s="23">
        <f>$J$33-$J$39-J42</f>
        <v>35</v>
      </c>
      <c r="D18" s="4"/>
    </row>
    <row r="20" spans="1:10" x14ac:dyDescent="0.2">
      <c r="F20" s="20"/>
    </row>
    <row r="21" spans="1:10" x14ac:dyDescent="0.2">
      <c r="B21" s="9" t="s">
        <v>190</v>
      </c>
      <c r="C21" s="25">
        <f>EXP(C4*C5/performance!C6)*C16</f>
        <v>36357200.927353323</v>
      </c>
      <c r="D21" s="19"/>
      <c r="E21" s="3">
        <f>C21-B33-H33</f>
        <v>30854501.790765535</v>
      </c>
      <c r="F21" s="20"/>
    </row>
    <row r="22" spans="1:10" x14ac:dyDescent="0.2">
      <c r="A22" t="s">
        <v>68</v>
      </c>
      <c r="B22" s="9">
        <f>accomodation!C5</f>
        <v>113</v>
      </c>
      <c r="C22" t="s">
        <v>35</v>
      </c>
      <c r="D22" s="9">
        <f>accomodation!E5</f>
        <v>0</v>
      </c>
      <c r="E22" t="s">
        <v>177</v>
      </c>
    </row>
    <row r="23" spans="1:10" x14ac:dyDescent="0.2">
      <c r="A23" t="s">
        <v>125</v>
      </c>
      <c r="H23" s="3"/>
    </row>
    <row r="24" spans="1:10" x14ac:dyDescent="0.2">
      <c r="B24" t="s">
        <v>126</v>
      </c>
      <c r="C24">
        <v>60</v>
      </c>
      <c r="D24" t="s">
        <v>34</v>
      </c>
      <c r="G24" s="4"/>
    </row>
    <row r="25" spans="1:10" x14ac:dyDescent="0.2">
      <c r="B25" t="s">
        <v>127</v>
      </c>
      <c r="C25">
        <f>E4*C24</f>
        <v>12</v>
      </c>
      <c r="D25" t="s">
        <v>44</v>
      </c>
      <c r="G25" s="4"/>
    </row>
    <row r="26" spans="1:10" x14ac:dyDescent="0.2">
      <c r="B26" t="s">
        <v>75</v>
      </c>
      <c r="C26" s="4">
        <f>performance!E68</f>
        <v>0</v>
      </c>
      <c r="D26" t="s">
        <v>41</v>
      </c>
      <c r="G26" s="4"/>
    </row>
    <row r="27" spans="1:10" x14ac:dyDescent="0.2">
      <c r="A27" t="s">
        <v>54</v>
      </c>
    </row>
    <row r="29" spans="1:10" x14ac:dyDescent="0.2">
      <c r="B29" t="s">
        <v>123</v>
      </c>
      <c r="C29">
        <f>PI()*C30^2</f>
        <v>1017.8760197630929</v>
      </c>
      <c r="D29" t="s">
        <v>30</v>
      </c>
    </row>
    <row r="30" spans="1:10" x14ac:dyDescent="0.2">
      <c r="B30" t="s">
        <v>124</v>
      </c>
      <c r="C30">
        <v>18</v>
      </c>
      <c r="D30" t="s">
        <v>6</v>
      </c>
    </row>
    <row r="31" spans="1:10" x14ac:dyDescent="0.2">
      <c r="A31" t="s">
        <v>122</v>
      </c>
    </row>
    <row r="32" spans="1:10" x14ac:dyDescent="0.2">
      <c r="B32" t="s">
        <v>119</v>
      </c>
      <c r="F32" t="s">
        <v>32</v>
      </c>
      <c r="H32" t="s">
        <v>33</v>
      </c>
      <c r="J32" t="s">
        <v>55</v>
      </c>
    </row>
    <row r="33" spans="1:12" s="12" customFormat="1" x14ac:dyDescent="0.2">
      <c r="A33" s="12" t="s">
        <v>96</v>
      </c>
      <c r="B33" s="10">
        <f>SUM(B34:B43)</f>
        <v>383464</v>
      </c>
      <c r="F33" s="10">
        <f>SUM(F34:F43)</f>
        <v>37749.75286871854</v>
      </c>
      <c r="G33" s="12" t="s">
        <v>53</v>
      </c>
      <c r="H33" s="10">
        <f>SUM(H34:H43)</f>
        <v>5119235.1365877874</v>
      </c>
      <c r="I33" s="12" t="s">
        <v>8</v>
      </c>
      <c r="J33" s="14">
        <f>SUM(J34:J43)</f>
        <v>51.417415926292641</v>
      </c>
      <c r="K33" s="12" t="s">
        <v>6</v>
      </c>
    </row>
    <row r="34" spans="1:12" x14ac:dyDescent="0.2">
      <c r="A34" t="s">
        <v>121</v>
      </c>
      <c r="B34" s="2">
        <f>F34*constants!C17</f>
        <v>55000</v>
      </c>
      <c r="C34" t="s">
        <v>8</v>
      </c>
      <c r="D34" s="5">
        <f>B34/1000</f>
        <v>55</v>
      </c>
      <c r="E34" t="s">
        <v>48</v>
      </c>
      <c r="F34" s="3">
        <v>50</v>
      </c>
      <c r="G34" t="s">
        <v>53</v>
      </c>
      <c r="H34" s="3"/>
      <c r="I34" t="s">
        <v>8</v>
      </c>
      <c r="J34" s="4">
        <v>5</v>
      </c>
    </row>
    <row r="35" spans="1:12" x14ac:dyDescent="0.2">
      <c r="A35" t="s">
        <v>182</v>
      </c>
      <c r="B35" s="2"/>
      <c r="F35" s="3">
        <f>structure!C23+structure!C17</f>
        <v>7162.8312501847313</v>
      </c>
      <c r="G35" t="s">
        <v>53</v>
      </c>
      <c r="H35" s="3"/>
      <c r="I35" t="s">
        <v>8</v>
      </c>
      <c r="J35" s="4">
        <f>structure!C22</f>
        <v>0</v>
      </c>
    </row>
    <row r="36" spans="1:12" x14ac:dyDescent="0.2">
      <c r="A36" t="s">
        <v>38</v>
      </c>
      <c r="B36" s="2">
        <v>500</v>
      </c>
      <c r="C36" t="s">
        <v>8</v>
      </c>
      <c r="D36" s="13">
        <f>performance!C31+performance!E20*accomodation!C6</f>
        <v>554.84249403929607</v>
      </c>
      <c r="E36" t="s">
        <v>120</v>
      </c>
      <c r="F36" s="3">
        <f>B36/780</f>
        <v>0.64102564102564108</v>
      </c>
      <c r="G36" t="s">
        <v>53</v>
      </c>
      <c r="H36" s="3"/>
      <c r="I36" t="s">
        <v>8</v>
      </c>
      <c r="J36" s="4"/>
    </row>
    <row r="37" spans="1:12" x14ac:dyDescent="0.2">
      <c r="A37" t="s">
        <v>225</v>
      </c>
      <c r="B37" s="10">
        <f>accomodation!C19</f>
        <v>287964</v>
      </c>
      <c r="C37" t="s">
        <v>8</v>
      </c>
      <c r="F37" s="3">
        <f>accomodation!C14</f>
        <v>25446.900494077323</v>
      </c>
      <c r="G37" t="s">
        <v>53</v>
      </c>
      <c r="H37" s="3">
        <f>accomodation!C18</f>
        <v>2279043.0425455472</v>
      </c>
      <c r="I37" t="s">
        <v>8</v>
      </c>
      <c r="J37" s="4">
        <v>25</v>
      </c>
      <c r="L37" s="9"/>
    </row>
    <row r="38" spans="1:12" x14ac:dyDescent="0.2">
      <c r="A38" t="s">
        <v>29</v>
      </c>
      <c r="H38" s="3">
        <f>F33*constants!C3</f>
        <v>1694456.0673723384</v>
      </c>
      <c r="I38" t="s">
        <v>8</v>
      </c>
    </row>
    <row r="39" spans="1:12" x14ac:dyDescent="0.2">
      <c r="A39" t="s">
        <v>25</v>
      </c>
      <c r="F39" s="3"/>
      <c r="H39" s="3">
        <f>performance!C10</f>
        <v>6.7244322751463228</v>
      </c>
      <c r="I39" t="s">
        <v>8</v>
      </c>
      <c r="J39" s="4">
        <v>16</v>
      </c>
    </row>
    <row r="40" spans="1:12" x14ac:dyDescent="0.2">
      <c r="A40" t="s">
        <v>51</v>
      </c>
      <c r="F40" s="3">
        <f>C29*J40</f>
        <v>0</v>
      </c>
      <c r="G40" t="s">
        <v>53</v>
      </c>
      <c r="H40" s="3">
        <f>performance!C16</f>
        <v>140815.59999999998</v>
      </c>
      <c r="I40" t="s">
        <v>8</v>
      </c>
      <c r="J40" s="4">
        <v>0</v>
      </c>
    </row>
    <row r="41" spans="1:12" x14ac:dyDescent="0.2">
      <c r="A41" t="s">
        <v>172</v>
      </c>
      <c r="H41" s="3">
        <f>structure!C58</f>
        <v>4913.7022376268233</v>
      </c>
      <c r="I41" t="s">
        <v>8</v>
      </c>
    </row>
    <row r="42" spans="1:12" x14ac:dyDescent="0.2">
      <c r="A42" t="s">
        <v>194</v>
      </c>
      <c r="B42" s="3"/>
      <c r="D42" s="4"/>
      <c r="H42" s="3"/>
      <c r="I42" t="s">
        <v>8</v>
      </c>
      <c r="J42" s="4">
        <f>structure!C28</f>
        <v>0.41741592629263952</v>
      </c>
    </row>
    <row r="43" spans="1:12" x14ac:dyDescent="0.2">
      <c r="A43" t="s">
        <v>206</v>
      </c>
      <c r="B43" s="9">
        <f>2000*20</f>
        <v>40000</v>
      </c>
      <c r="C43" t="s">
        <v>8</v>
      </c>
      <c r="F43" s="3">
        <f>J43*C29</f>
        <v>5089.3800988154644</v>
      </c>
      <c r="G43" t="s">
        <v>53</v>
      </c>
      <c r="H43" s="3">
        <v>1000000</v>
      </c>
      <c r="I43" t="s">
        <v>8</v>
      </c>
      <c r="J43">
        <v>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B87983-2C50-0141-ABEC-D1342E122A7D}">
  <dimension ref="A1:F61"/>
  <sheetViews>
    <sheetView topLeftCell="A24" workbookViewId="0">
      <selection activeCell="F19" sqref="F19"/>
    </sheetView>
  </sheetViews>
  <sheetFormatPr baseColWidth="10" defaultRowHeight="16" x14ac:dyDescent="0.2"/>
  <cols>
    <col min="1" max="1" width="27" bestFit="1" customWidth="1"/>
    <col min="2" max="2" width="18" bestFit="1" customWidth="1"/>
    <col min="3" max="3" width="12.1640625" bestFit="1" customWidth="1"/>
  </cols>
  <sheetData>
    <row r="1" spans="1:4" x14ac:dyDescent="0.2">
      <c r="A1" t="s">
        <v>180</v>
      </c>
    </row>
    <row r="2" spans="1:4" x14ac:dyDescent="0.2">
      <c r="B2" t="s">
        <v>36</v>
      </c>
      <c r="C2">
        <f>design!C2</f>
        <v>12100000</v>
      </c>
    </row>
    <row r="3" spans="1:4" x14ac:dyDescent="0.2">
      <c r="B3" t="s">
        <v>37</v>
      </c>
      <c r="C3" s="3">
        <f>design!C21</f>
        <v>36357200.927353323</v>
      </c>
    </row>
    <row r="4" spans="1:4" x14ac:dyDescent="0.2">
      <c r="A4" t="s">
        <v>216</v>
      </c>
      <c r="B4" t="s">
        <v>212</v>
      </c>
      <c r="C4" s="3">
        <f>performance!D38</f>
        <v>1907767.2430122842</v>
      </c>
      <c r="D4" s="3">
        <f>C4+C5</f>
        <v>3525511.7903459799</v>
      </c>
    </row>
    <row r="5" spans="1:4" x14ac:dyDescent="0.2">
      <c r="B5" t="s">
        <v>213</v>
      </c>
      <c r="C5" s="3">
        <f>performance!D39</f>
        <v>1617744.5473336955</v>
      </c>
    </row>
    <row r="6" spans="1:4" x14ac:dyDescent="0.2">
      <c r="A6" t="s">
        <v>218</v>
      </c>
      <c r="B6" t="s">
        <v>214</v>
      </c>
      <c r="C6" s="3">
        <f>performance!D40</f>
        <v>1371811.697686777</v>
      </c>
      <c r="D6" s="3">
        <f>C6+C7+C8</f>
        <v>3521501.7308043204</v>
      </c>
    </row>
    <row r="7" spans="1:4" x14ac:dyDescent="0.2">
      <c r="A7" t="s">
        <v>217</v>
      </c>
      <c r="B7" t="s">
        <v>215</v>
      </c>
      <c r="C7" s="3">
        <f>performance!D41</f>
        <v>1163266.0650977923</v>
      </c>
      <c r="D7" s="3"/>
    </row>
    <row r="8" spans="1:4" x14ac:dyDescent="0.2">
      <c r="B8" t="s">
        <v>215</v>
      </c>
      <c r="C8" s="3">
        <f>performance!D42</f>
        <v>986423.96801975102</v>
      </c>
    </row>
    <row r="9" spans="1:4" x14ac:dyDescent="0.2">
      <c r="B9" t="s">
        <v>202</v>
      </c>
      <c r="C9" s="3">
        <f>C18+C24</f>
        <v>6566167.4070443437</v>
      </c>
      <c r="D9" s="3">
        <f>D6</f>
        <v>3521501.7308043204</v>
      </c>
    </row>
    <row r="10" spans="1:4" x14ac:dyDescent="0.2">
      <c r="B10" t="s">
        <v>203</v>
      </c>
      <c r="C10" s="3">
        <f>C30</f>
        <v>480846.11410595663</v>
      </c>
      <c r="D10" s="3">
        <f>IF((D4+D6)&lt;C9,0,(D4+D6)-C9)</f>
        <v>480846.11410595663</v>
      </c>
    </row>
    <row r="11" spans="1:4" x14ac:dyDescent="0.2">
      <c r="C11" s="3"/>
    </row>
    <row r="12" spans="1:4" x14ac:dyDescent="0.2">
      <c r="A12" t="s">
        <v>56</v>
      </c>
    </row>
    <row r="13" spans="1:4" x14ac:dyDescent="0.2">
      <c r="B13" t="s">
        <v>57</v>
      </c>
      <c r="C13">
        <f>C14+2</f>
        <v>20</v>
      </c>
    </row>
    <row r="14" spans="1:4" x14ac:dyDescent="0.2">
      <c r="B14" t="s">
        <v>58</v>
      </c>
      <c r="C14">
        <f>design!C30</f>
        <v>18</v>
      </c>
    </row>
    <row r="15" spans="1:4" x14ac:dyDescent="0.2">
      <c r="B15" t="s">
        <v>54</v>
      </c>
      <c r="C15">
        <f>PI()*C13^2-PI()*C14^2</f>
        <v>238.76104167282438</v>
      </c>
    </row>
    <row r="16" spans="1:4" x14ac:dyDescent="0.2">
      <c r="B16" t="s">
        <v>59</v>
      </c>
      <c r="C16" s="4">
        <f>design!J34+design!J37+design!J40</f>
        <v>30</v>
      </c>
    </row>
    <row r="17" spans="1:5" x14ac:dyDescent="0.2">
      <c r="B17" t="s">
        <v>62</v>
      </c>
      <c r="C17">
        <f>C15*C16</f>
        <v>7162.8312501847313</v>
      </c>
    </row>
    <row r="18" spans="1:5" x14ac:dyDescent="0.2">
      <c r="B18" t="s">
        <v>178</v>
      </c>
      <c r="C18" s="3">
        <f>C17*constants!$C$28</f>
        <v>6566167.4070443437</v>
      </c>
      <c r="D18" t="s">
        <v>8</v>
      </c>
    </row>
    <row r="19" spans="1:5" x14ac:dyDescent="0.2">
      <c r="A19" t="s">
        <v>60</v>
      </c>
    </row>
    <row r="20" spans="1:5" x14ac:dyDescent="0.2">
      <c r="B20" t="s">
        <v>57</v>
      </c>
      <c r="C20">
        <f>C13</f>
        <v>20</v>
      </c>
    </row>
    <row r="21" spans="1:5" x14ac:dyDescent="0.2">
      <c r="B21" t="s">
        <v>61</v>
      </c>
      <c r="C21">
        <f>PI()*C20^2</f>
        <v>1256.6370614359173</v>
      </c>
    </row>
    <row r="22" spans="1:5" x14ac:dyDescent="0.2">
      <c r="B22" t="s">
        <v>55</v>
      </c>
      <c r="C22" s="4">
        <v>0</v>
      </c>
    </row>
    <row r="23" spans="1:5" x14ac:dyDescent="0.2">
      <c r="B23" t="s">
        <v>32</v>
      </c>
      <c r="C23" s="3">
        <f>C21*C22</f>
        <v>0</v>
      </c>
    </row>
    <row r="24" spans="1:5" x14ac:dyDescent="0.2">
      <c r="B24" t="s">
        <v>178</v>
      </c>
      <c r="C24" s="3">
        <f>C23*constants!$C$28</f>
        <v>0</v>
      </c>
      <c r="D24" t="s">
        <v>8</v>
      </c>
      <c r="E24" s="3">
        <f>D6-C18</f>
        <v>-3044665.6762400232</v>
      </c>
    </row>
    <row r="25" spans="1:5" x14ac:dyDescent="0.2">
      <c r="A25" t="s">
        <v>179</v>
      </c>
    </row>
    <row r="26" spans="1:5" x14ac:dyDescent="0.2">
      <c r="B26" t="s">
        <v>57</v>
      </c>
      <c r="C26">
        <f>C13</f>
        <v>20</v>
      </c>
    </row>
    <row r="27" spans="1:5" x14ac:dyDescent="0.2">
      <c r="B27" t="s">
        <v>61</v>
      </c>
      <c r="C27">
        <f>PI()*C26^2</f>
        <v>1256.6370614359173</v>
      </c>
    </row>
    <row r="28" spans="1:5" x14ac:dyDescent="0.2">
      <c r="B28" t="s">
        <v>55</v>
      </c>
      <c r="C28" s="4">
        <f>C29/C27</f>
        <v>0.41741592629263952</v>
      </c>
    </row>
    <row r="29" spans="1:5" x14ac:dyDescent="0.2">
      <c r="B29" t="s">
        <v>32</v>
      </c>
      <c r="C29" s="3">
        <f>C30/constants!$C$28</f>
        <v>524.54032301293398</v>
      </c>
    </row>
    <row r="30" spans="1:5" x14ac:dyDescent="0.2">
      <c r="B30" t="s">
        <v>178</v>
      </c>
      <c r="C30" s="3">
        <f>D10</f>
        <v>480846.11410595663</v>
      </c>
      <c r="D30" t="s">
        <v>8</v>
      </c>
      <c r="E30" s="3"/>
    </row>
    <row r="31" spans="1:5" x14ac:dyDescent="0.2">
      <c r="B31" t="s">
        <v>29</v>
      </c>
      <c r="C31" s="3">
        <f>C29*constants!$C$5</f>
        <v>1.4570564528137053</v>
      </c>
      <c r="D31" t="s">
        <v>8</v>
      </c>
      <c r="E31" s="3"/>
    </row>
    <row r="32" spans="1:5" x14ac:dyDescent="0.2">
      <c r="C32" s="3"/>
      <c r="E32" s="3"/>
    </row>
    <row r="33" spans="1:6" x14ac:dyDescent="0.2">
      <c r="A33" t="s">
        <v>141</v>
      </c>
    </row>
    <row r="34" spans="1:6" x14ac:dyDescent="0.2">
      <c r="B34" t="s">
        <v>142</v>
      </c>
      <c r="C34">
        <v>350</v>
      </c>
      <c r="D34" t="s">
        <v>143</v>
      </c>
    </row>
    <row r="35" spans="1:6" x14ac:dyDescent="0.2">
      <c r="B35" t="s">
        <v>64</v>
      </c>
      <c r="C35">
        <v>1</v>
      </c>
      <c r="D35" t="s">
        <v>4</v>
      </c>
    </row>
    <row r="36" spans="1:6" x14ac:dyDescent="0.2">
      <c r="B36" t="s">
        <v>147</v>
      </c>
      <c r="C36" s="3">
        <f>performance!C22</f>
        <v>5632624</v>
      </c>
      <c r="D36" t="s">
        <v>145</v>
      </c>
    </row>
    <row r="37" spans="1:6" x14ac:dyDescent="0.2">
      <c r="B37" t="s">
        <v>148</v>
      </c>
      <c r="C37">
        <f>accomodation!C22/24/3600*1000</f>
        <v>43.595679012345684</v>
      </c>
      <c r="D37" t="s">
        <v>145</v>
      </c>
    </row>
    <row r="39" spans="1:6" x14ac:dyDescent="0.2">
      <c r="B39" t="s">
        <v>146</v>
      </c>
      <c r="C39">
        <f>C13*PI()*2*design!J33+PI()*C13^2</f>
        <v>7717.940107060389</v>
      </c>
      <c r="D39" t="s">
        <v>30</v>
      </c>
    </row>
    <row r="40" spans="1:6" x14ac:dyDescent="0.2">
      <c r="B40" t="s">
        <v>152</v>
      </c>
      <c r="C40" s="3">
        <f>C39*C34</f>
        <v>2701279.0374711361</v>
      </c>
      <c r="D40" t="s">
        <v>145</v>
      </c>
      <c r="E40" s="11"/>
    </row>
    <row r="41" spans="1:6" x14ac:dyDescent="0.2">
      <c r="C41" s="3">
        <f>design!C3</f>
        <v>6566167.4070443437</v>
      </c>
      <c r="E41" s="11"/>
    </row>
    <row r="42" spans="1:6" x14ac:dyDescent="0.2">
      <c r="B42" t="s">
        <v>155</v>
      </c>
      <c r="C42" s="3">
        <f>C41*constants!C25</f>
        <v>2190145138619.6409</v>
      </c>
    </row>
    <row r="43" spans="1:6" x14ac:dyDescent="0.2">
      <c r="B43" t="s">
        <v>160</v>
      </c>
      <c r="C43" s="3">
        <f>C42/C36</f>
        <v>388832.121338055</v>
      </c>
      <c r="D43" t="s">
        <v>159</v>
      </c>
      <c r="E43" s="4">
        <f>C43/24/3600</f>
        <v>4.5003717747460072</v>
      </c>
      <c r="F43" t="s">
        <v>34</v>
      </c>
    </row>
    <row r="44" spans="1:6" x14ac:dyDescent="0.2">
      <c r="B44" t="s">
        <v>161</v>
      </c>
      <c r="C44" s="3">
        <f>C36/(C41*constants!C26)</f>
        <v>2.0492719061709146E-4</v>
      </c>
      <c r="D44" t="s">
        <v>162</v>
      </c>
    </row>
    <row r="45" spans="1:6" x14ac:dyDescent="0.2">
      <c r="C45" s="4">
        <f>C44*(performance!C78+performance!C67)</f>
        <v>0</v>
      </c>
      <c r="D45" t="s">
        <v>163</v>
      </c>
    </row>
    <row r="47" spans="1:6" x14ac:dyDescent="0.2">
      <c r="A47" t="s">
        <v>168</v>
      </c>
    </row>
    <row r="48" spans="1:6" x14ac:dyDescent="0.2">
      <c r="B48" t="s">
        <v>64</v>
      </c>
      <c r="C48" s="3">
        <f>design!C2</f>
        <v>12100000</v>
      </c>
    </row>
    <row r="49" spans="1:6" x14ac:dyDescent="0.2">
      <c r="B49" t="s">
        <v>169</v>
      </c>
      <c r="C49" s="3">
        <f>accomodation!C16</f>
        <v>0.46666666666666667</v>
      </c>
    </row>
    <row r="50" spans="1:6" x14ac:dyDescent="0.2">
      <c r="B50" t="s">
        <v>129</v>
      </c>
      <c r="C50" s="3">
        <f>0.5*C48*C13^2</f>
        <v>2420000000</v>
      </c>
    </row>
    <row r="51" spans="1:6" x14ac:dyDescent="0.2">
      <c r="B51" t="s">
        <v>167</v>
      </c>
      <c r="C51" s="3">
        <f>C50*C49</f>
        <v>1129333333.3333333</v>
      </c>
    </row>
    <row r="52" spans="1:6" x14ac:dyDescent="0.2">
      <c r="A52" t="s">
        <v>164</v>
      </c>
    </row>
    <row r="53" spans="1:6" x14ac:dyDescent="0.2">
      <c r="B53" t="s">
        <v>57</v>
      </c>
      <c r="C53">
        <f>C13</f>
        <v>20</v>
      </c>
      <c r="D53" t="s">
        <v>6</v>
      </c>
    </row>
    <row r="54" spans="1:6" x14ac:dyDescent="0.2">
      <c r="B54" t="s">
        <v>58</v>
      </c>
      <c r="C54">
        <f>C53-0.1</f>
        <v>19.899999999999999</v>
      </c>
      <c r="D54" t="s">
        <v>6</v>
      </c>
    </row>
    <row r="55" spans="1:6" x14ac:dyDescent="0.2">
      <c r="B55" t="s">
        <v>166</v>
      </c>
      <c r="C55">
        <v>0.05</v>
      </c>
      <c r="D55" t="s">
        <v>6</v>
      </c>
    </row>
    <row r="56" spans="1:6" x14ac:dyDescent="0.2">
      <c r="B56" t="s">
        <v>165</v>
      </c>
      <c r="C56">
        <v>7840</v>
      </c>
      <c r="D56" t="s">
        <v>0</v>
      </c>
    </row>
    <row r="57" spans="1:6" x14ac:dyDescent="0.2">
      <c r="B57" t="s">
        <v>61</v>
      </c>
      <c r="C57">
        <f>PI()*C53^2-PI()*C54^2</f>
        <v>12.534954687823529</v>
      </c>
    </row>
    <row r="58" spans="1:6" x14ac:dyDescent="0.2">
      <c r="B58" t="s">
        <v>64</v>
      </c>
      <c r="C58" s="3">
        <f>C57*C56*C55</f>
        <v>4913.7022376268233</v>
      </c>
      <c r="D58" t="s">
        <v>8</v>
      </c>
    </row>
    <row r="59" spans="1:6" x14ac:dyDescent="0.2">
      <c r="B59" t="s">
        <v>129</v>
      </c>
      <c r="C59">
        <f>0.5*C58*(C53*C53+C54*C54)</f>
        <v>1955678.0590866639</v>
      </c>
    </row>
    <row r="60" spans="1:6" x14ac:dyDescent="0.2">
      <c r="B60" t="s">
        <v>170</v>
      </c>
      <c r="C60" s="3">
        <f>C51/2</f>
        <v>564666666.66666663</v>
      </c>
    </row>
    <row r="61" spans="1:6" x14ac:dyDescent="0.2">
      <c r="B61" t="s">
        <v>171</v>
      </c>
      <c r="C61" s="4">
        <f>C60/C59</f>
        <v>288.73191272104157</v>
      </c>
      <c r="D61" t="s">
        <v>111</v>
      </c>
      <c r="E61">
        <f>C61*30/PI()</f>
        <v>2757.1866682758882</v>
      </c>
      <c r="F61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B56685-5D1E-AD4C-A969-3C8B8D65B0C6}">
  <dimension ref="A1:K80"/>
  <sheetViews>
    <sheetView topLeftCell="A36" workbookViewId="0">
      <selection activeCell="F66" sqref="F66"/>
    </sheetView>
  </sheetViews>
  <sheetFormatPr baseColWidth="10" defaultRowHeight="16" x14ac:dyDescent="0.2"/>
  <cols>
    <col min="2" max="2" width="20.5" bestFit="1" customWidth="1"/>
    <col min="7" max="7" width="18.5" bestFit="1" customWidth="1"/>
    <col min="8" max="8" width="20.6640625" bestFit="1" customWidth="1"/>
  </cols>
  <sheetData>
    <row r="1" spans="1:6" x14ac:dyDescent="0.2">
      <c r="E1" t="s">
        <v>174</v>
      </c>
    </row>
    <row r="2" spans="1:6" x14ac:dyDescent="0.2">
      <c r="A2" t="s">
        <v>67</v>
      </c>
      <c r="C2" s="9">
        <f>C32</f>
        <v>104</v>
      </c>
      <c r="E2" s="9"/>
    </row>
    <row r="3" spans="1:6" x14ac:dyDescent="0.2">
      <c r="A3" t="s">
        <v>204</v>
      </c>
      <c r="C3" s="9">
        <f>C39</f>
        <v>9</v>
      </c>
      <c r="E3" s="9"/>
    </row>
    <row r="4" spans="1:6" x14ac:dyDescent="0.2">
      <c r="A4" t="s">
        <v>174</v>
      </c>
      <c r="C4" s="9">
        <f>C47</f>
        <v>0</v>
      </c>
      <c r="E4" s="9"/>
    </row>
    <row r="5" spans="1:6" x14ac:dyDescent="0.2">
      <c r="A5" t="s">
        <v>68</v>
      </c>
      <c r="C5" s="9">
        <f>C2+C3+C4</f>
        <v>113</v>
      </c>
      <c r="E5" s="9"/>
    </row>
    <row r="6" spans="1:6" x14ac:dyDescent="0.2">
      <c r="A6" t="s">
        <v>46</v>
      </c>
      <c r="C6">
        <f>design!C24</f>
        <v>60</v>
      </c>
      <c r="D6" t="s">
        <v>34</v>
      </c>
    </row>
    <row r="8" spans="1:6" x14ac:dyDescent="0.2">
      <c r="A8" t="s">
        <v>97</v>
      </c>
    </row>
    <row r="9" spans="1:6" x14ac:dyDescent="0.2">
      <c r="B9" t="s">
        <v>54</v>
      </c>
      <c r="C9">
        <f>design!C29</f>
        <v>1017.8760197630929</v>
      </c>
      <c r="D9" t="s">
        <v>30</v>
      </c>
    </row>
    <row r="10" spans="1:6" x14ac:dyDescent="0.2">
      <c r="B10" t="s">
        <v>109</v>
      </c>
      <c r="C10">
        <f>design!C30</f>
        <v>18</v>
      </c>
    </row>
    <row r="11" spans="1:6" x14ac:dyDescent="0.2">
      <c r="B11" t="s">
        <v>107</v>
      </c>
      <c r="C11" s="3">
        <f>E24/C13</f>
        <v>1.7556433333333334</v>
      </c>
      <c r="D11" t="s">
        <v>30</v>
      </c>
      <c r="E11">
        <f>SQRT(C11/PI())</f>
        <v>0.74755510138896397</v>
      </c>
      <c r="F11" t="s">
        <v>124</v>
      </c>
    </row>
    <row r="12" spans="1:6" x14ac:dyDescent="0.2">
      <c r="B12" t="s">
        <v>114</v>
      </c>
      <c r="C12">
        <v>3</v>
      </c>
      <c r="D12" t="s">
        <v>6</v>
      </c>
    </row>
    <row r="13" spans="1:6" x14ac:dyDescent="0.2">
      <c r="B13" t="s">
        <v>115</v>
      </c>
      <c r="C13" s="4">
        <f>design!J37</f>
        <v>25</v>
      </c>
    </row>
    <row r="14" spans="1:6" x14ac:dyDescent="0.2">
      <c r="B14" t="s">
        <v>118</v>
      </c>
      <c r="C14">
        <f>C13*C9</f>
        <v>25446.900494077323</v>
      </c>
      <c r="D14" t="s">
        <v>53</v>
      </c>
    </row>
    <row r="15" spans="1:6" x14ac:dyDescent="0.2">
      <c r="B15" t="s">
        <v>108</v>
      </c>
      <c r="C15">
        <v>0.4</v>
      </c>
      <c r="D15" t="s">
        <v>45</v>
      </c>
      <c r="E15">
        <f>C15*9.8</f>
        <v>3.9200000000000004</v>
      </c>
      <c r="F15" t="s">
        <v>21</v>
      </c>
    </row>
    <row r="16" spans="1:6" x14ac:dyDescent="0.2">
      <c r="B16" t="s">
        <v>110</v>
      </c>
      <c r="C16">
        <f>SQRT(E15/C10)</f>
        <v>0.46666666666666667</v>
      </c>
      <c r="D16" t="s">
        <v>111</v>
      </c>
      <c r="E16">
        <f>C16*30/PI()</f>
        <v>4.45633840657307</v>
      </c>
      <c r="F16" t="s">
        <v>112</v>
      </c>
    </row>
    <row r="17" spans="1:7" x14ac:dyDescent="0.2">
      <c r="B17" t="s">
        <v>70</v>
      </c>
      <c r="C17" s="9">
        <f>SUM(B65:B79)</f>
        <v>53</v>
      </c>
      <c r="D17" t="s">
        <v>30</v>
      </c>
      <c r="E17">
        <f>C17/C5</f>
        <v>0.46902654867256638</v>
      </c>
      <c r="F17" t="s">
        <v>105</v>
      </c>
    </row>
    <row r="18" spans="1:7" x14ac:dyDescent="0.2">
      <c r="B18" t="s">
        <v>33</v>
      </c>
      <c r="C18" s="9">
        <f>SUM(F65:F80)</f>
        <v>2279043.0425455472</v>
      </c>
      <c r="D18" t="s">
        <v>8</v>
      </c>
      <c r="E18">
        <f>C18/C5/1000</f>
        <v>20.168522500403071</v>
      </c>
      <c r="F18" t="s">
        <v>106</v>
      </c>
    </row>
    <row r="19" spans="1:7" x14ac:dyDescent="0.2">
      <c r="B19" t="s">
        <v>102</v>
      </c>
      <c r="C19" s="9">
        <f>C61+C44+C36+C29</f>
        <v>287964</v>
      </c>
      <c r="D19" t="s">
        <v>8</v>
      </c>
    </row>
    <row r="20" spans="1:7" x14ac:dyDescent="0.2">
      <c r="B20" t="s">
        <v>232</v>
      </c>
      <c r="C20">
        <f>SUM(C65:C78)</f>
        <v>8325.2205320129506</v>
      </c>
      <c r="D20" t="s">
        <v>6</v>
      </c>
    </row>
    <row r="21" spans="1:7" x14ac:dyDescent="0.2">
      <c r="B21" t="s">
        <v>32</v>
      </c>
      <c r="C21" s="9">
        <f>C9*C13</f>
        <v>25446.900494077323</v>
      </c>
      <c r="D21" t="s">
        <v>53</v>
      </c>
    </row>
    <row r="22" spans="1:7" x14ac:dyDescent="0.2">
      <c r="B22" t="s">
        <v>131</v>
      </c>
      <c r="C22" s="9">
        <f>C5*constants!C20</f>
        <v>3766.666666666667</v>
      </c>
      <c r="D22" t="s">
        <v>134</v>
      </c>
    </row>
    <row r="23" spans="1:7" x14ac:dyDescent="0.2">
      <c r="B23" t="s">
        <v>144</v>
      </c>
      <c r="C23" s="4">
        <v>0.8</v>
      </c>
    </row>
    <row r="24" spans="1:7" x14ac:dyDescent="0.2">
      <c r="B24" t="s">
        <v>175</v>
      </c>
      <c r="C24" s="3">
        <f>constants!C21*C5</f>
        <v>87782.166666666672</v>
      </c>
      <c r="D24" t="s">
        <v>8</v>
      </c>
      <c r="E24" s="3">
        <f>C24/2000</f>
        <v>43.891083333333334</v>
      </c>
      <c r="F24" t="s">
        <v>53</v>
      </c>
      <c r="G24" s="3" t="s">
        <v>62</v>
      </c>
    </row>
    <row r="25" spans="1:7" x14ac:dyDescent="0.2">
      <c r="A25" t="s">
        <v>47</v>
      </c>
    </row>
    <row r="26" spans="1:7" x14ac:dyDescent="0.2">
      <c r="B26" t="s">
        <v>173</v>
      </c>
      <c r="C26">
        <f>C5*3</f>
        <v>339</v>
      </c>
    </row>
    <row r="27" spans="1:7" x14ac:dyDescent="0.2">
      <c r="B27" t="s">
        <v>92</v>
      </c>
      <c r="C27" s="12">
        <f>CEILING(C26/constants!$C$19,1)</f>
        <v>3</v>
      </c>
      <c r="E27" s="12"/>
    </row>
    <row r="28" spans="1:7" x14ac:dyDescent="0.2">
      <c r="B28" t="s">
        <v>93</v>
      </c>
      <c r="C28">
        <v>2</v>
      </c>
      <c r="D28" t="s">
        <v>94</v>
      </c>
    </row>
    <row r="29" spans="1:7" x14ac:dyDescent="0.2">
      <c r="B29" t="s">
        <v>64</v>
      </c>
      <c r="C29">
        <f>C26*C6*C28</f>
        <v>40680</v>
      </c>
      <c r="D29" t="s">
        <v>8</v>
      </c>
    </row>
    <row r="30" spans="1:7" x14ac:dyDescent="0.2">
      <c r="A30" t="s">
        <v>98</v>
      </c>
    </row>
    <row r="31" spans="1:7" x14ac:dyDescent="0.2">
      <c r="B31" t="s">
        <v>71</v>
      </c>
      <c r="C31">
        <f>SUM(K65:K78)</f>
        <v>52</v>
      </c>
      <c r="E31" s="9"/>
    </row>
    <row r="32" spans="1:7" x14ac:dyDescent="0.2">
      <c r="B32" t="s">
        <v>100</v>
      </c>
      <c r="C32">
        <f>C31*C34</f>
        <v>104</v>
      </c>
    </row>
    <row r="33" spans="1:5" x14ac:dyDescent="0.2">
      <c r="B33" t="s">
        <v>79</v>
      </c>
      <c r="C33">
        <v>75</v>
      </c>
      <c r="D33" t="s">
        <v>30</v>
      </c>
    </row>
    <row r="34" spans="1:5" x14ac:dyDescent="0.2">
      <c r="B34" t="s">
        <v>81</v>
      </c>
      <c r="C34">
        <v>2</v>
      </c>
    </row>
    <row r="35" spans="1:5" x14ac:dyDescent="0.2">
      <c r="B35" t="s">
        <v>90</v>
      </c>
      <c r="C35">
        <v>3</v>
      </c>
    </row>
    <row r="36" spans="1:5" x14ac:dyDescent="0.2">
      <c r="B36" t="s">
        <v>95</v>
      </c>
      <c r="C36">
        <f>C2*(100+2000)</f>
        <v>218400</v>
      </c>
      <c r="D36" t="s">
        <v>8</v>
      </c>
    </row>
    <row r="37" spans="1:5" x14ac:dyDescent="0.2">
      <c r="A37" t="s">
        <v>230</v>
      </c>
    </row>
    <row r="38" spans="1:5" x14ac:dyDescent="0.2">
      <c r="B38" t="s">
        <v>71</v>
      </c>
      <c r="C38">
        <f>SUM(I65:I79)</f>
        <v>9</v>
      </c>
      <c r="E38" s="9"/>
    </row>
    <row r="39" spans="1:5" x14ac:dyDescent="0.2">
      <c r="B39" t="s">
        <v>31</v>
      </c>
      <c r="C39">
        <f>C38*C41</f>
        <v>9</v>
      </c>
    </row>
    <row r="40" spans="1:5" x14ac:dyDescent="0.2">
      <c r="B40" t="s">
        <v>79</v>
      </c>
      <c r="C40">
        <v>75</v>
      </c>
      <c r="D40" t="s">
        <v>30</v>
      </c>
    </row>
    <row r="41" spans="1:5" x14ac:dyDescent="0.2">
      <c r="B41" t="s">
        <v>81</v>
      </c>
      <c r="C41">
        <v>1</v>
      </c>
    </row>
    <row r="42" spans="1:5" x14ac:dyDescent="0.2">
      <c r="B42" t="s">
        <v>86</v>
      </c>
      <c r="C42">
        <f>CEILING(C39/8,1)</f>
        <v>2</v>
      </c>
    </row>
    <row r="43" spans="1:5" x14ac:dyDescent="0.2">
      <c r="B43" t="s">
        <v>90</v>
      </c>
      <c r="C43">
        <v>3</v>
      </c>
    </row>
    <row r="44" spans="1:5" x14ac:dyDescent="0.2">
      <c r="B44" t="s">
        <v>95</v>
      </c>
      <c r="C44">
        <f>C39*(100+1000)</f>
        <v>9900</v>
      </c>
      <c r="D44" t="s">
        <v>8</v>
      </c>
    </row>
    <row r="45" spans="1:5" x14ac:dyDescent="0.2">
      <c r="A45" t="s">
        <v>205</v>
      </c>
    </row>
    <row r="46" spans="1:5" x14ac:dyDescent="0.2">
      <c r="B46" t="s">
        <v>71</v>
      </c>
      <c r="C46">
        <f>SUM(J65:J79)</f>
        <v>0</v>
      </c>
      <c r="E46" s="9"/>
    </row>
    <row r="47" spans="1:5" x14ac:dyDescent="0.2">
      <c r="B47" t="s">
        <v>31</v>
      </c>
      <c r="C47">
        <f>C46*C49</f>
        <v>0</v>
      </c>
    </row>
    <row r="48" spans="1:5" x14ac:dyDescent="0.2">
      <c r="B48" t="s">
        <v>79</v>
      </c>
      <c r="C48">
        <v>75</v>
      </c>
      <c r="D48" t="s">
        <v>30</v>
      </c>
    </row>
    <row r="49" spans="1:11" x14ac:dyDescent="0.2">
      <c r="B49" t="s">
        <v>81</v>
      </c>
      <c r="C49">
        <v>4</v>
      </c>
    </row>
    <row r="50" spans="1:11" x14ac:dyDescent="0.2">
      <c r="B50" t="s">
        <v>86</v>
      </c>
      <c r="C50">
        <f>CEILING(C47/8,1)</f>
        <v>0</v>
      </c>
    </row>
    <row r="51" spans="1:11" x14ac:dyDescent="0.2">
      <c r="B51" t="s">
        <v>90</v>
      </c>
      <c r="C51">
        <v>3</v>
      </c>
    </row>
    <row r="52" spans="1:11" x14ac:dyDescent="0.2">
      <c r="B52" t="s">
        <v>95</v>
      </c>
      <c r="C52">
        <f>C47*(100+1000)</f>
        <v>0</v>
      </c>
      <c r="D52" t="s">
        <v>8</v>
      </c>
    </row>
    <row r="53" spans="1:11" x14ac:dyDescent="0.2">
      <c r="A53" t="s">
        <v>101</v>
      </c>
    </row>
    <row r="54" spans="1:11" x14ac:dyDescent="0.2">
      <c r="B54" t="s">
        <v>85</v>
      </c>
      <c r="C54">
        <v>10</v>
      </c>
    </row>
    <row r="55" spans="1:11" x14ac:dyDescent="0.2">
      <c r="B55" t="s">
        <v>91</v>
      </c>
      <c r="C55">
        <f>C42</f>
        <v>2</v>
      </c>
    </row>
    <row r="56" spans="1:11" x14ac:dyDescent="0.2">
      <c r="B56" t="s">
        <v>87</v>
      </c>
      <c r="C56">
        <v>12</v>
      </c>
    </row>
    <row r="58" spans="1:11" x14ac:dyDescent="0.2">
      <c r="A58" t="s">
        <v>72</v>
      </c>
    </row>
    <row r="59" spans="1:11" x14ac:dyDescent="0.2">
      <c r="B59" t="s">
        <v>103</v>
      </c>
      <c r="C59">
        <f>28</f>
        <v>28</v>
      </c>
      <c r="D59" t="s">
        <v>73</v>
      </c>
    </row>
    <row r="60" spans="1:11" x14ac:dyDescent="0.2">
      <c r="B60" t="s">
        <v>74</v>
      </c>
      <c r="C60">
        <v>0.9</v>
      </c>
    </row>
    <row r="61" spans="1:11" x14ac:dyDescent="0.2">
      <c r="B61" t="s">
        <v>104</v>
      </c>
      <c r="C61">
        <f>C59*C6*(1-C60)*C5</f>
        <v>18983.999999999996</v>
      </c>
      <c r="D61" t="s">
        <v>8</v>
      </c>
    </row>
    <row r="64" spans="1:11" x14ac:dyDescent="0.2">
      <c r="A64" t="s">
        <v>69</v>
      </c>
      <c r="B64" t="s">
        <v>113</v>
      </c>
      <c r="C64" t="s">
        <v>70</v>
      </c>
      <c r="D64" t="s">
        <v>116</v>
      </c>
      <c r="E64" t="s">
        <v>84</v>
      </c>
      <c r="F64" t="s">
        <v>64</v>
      </c>
      <c r="I64" t="s">
        <v>82</v>
      </c>
      <c r="J64" t="s">
        <v>83</v>
      </c>
      <c r="K64" t="s">
        <v>99</v>
      </c>
    </row>
    <row r="65" spans="1:11" x14ac:dyDescent="0.2">
      <c r="A65">
        <v>4</v>
      </c>
      <c r="B65">
        <v>8</v>
      </c>
      <c r="C65">
        <f>2*B65*PI()*$C$13</f>
        <v>1256.6370614359173</v>
      </c>
      <c r="D65" s="11">
        <f t="shared" ref="D65:D70" si="0">$C$16^2*B65/9.8</f>
        <v>0.17777777777777778</v>
      </c>
      <c r="F65" s="3">
        <f>C24</f>
        <v>87782.166666666672</v>
      </c>
      <c r="G65" t="s">
        <v>8</v>
      </c>
      <c r="H65" t="s">
        <v>117</v>
      </c>
      <c r="I65">
        <f>IF(E65=1,FLOOR(C65*0.25/$C$40,1),0)</f>
        <v>0</v>
      </c>
      <c r="J65">
        <f>IF(E65=2,FLOOR(C65*1/$C$48,1),0)</f>
        <v>0</v>
      </c>
      <c r="K65">
        <f t="shared" ref="K65:K70" si="1">IF(E65=3,FLOOR(C65*0.9/$C$33,1),0)+IF(E65=1,FLOOR(C65*0.65/$C$33,1),0)</f>
        <v>0</v>
      </c>
    </row>
    <row r="66" spans="1:11" x14ac:dyDescent="0.2">
      <c r="A66">
        <v>3</v>
      </c>
      <c r="B66">
        <f>B65+4</f>
        <v>12</v>
      </c>
      <c r="C66">
        <f t="shared" ref="C66:C70" si="2">2*B66*PI()*$C$13</f>
        <v>1884.9555921538758</v>
      </c>
      <c r="D66" s="11">
        <f t="shared" si="0"/>
        <v>0.26666666666666666</v>
      </c>
      <c r="F66" s="3">
        <f>C66*constants!$C$7</f>
        <v>584336.23356770154</v>
      </c>
      <c r="G66" t="s">
        <v>8</v>
      </c>
      <c r="H66" t="s">
        <v>207</v>
      </c>
      <c r="I66">
        <f>IF(E66=1,FLOOR(C66*0.25/$C$40,1),0)</f>
        <v>0</v>
      </c>
      <c r="J66">
        <f t="shared" ref="J66:J70" si="3">IF(E66=2,FLOOR(C66*0.05/$C$48,1),0)</f>
        <v>0</v>
      </c>
      <c r="K66">
        <f t="shared" si="1"/>
        <v>0</v>
      </c>
    </row>
    <row r="67" spans="1:11" x14ac:dyDescent="0.2">
      <c r="A67">
        <v>2</v>
      </c>
      <c r="B67">
        <f t="shared" ref="B67:B70" si="4">B66+3</f>
        <v>15</v>
      </c>
      <c r="C67">
        <f t="shared" si="2"/>
        <v>2356.1944901923448</v>
      </c>
      <c r="D67" s="11">
        <f t="shared" si="0"/>
        <v>0.33333333333333337</v>
      </c>
      <c r="E67">
        <v>3</v>
      </c>
      <c r="F67" s="3">
        <f>C67*constants!$C$7</f>
        <v>730420.29195962683</v>
      </c>
      <c r="G67" t="s">
        <v>8</v>
      </c>
      <c r="H67" t="s">
        <v>98</v>
      </c>
      <c r="I67">
        <f>IF(E67=1,FLOOR(C67*0.25/$C$40,1),0)</f>
        <v>0</v>
      </c>
      <c r="J67">
        <f t="shared" si="3"/>
        <v>0</v>
      </c>
      <c r="K67">
        <f t="shared" si="1"/>
        <v>28</v>
      </c>
    </row>
    <row r="68" spans="1:11" x14ac:dyDescent="0.2">
      <c r="A68">
        <v>1</v>
      </c>
      <c r="B68">
        <f t="shared" si="4"/>
        <v>18</v>
      </c>
      <c r="C68">
        <f t="shared" si="2"/>
        <v>2827.4333882308138</v>
      </c>
      <c r="D68" s="11">
        <f t="shared" si="0"/>
        <v>0.4</v>
      </c>
      <c r="E68">
        <v>1</v>
      </c>
      <c r="F68" s="3">
        <f>C68*constants!$C$7</f>
        <v>876504.35035155225</v>
      </c>
      <c r="G68" t="s">
        <v>8</v>
      </c>
      <c r="H68" t="s">
        <v>233</v>
      </c>
      <c r="I68">
        <f>IF(E68=1,FLOOR(C68*0.25/$C$40,1),0)</f>
        <v>9</v>
      </c>
      <c r="J68">
        <f>IF(E68=2,FLOOR(C68*0.95/$C$48,1),0)</f>
        <v>0</v>
      </c>
      <c r="K68">
        <f t="shared" si="1"/>
        <v>24</v>
      </c>
    </row>
    <row r="69" spans="1:11" x14ac:dyDescent="0.2">
      <c r="D69" s="11"/>
      <c r="F69" s="3"/>
    </row>
    <row r="70" spans="1:11" x14ac:dyDescent="0.2">
      <c r="D70" s="11"/>
      <c r="F70" s="3"/>
    </row>
    <row r="71" spans="1:11" x14ac:dyDescent="0.2">
      <c r="D71" s="11"/>
      <c r="F71" s="3"/>
    </row>
    <row r="72" spans="1:11" x14ac:dyDescent="0.2">
      <c r="D72" s="11"/>
      <c r="F72" s="3"/>
    </row>
    <row r="73" spans="1:11" x14ac:dyDescent="0.2">
      <c r="D73" s="11"/>
      <c r="F73" s="3"/>
    </row>
    <row r="74" spans="1:11" x14ac:dyDescent="0.2">
      <c r="D74" s="11"/>
      <c r="F74" s="3"/>
    </row>
    <row r="75" spans="1:11" x14ac:dyDescent="0.2">
      <c r="D75" s="11"/>
      <c r="F75" s="3"/>
    </row>
    <row r="76" spans="1:11" x14ac:dyDescent="0.2">
      <c r="D76" s="11"/>
      <c r="F76" s="3"/>
    </row>
    <row r="77" spans="1:11" x14ac:dyDescent="0.2">
      <c r="D77" s="11"/>
      <c r="F77" s="3"/>
    </row>
    <row r="78" spans="1:11" x14ac:dyDescent="0.2">
      <c r="D78" s="11"/>
      <c r="F78" s="3"/>
    </row>
    <row r="79" spans="1:11" x14ac:dyDescent="0.2">
      <c r="D79" s="11"/>
    </row>
    <row r="80" spans="1:11" x14ac:dyDescent="0.2">
      <c r="D80" s="11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F34FA7-CBD5-0B43-897C-990393E2A5D8}">
  <dimension ref="A1:M82"/>
  <sheetViews>
    <sheetView workbookViewId="0">
      <selection activeCell="K61" sqref="K61"/>
    </sheetView>
  </sheetViews>
  <sheetFormatPr baseColWidth="10" defaultRowHeight="16" x14ac:dyDescent="0.2"/>
  <cols>
    <col min="1" max="1" width="16.33203125" bestFit="1" customWidth="1"/>
    <col min="2" max="2" width="14.6640625" bestFit="1" customWidth="1"/>
    <col min="3" max="3" width="12.6640625" bestFit="1" customWidth="1"/>
    <col min="10" max="10" width="16.33203125" customWidth="1"/>
    <col min="11" max="11" width="11.1640625" bestFit="1" customWidth="1"/>
  </cols>
  <sheetData>
    <row r="1" spans="1:12" x14ac:dyDescent="0.2">
      <c r="A1" t="s">
        <v>9</v>
      </c>
    </row>
    <row r="3" spans="1:12" x14ac:dyDescent="0.2">
      <c r="A3" t="s">
        <v>11</v>
      </c>
      <c r="K3" s="4"/>
    </row>
    <row r="4" spans="1:12" x14ac:dyDescent="0.2">
      <c r="B4" t="s">
        <v>12</v>
      </c>
      <c r="C4" s="9">
        <f>C9/C6</f>
        <v>14.980952380952381</v>
      </c>
      <c r="D4" t="s">
        <v>13</v>
      </c>
      <c r="E4" t="s">
        <v>14</v>
      </c>
      <c r="F4" t="s">
        <v>15</v>
      </c>
    </row>
    <row r="5" spans="1:12" x14ac:dyDescent="0.2">
      <c r="B5" t="s">
        <v>75</v>
      </c>
      <c r="C5" s="9">
        <f>design!C4</f>
        <v>346291.3673611111</v>
      </c>
      <c r="D5" t="s">
        <v>40</v>
      </c>
      <c r="E5">
        <f>C5/constants!C9*3600*24</f>
        <v>0.2</v>
      </c>
      <c r="F5" t="s">
        <v>41</v>
      </c>
    </row>
    <row r="6" spans="1:12" x14ac:dyDescent="0.2">
      <c r="B6" t="s">
        <v>16</v>
      </c>
      <c r="C6" s="3">
        <f>2100000</f>
        <v>2100000</v>
      </c>
      <c r="D6" t="s">
        <v>130</v>
      </c>
      <c r="E6" s="3">
        <f>C6/200000000</f>
        <v>1.0500000000000001E-2</v>
      </c>
    </row>
    <row r="7" spans="1:12" x14ac:dyDescent="0.2">
      <c r="B7" t="s">
        <v>17</v>
      </c>
      <c r="C7" s="5">
        <f>C6/9.8</f>
        <v>214285.71428571426</v>
      </c>
      <c r="D7" t="s">
        <v>18</v>
      </c>
      <c r="K7" s="7"/>
      <c r="L7" s="7"/>
    </row>
    <row r="8" spans="1:12" x14ac:dyDescent="0.2">
      <c r="B8" t="s">
        <v>137</v>
      </c>
      <c r="C8">
        <v>0.8</v>
      </c>
      <c r="K8" s="8"/>
    </row>
    <row r="9" spans="1:12" x14ac:dyDescent="0.2">
      <c r="B9" t="s">
        <v>19</v>
      </c>
      <c r="C9" s="3">
        <f>design!C2*E9</f>
        <v>31460000</v>
      </c>
      <c r="D9" t="s">
        <v>20</v>
      </c>
      <c r="E9">
        <v>2.6</v>
      </c>
      <c r="F9" t="s">
        <v>21</v>
      </c>
    </row>
    <row r="10" spans="1:12" x14ac:dyDescent="0.2">
      <c r="B10" t="s">
        <v>49</v>
      </c>
      <c r="C10" s="3">
        <f>C4/1000*constants!C3*E10</f>
        <v>6.7244322751463228</v>
      </c>
      <c r="D10" t="s">
        <v>8</v>
      </c>
      <c r="E10">
        <v>10</v>
      </c>
      <c r="F10" t="s">
        <v>50</v>
      </c>
    </row>
    <row r="11" spans="1:12" x14ac:dyDescent="0.2">
      <c r="B11" t="s">
        <v>199</v>
      </c>
      <c r="C11" s="3">
        <f>design!C16</f>
        <v>5502699.1365877874</v>
      </c>
    </row>
    <row r="12" spans="1:12" x14ac:dyDescent="0.2">
      <c r="A12" t="s">
        <v>22</v>
      </c>
    </row>
    <row r="13" spans="1:12" x14ac:dyDescent="0.2">
      <c r="B13" t="s">
        <v>23</v>
      </c>
      <c r="C13" s="3">
        <v>5.0520903105145081E-11</v>
      </c>
      <c r="D13" t="s">
        <v>24</v>
      </c>
    </row>
    <row r="14" spans="1:12" x14ac:dyDescent="0.2">
      <c r="B14" t="s">
        <v>135</v>
      </c>
      <c r="C14" s="3">
        <f>(G20)*3.6+(C9*(1-C8))</f>
        <v>14081559.999999998</v>
      </c>
      <c r="D14" t="s">
        <v>136</v>
      </c>
    </row>
    <row r="15" spans="1:12" x14ac:dyDescent="0.2">
      <c r="B15" t="s">
        <v>137</v>
      </c>
      <c r="C15" s="3">
        <v>0.6</v>
      </c>
    </row>
    <row r="16" spans="1:12" x14ac:dyDescent="0.2">
      <c r="B16" t="s">
        <v>52</v>
      </c>
      <c r="C16" s="3">
        <f>C14/E16</f>
        <v>140815.59999999998</v>
      </c>
      <c r="D16" t="s">
        <v>8</v>
      </c>
      <c r="E16">
        <v>100</v>
      </c>
      <c r="F16" t="s">
        <v>50</v>
      </c>
    </row>
    <row r="17" spans="1:11" x14ac:dyDescent="0.2">
      <c r="B17" t="s">
        <v>138</v>
      </c>
      <c r="C17" s="3">
        <f>C16/7000</f>
        <v>20.116514285714281</v>
      </c>
      <c r="D17" t="s">
        <v>30</v>
      </c>
      <c r="G17" s="3"/>
      <c r="I17" s="3"/>
    </row>
    <row r="18" spans="1:11" x14ac:dyDescent="0.2">
      <c r="B18" t="s">
        <v>139</v>
      </c>
      <c r="C18" s="5">
        <f>POWER(C17*3/(4*PI()),1/3)</f>
        <v>1.6871539260863464</v>
      </c>
      <c r="D18" t="s">
        <v>6</v>
      </c>
      <c r="G18" s="3"/>
    </row>
    <row r="19" spans="1:11" x14ac:dyDescent="0.2">
      <c r="B19" t="s">
        <v>25</v>
      </c>
      <c r="C19" s="3">
        <f>E19*C13</f>
        <v>7.8727286774695022E-5</v>
      </c>
      <c r="D19" t="s">
        <v>201</v>
      </c>
      <c r="E19" s="3">
        <f>G19/1000*3600</f>
        <v>1558311.153125</v>
      </c>
      <c r="F19" t="s">
        <v>209</v>
      </c>
      <c r="G19" s="3">
        <f>C5/C8</f>
        <v>432864.20920138888</v>
      </c>
      <c r="H19" t="s">
        <v>208</v>
      </c>
      <c r="I19" s="3" t="s">
        <v>210</v>
      </c>
    </row>
    <row r="20" spans="1:11" x14ac:dyDescent="0.2">
      <c r="B20" t="s">
        <v>28</v>
      </c>
      <c r="C20" s="3">
        <f>E20/(24*3600)</f>
        <v>1.2652250707038128E-9</v>
      </c>
      <c r="D20" t="s">
        <v>13</v>
      </c>
      <c r="E20" s="3">
        <f>G20*$C$13</f>
        <v>1.0931544610880942E-4</v>
      </c>
      <c r="F20" t="s">
        <v>26</v>
      </c>
      <c r="G20" s="3">
        <f>accomodation!C22+90*1000*24</f>
        <v>2163766.6666666665</v>
      </c>
      <c r="H20" t="s">
        <v>27</v>
      </c>
    </row>
    <row r="21" spans="1:11" x14ac:dyDescent="0.2">
      <c r="A21" t="s">
        <v>149</v>
      </c>
      <c r="C21" s="3"/>
      <c r="E21" s="3"/>
      <c r="G21" s="3"/>
    </row>
    <row r="22" spans="1:11" x14ac:dyDescent="0.2">
      <c r="B22" t="s">
        <v>150</v>
      </c>
      <c r="C22" s="3">
        <f>C14*(1-C15)</f>
        <v>5632624</v>
      </c>
      <c r="D22" t="s">
        <v>136</v>
      </c>
    </row>
    <row r="23" spans="1:11" x14ac:dyDescent="0.2">
      <c r="B23" t="s">
        <v>151</v>
      </c>
      <c r="C23" s="3">
        <f>G20/3600*1000</f>
        <v>601046.29629629629</v>
      </c>
      <c r="D23" t="s">
        <v>136</v>
      </c>
    </row>
    <row r="24" spans="1:11" x14ac:dyDescent="0.2">
      <c r="K24" s="3"/>
    </row>
    <row r="25" spans="1:11" x14ac:dyDescent="0.2">
      <c r="A25" t="s">
        <v>10</v>
      </c>
    </row>
    <row r="26" spans="1:11" x14ac:dyDescent="0.2">
      <c r="B26" t="s">
        <v>192</v>
      </c>
      <c r="C26" s="3">
        <f>design!H33</f>
        <v>5119235.1365877874</v>
      </c>
    </row>
    <row r="27" spans="1:11" x14ac:dyDescent="0.2">
      <c r="B27" t="s">
        <v>193</v>
      </c>
      <c r="C27" s="3">
        <f>design!B33</f>
        <v>383464</v>
      </c>
    </row>
    <row r="28" spans="1:11" x14ac:dyDescent="0.2">
      <c r="B28" t="s">
        <v>197</v>
      </c>
      <c r="C28" s="3">
        <f>C26+C27</f>
        <v>5502699.1365877874</v>
      </c>
    </row>
    <row r="29" spans="1:11" ht="13" customHeight="1" x14ac:dyDescent="0.2">
      <c r="B29" t="s">
        <v>198</v>
      </c>
      <c r="C29" s="9">
        <v>2</v>
      </c>
    </row>
    <row r="30" spans="1:11" x14ac:dyDescent="0.2">
      <c r="B30" t="s">
        <v>223</v>
      </c>
      <c r="C30" s="3">
        <f>SUM(D38:D42)</f>
        <v>7047013.5211502993</v>
      </c>
    </row>
    <row r="31" spans="1:11" x14ac:dyDescent="0.2">
      <c r="B31" t="s">
        <v>224</v>
      </c>
      <c r="C31" s="3">
        <f>SUM(E38:E42)</f>
        <v>554.83593511252957</v>
      </c>
      <c r="D31" s="3">
        <f>structure!C9+structure!C10</f>
        <v>7047013.5211503003</v>
      </c>
    </row>
    <row r="32" spans="1:11" x14ac:dyDescent="0.2">
      <c r="C32" s="3"/>
    </row>
    <row r="33" spans="1:13" x14ac:dyDescent="0.2">
      <c r="A33" t="s">
        <v>226</v>
      </c>
      <c r="B33" s="3">
        <f>SUM(D38:D42)</f>
        <v>7047013.5211502993</v>
      </c>
      <c r="C33" s="3">
        <f>structure!$C$10+structure!$C$10</f>
        <v>961692.22821191326</v>
      </c>
      <c r="D33" s="3"/>
      <c r="E33" s="3"/>
      <c r="F33" s="3"/>
      <c r="G33" s="3"/>
      <c r="H33" s="4"/>
      <c r="J33" s="4"/>
      <c r="K33" s="3"/>
    </row>
    <row r="34" spans="1:13" x14ac:dyDescent="0.2">
      <c r="A34" t="s">
        <v>227</v>
      </c>
      <c r="B34" s="4">
        <f>(J38+J39)+H38*(design!$C$24-performance!L36)</f>
        <v>11.450249270152501</v>
      </c>
      <c r="C34" s="3" t="s">
        <v>44</v>
      </c>
      <c r="D34" s="3"/>
      <c r="E34" s="3"/>
      <c r="F34" s="3"/>
      <c r="G34" s="3"/>
      <c r="H34" s="4"/>
      <c r="J34" s="4"/>
      <c r="K34" s="3"/>
    </row>
    <row r="35" spans="1:13" x14ac:dyDescent="0.2">
      <c r="A35" t="s">
        <v>228</v>
      </c>
      <c r="B35" s="4">
        <f>(J47+J49)+H47*(design!$C$24-L44)</f>
        <v>61.473036159720877</v>
      </c>
      <c r="C35" s="3" t="s">
        <v>44</v>
      </c>
      <c r="D35" s="3"/>
      <c r="E35" s="3"/>
      <c r="F35" s="3"/>
      <c r="G35" s="3"/>
      <c r="H35" s="4"/>
      <c r="J35" s="4"/>
      <c r="K35" s="3"/>
    </row>
    <row r="36" spans="1:13" x14ac:dyDescent="0.2">
      <c r="A36" t="s">
        <v>219</v>
      </c>
      <c r="L36" s="4">
        <f>SUM(L38:L42)/24</f>
        <v>4.3845814751806378</v>
      </c>
    </row>
    <row r="37" spans="1:13" x14ac:dyDescent="0.2">
      <c r="A37" t="s">
        <v>195</v>
      </c>
      <c r="B37" t="s">
        <v>196</v>
      </c>
      <c r="C37" t="s">
        <v>197</v>
      </c>
      <c r="D37" t="s">
        <v>200</v>
      </c>
      <c r="E37" t="s">
        <v>42</v>
      </c>
      <c r="F37" t="s">
        <v>75</v>
      </c>
      <c r="H37" t="s">
        <v>120</v>
      </c>
      <c r="J37" t="s">
        <v>229</v>
      </c>
      <c r="K37" t="s">
        <v>211</v>
      </c>
      <c r="L37" t="s">
        <v>43</v>
      </c>
    </row>
    <row r="38" spans="1:13" x14ac:dyDescent="0.2">
      <c r="A38">
        <v>1</v>
      </c>
      <c r="B38" s="3">
        <f>EXP(F38/$C$6)*C38</f>
        <v>12550267.4936732</v>
      </c>
      <c r="C38" s="3">
        <f>B39</f>
        <v>10642350.045496831</v>
      </c>
      <c r="D38" s="3">
        <f>B38-C38-E38</f>
        <v>1907767.2430122842</v>
      </c>
      <c r="E38" s="3">
        <f>(B38-C38)*$C$19</f>
        <v>150.20516408502533</v>
      </c>
      <c r="F38" s="3">
        <f>$C$5</f>
        <v>346291.3673611111</v>
      </c>
      <c r="G38" s="3">
        <f>$C$6*LN(B38/C38)</f>
        <v>346291.36736111098</v>
      </c>
      <c r="H38" s="4">
        <f>F38*3600*24/constants!$C$9</f>
        <v>0.2</v>
      </c>
      <c r="I38" t="s">
        <v>41</v>
      </c>
      <c r="J38" s="4">
        <f>F38*(B38/$C$4)*(1-(C38/B38)*(LOG(B38/C38)+1))/constants!$C$9</f>
        <v>0.17703975633200475</v>
      </c>
      <c r="K38" s="4">
        <f>($C$6*$C$4)/C38/9.8</f>
        <v>0.30164428607486071</v>
      </c>
      <c r="L38" s="4">
        <f>D38/$C$4/3600</f>
        <v>35.37394231056895</v>
      </c>
      <c r="M38" t="s">
        <v>39</v>
      </c>
    </row>
    <row r="39" spans="1:13" x14ac:dyDescent="0.2">
      <c r="A39">
        <f>A38+1</f>
        <v>2</v>
      </c>
      <c r="B39" s="3">
        <f t="shared" ref="B39:B41" si="0">EXP(F39/$C$6)*C39</f>
        <v>10642350.045496831</v>
      </c>
      <c r="C39" s="3">
        <f t="shared" ref="C39:C41" si="1">B40</f>
        <v>9024478.1274966821</v>
      </c>
      <c r="D39" s="3">
        <f t="shared" ref="D39:D41" si="2">B39-C39-E39</f>
        <v>1617744.5473336955</v>
      </c>
      <c r="E39" s="3">
        <f t="shared" ref="E39:E41" si="3">(B39-C39)*$C$19</f>
        <v>127.37066645312356</v>
      </c>
      <c r="F39" s="3">
        <f t="shared" ref="F39:F40" si="4">$C$5</f>
        <v>346291.3673611111</v>
      </c>
      <c r="G39" s="3">
        <f t="shared" ref="G39:G40" si="5">$C$6*LN(B39/C39)</f>
        <v>346291.36736111098</v>
      </c>
      <c r="H39" s="4">
        <f>F39*3600*24/constants!$C$9</f>
        <v>0.2</v>
      </c>
      <c r="I39" t="s">
        <v>41</v>
      </c>
      <c r="J39" s="4">
        <f>$C$5*(B39/$C$4)*(1-(C39/B39)*(LOG(B39/C39)+1))/constants!$C$9</f>
        <v>0.15012580885662194</v>
      </c>
      <c r="K39" s="4">
        <f>($C$6*$C$4)/C39/9.8</f>
        <v>0.35572185297357889</v>
      </c>
      <c r="L39" s="4">
        <f t="shared" ref="L39:L42" si="6">D39/$C$4/3600</f>
        <v>29.996322926827368</v>
      </c>
      <c r="M39" t="s">
        <v>39</v>
      </c>
    </row>
    <row r="40" spans="1:13" x14ac:dyDescent="0.2">
      <c r="A40">
        <f t="shared" ref="A40:A41" si="7">A39+1</f>
        <v>3</v>
      </c>
      <c r="B40" s="3">
        <f t="shared" si="0"/>
        <v>9024478.1274966821</v>
      </c>
      <c r="C40" s="3">
        <f t="shared" si="1"/>
        <v>7652558.4222938418</v>
      </c>
      <c r="D40" s="3">
        <f t="shared" si="2"/>
        <v>1371811.697686777</v>
      </c>
      <c r="E40" s="3">
        <f t="shared" si="3"/>
        <v>108.00751606335906</v>
      </c>
      <c r="F40" s="3">
        <f t="shared" si="4"/>
        <v>346291.3673611111</v>
      </c>
      <c r="G40" s="3">
        <f t="shared" si="5"/>
        <v>346291.36736111098</v>
      </c>
      <c r="H40" s="4">
        <f>F40*3600*24/constants!$C$9</f>
        <v>0.2</v>
      </c>
      <c r="I40" t="s">
        <v>41</v>
      </c>
      <c r="J40" s="4">
        <f>$C$5*(B40/$C$4)*(1-(C40/B40)*(LOG(B40/C40)+1))/constants!$C$9</f>
        <v>0.12730337496957272</v>
      </c>
      <c r="K40" s="4">
        <f>($C$6*$C$4)/C40/9.8</f>
        <v>0.41949422722216856</v>
      </c>
      <c r="L40" s="4"/>
      <c r="M40" t="s">
        <v>39</v>
      </c>
    </row>
    <row r="41" spans="1:13" x14ac:dyDescent="0.2">
      <c r="A41">
        <f t="shared" si="7"/>
        <v>4</v>
      </c>
      <c r="B41" s="3">
        <f t="shared" si="0"/>
        <v>7652558.4222938418</v>
      </c>
      <c r="C41" s="3">
        <f t="shared" si="1"/>
        <v>6489200.7692044731</v>
      </c>
      <c r="D41" s="3">
        <f t="shared" si="2"/>
        <v>1163266.0650977923</v>
      </c>
      <c r="E41" s="3">
        <f t="shared" si="3"/>
        <v>91.587991576302898</v>
      </c>
      <c r="F41" s="3">
        <f t="shared" ref="F41:F42" si="8">$C$5</f>
        <v>346291.3673611111</v>
      </c>
      <c r="G41" s="3">
        <f t="shared" ref="G41" si="9">$C$6*LN(B41/C41)</f>
        <v>346291.36736111098</v>
      </c>
      <c r="H41" s="4">
        <f>F41*3600*24/constants!$C$9</f>
        <v>0.2</v>
      </c>
      <c r="I41" t="s">
        <v>41</v>
      </c>
      <c r="J41" s="4">
        <f>$C$5*(B41/$C$4)*(1-(C41/B41)*(LOG(B41/C41)+1))/constants!$C$9</f>
        <v>0.10795045436938404</v>
      </c>
      <c r="K41" s="4">
        <f>($C$6*$C$4)/C41/9.8</f>
        <v>0.49469945464889659</v>
      </c>
      <c r="L41" s="4">
        <f t="shared" si="6"/>
        <v>21.569353824127319</v>
      </c>
      <c r="M41" t="s">
        <v>39</v>
      </c>
    </row>
    <row r="42" spans="1:13" x14ac:dyDescent="0.2">
      <c r="A42">
        <f t="shared" ref="A42" si="10">A41+1</f>
        <v>5</v>
      </c>
      <c r="B42" s="3">
        <f t="shared" ref="B42" si="11">EXP(F42/$C$6)*C42</f>
        <v>6489200.7692044731</v>
      </c>
      <c r="C42" s="3">
        <f>$C$28</f>
        <v>5502699.1365877874</v>
      </c>
      <c r="D42" s="3">
        <f t="shared" ref="D42" si="12">B42-C42-E42</f>
        <v>986423.96801975102</v>
      </c>
      <c r="E42" s="3">
        <f t="shared" ref="E42" si="13">(B42-C42)*$C$19</f>
        <v>77.664596934718645</v>
      </c>
      <c r="F42" s="3">
        <f t="shared" si="8"/>
        <v>346291.3673611111</v>
      </c>
      <c r="G42" s="3">
        <f t="shared" ref="G42" si="14">$C$6*LN(B42/C42)</f>
        <v>346291.36736111098</v>
      </c>
      <c r="H42" s="4">
        <f>F42*3600*24/constants!$C$9</f>
        <v>0.2</v>
      </c>
      <c r="I42" t="s">
        <v>41</v>
      </c>
      <c r="J42" s="4">
        <f>$C$5*(B42/$C$4)*(1-(C42/B42)*(LOG(B42/C42)+1))/constants!$C$9</f>
        <v>9.1539604518275836E-2</v>
      </c>
      <c r="K42" s="4">
        <f>($C$6*$C$4)/C42/9.8</f>
        <v>0.58338717090451253</v>
      </c>
      <c r="L42" s="4">
        <f t="shared" si="6"/>
        <v>18.29033634281166</v>
      </c>
      <c r="M42" t="s">
        <v>39</v>
      </c>
    </row>
    <row r="43" spans="1:13" x14ac:dyDescent="0.2">
      <c r="B43" s="3"/>
      <c r="C43" s="3"/>
      <c r="D43" s="3"/>
      <c r="E43" s="3"/>
    </row>
    <row r="44" spans="1:13" x14ac:dyDescent="0.2">
      <c r="B44" s="3"/>
      <c r="C44" s="3"/>
      <c r="D44" s="3">
        <f>SUM(D47:D49)</f>
        <v>6739130.2871712288</v>
      </c>
      <c r="E44" s="3"/>
    </row>
    <row r="45" spans="1:13" x14ac:dyDescent="0.2">
      <c r="A45" t="s">
        <v>220</v>
      </c>
      <c r="B45" t="s">
        <v>196</v>
      </c>
      <c r="C45" t="s">
        <v>197</v>
      </c>
      <c r="D45" t="s">
        <v>200</v>
      </c>
      <c r="E45" t="s">
        <v>42</v>
      </c>
      <c r="F45" t="s">
        <v>75</v>
      </c>
      <c r="H45" t="s">
        <v>120</v>
      </c>
      <c r="J45" t="s">
        <v>211</v>
      </c>
    </row>
    <row r="46" spans="1:13" x14ac:dyDescent="0.2">
      <c r="A46">
        <v>1</v>
      </c>
      <c r="B46" s="3">
        <f>EXP(F46/$C$6)*C46</f>
        <v>11859556.018974068</v>
      </c>
      <c r="C46" s="3">
        <f>B47</f>
        <v>11859556.018974068</v>
      </c>
      <c r="D46" s="3">
        <f>B46-C46-E46</f>
        <v>0</v>
      </c>
      <c r="E46" s="3">
        <f>(B46-C46)*$C$19</f>
        <v>0</v>
      </c>
      <c r="F46" s="3">
        <v>0</v>
      </c>
      <c r="G46" s="3">
        <f>$C$6*LN(B46/C46)</f>
        <v>0</v>
      </c>
      <c r="H46" s="4">
        <f>F46*3600*24/constants!$C$9</f>
        <v>0</v>
      </c>
      <c r="I46" t="s">
        <v>41</v>
      </c>
      <c r="J46" s="4">
        <f>($C$6*$C$4)/C46/9.8</f>
        <v>0.27068501354491326</v>
      </c>
      <c r="L46" s="4">
        <f>D46/$C$4/3600</f>
        <v>0</v>
      </c>
    </row>
    <row r="47" spans="1:13" x14ac:dyDescent="0.2">
      <c r="A47">
        <v>1</v>
      </c>
      <c r="B47" s="3">
        <f t="shared" ref="B47:B48" si="15">EXP(F47/$C$6)*C47</f>
        <v>11859556.018974068</v>
      </c>
      <c r="C47" s="3">
        <f t="shared" ref="C47:C48" si="16">B48</f>
        <v>5183678.3481573565</v>
      </c>
      <c r="D47" s="3">
        <f t="shared" ref="D47:D48" si="17">B47-C47-E47</f>
        <v>6675352.0970808482</v>
      </c>
      <c r="E47" s="3">
        <f t="shared" ref="E47:E48" si="18">(B47-C47)*$C$19</f>
        <v>525.57373586317021</v>
      </c>
      <c r="F47" s="3">
        <f>1580000*1.1</f>
        <v>1738000.0000000002</v>
      </c>
      <c r="G47" s="3">
        <f>$C$6*LN(B47/C47)</f>
        <v>1738000.0000000005</v>
      </c>
      <c r="H47" s="4">
        <f>F47*3600*24/constants!$C$9</f>
        <v>1.0037789929586212</v>
      </c>
      <c r="I47" t="s">
        <v>41</v>
      </c>
      <c r="J47" s="4">
        <f>($C$6*$C$4)/C47/9.8</f>
        <v>0.61929075571862691</v>
      </c>
      <c r="L47" s="4">
        <f>D47/$C$4/3600</f>
        <v>123.77480578397419</v>
      </c>
    </row>
    <row r="48" spans="1:13" x14ac:dyDescent="0.2">
      <c r="A48">
        <v>1</v>
      </c>
      <c r="B48" s="3">
        <f t="shared" si="15"/>
        <v>5183678.3481573565</v>
      </c>
      <c r="C48" s="3">
        <f t="shared" si="16"/>
        <v>5151688.0305746645</v>
      </c>
      <c r="D48" s="3">
        <f t="shared" si="17"/>
        <v>31987.799071785674</v>
      </c>
      <c r="E48" s="3">
        <f t="shared" si="18"/>
        <v>2.518510906346163</v>
      </c>
      <c r="F48" s="3">
        <v>13000</v>
      </c>
      <c r="G48" s="3">
        <f>$C$6*LN(B48/C48)</f>
        <v>12999.999999999785</v>
      </c>
      <c r="H48" s="4">
        <f>F48*3600*24/constants!$C$9</f>
        <v>7.5081282557319176E-3</v>
      </c>
      <c r="I48" t="s">
        <v>41</v>
      </c>
      <c r="J48" s="4">
        <f>($C$6*$C$4)/C48/9.8</f>
        <v>0.62313635114946175</v>
      </c>
      <c r="L48" s="4">
        <f>D48/$C$4/3600</f>
        <v>0.5931198174997343</v>
      </c>
    </row>
    <row r="49" spans="1:13" x14ac:dyDescent="0.2">
      <c r="A49">
        <v>2</v>
      </c>
      <c r="B49" s="3">
        <f>EXP(F49/$C$6)*C49</f>
        <v>5151688.0305746645</v>
      </c>
      <c r="C49" s="3">
        <f>C26+3*220</f>
        <v>5119895.1365877874</v>
      </c>
      <c r="D49" s="3">
        <f>B49-C49-E49</f>
        <v>31790.391018594753</v>
      </c>
      <c r="E49" s="3">
        <f>(B49-C49)*$C$19</f>
        <v>2.5029682823023469</v>
      </c>
      <c r="F49" s="3">
        <f>F48</f>
        <v>13000</v>
      </c>
      <c r="G49" s="3">
        <f>$C$6*LN(B49/C49)</f>
        <v>12999.999999999785</v>
      </c>
      <c r="H49" s="4">
        <f>F49*3600*24/constants!$C$9</f>
        <v>7.5081282557319176E-3</v>
      </c>
      <c r="I49" t="s">
        <v>41</v>
      </c>
      <c r="J49" s="4">
        <f>($C$6*$C$4)/C49/9.8</f>
        <v>0.6270058264849796</v>
      </c>
      <c r="K49" s="3"/>
      <c r="L49" s="4">
        <f>D49/$C$4/3600</f>
        <v>0.58945946474402222</v>
      </c>
    </row>
    <row r="50" spans="1:13" x14ac:dyDescent="0.2">
      <c r="B50" s="3"/>
      <c r="C50" s="3"/>
      <c r="D50" s="3"/>
      <c r="E50" s="3"/>
      <c r="F50" s="3"/>
      <c r="G50" s="3"/>
      <c r="H50" s="4"/>
      <c r="J50" s="4"/>
      <c r="K50" s="3"/>
      <c r="M50">
        <f>SUM(L48:L49)*60</f>
        <v>70.954756934625379</v>
      </c>
    </row>
    <row r="51" spans="1:13" x14ac:dyDescent="0.2">
      <c r="B51" s="3"/>
      <c r="C51" s="3"/>
      <c r="D51" s="3"/>
      <c r="E51" s="3"/>
      <c r="F51" s="3"/>
      <c r="G51" s="3"/>
      <c r="H51" s="4"/>
      <c r="J51" s="4"/>
      <c r="K51" s="3"/>
    </row>
    <row r="52" spans="1:13" x14ac:dyDescent="0.2">
      <c r="A52" t="s">
        <v>226</v>
      </c>
      <c r="B52" s="3">
        <f>SUM(D65:D66)</f>
        <v>8949522.9811901618</v>
      </c>
      <c r="C52" s="3">
        <f>structure!$C$10</f>
        <v>480846.11410595663</v>
      </c>
      <c r="D52" s="3"/>
      <c r="E52" s="3"/>
      <c r="F52" s="3"/>
      <c r="G52" s="3"/>
      <c r="H52" s="4"/>
      <c r="J52" s="4"/>
      <c r="K52" s="3"/>
    </row>
    <row r="53" spans="1:13" x14ac:dyDescent="0.2">
      <c r="A53" t="s">
        <v>227</v>
      </c>
      <c r="B53" s="4">
        <f>(J57+J58)+H57*(design!$C$24-performance!L55)</f>
        <v>13.180783624416573</v>
      </c>
      <c r="C53" s="3" t="s">
        <v>44</v>
      </c>
      <c r="D53" s="3"/>
      <c r="E53" s="3"/>
      <c r="F53" s="3"/>
      <c r="G53" s="3"/>
      <c r="H53" s="4"/>
      <c r="J53" s="4"/>
      <c r="K53" s="3"/>
    </row>
    <row r="54" spans="1:13" x14ac:dyDescent="0.2">
      <c r="A54" t="s">
        <v>228</v>
      </c>
      <c r="B54" s="4">
        <f>(J65+J66)+H65*(design!$C$24-L63)</f>
        <v>32.002724157552223</v>
      </c>
      <c r="C54" s="3" t="s">
        <v>44</v>
      </c>
      <c r="D54" s="3"/>
      <c r="E54" s="3"/>
      <c r="F54" s="3"/>
      <c r="G54" s="3"/>
      <c r="H54" s="4"/>
      <c r="J54" s="4"/>
      <c r="K54" s="3"/>
    </row>
    <row r="55" spans="1:13" x14ac:dyDescent="0.2">
      <c r="A55" t="s">
        <v>219</v>
      </c>
      <c r="L55" s="4">
        <f>SUM(L57:L61)/24</f>
        <v>5.581655279418535</v>
      </c>
    </row>
    <row r="56" spans="1:13" x14ac:dyDescent="0.2">
      <c r="A56" t="s">
        <v>195</v>
      </c>
      <c r="B56" t="s">
        <v>196</v>
      </c>
      <c r="C56" t="s">
        <v>197</v>
      </c>
      <c r="D56" t="s">
        <v>200</v>
      </c>
      <c r="E56" t="s">
        <v>42</v>
      </c>
      <c r="F56" t="s">
        <v>75</v>
      </c>
      <c r="H56" t="s">
        <v>120</v>
      </c>
      <c r="J56" t="s">
        <v>229</v>
      </c>
      <c r="K56" t="s">
        <v>211</v>
      </c>
      <c r="L56" t="s">
        <v>43</v>
      </c>
    </row>
    <row r="57" spans="1:13" x14ac:dyDescent="0.2">
      <c r="A57">
        <v>1</v>
      </c>
      <c r="B57" s="3">
        <f>EXP(F57/$C$6)*C57</f>
        <v>14452926.744913571</v>
      </c>
      <c r="C57" s="3">
        <f>B58</f>
        <v>11914609.001421882</v>
      </c>
      <c r="D57" s="3">
        <f>B57-C57-E57</f>
        <v>2538117.9086227715</v>
      </c>
      <c r="E57" s="3">
        <f>(B57-C57)*$C$19</f>
        <v>199.83486891716694</v>
      </c>
      <c r="F57" s="3">
        <f>design!$C$12*2/5</f>
        <v>405576.44945333333</v>
      </c>
      <c r="G57" s="3">
        <f>$C$6*LN(B57/C57)</f>
        <v>405576.44945333339</v>
      </c>
      <c r="H57" s="4">
        <f>F57*3600*24/constants!$C$9</f>
        <v>0.23424000000000003</v>
      </c>
      <c r="I57" t="s">
        <v>41</v>
      </c>
      <c r="J57" s="4">
        <f>$C$5*(B57/$C$4)*(1-(C57/B57)*(LOG(B57/C57)+1))/constants!$C$9</f>
        <v>0.23779701377190843</v>
      </c>
      <c r="K57" s="4">
        <f>($C$6*$C$4)/C57/9.8</f>
        <v>0.26943427864477543</v>
      </c>
      <c r="L57" s="4">
        <f>D57/$C$4/3600</f>
        <v>47.061944692623975</v>
      </c>
      <c r="M57" t="s">
        <v>39</v>
      </c>
    </row>
    <row r="58" spans="1:13" x14ac:dyDescent="0.2">
      <c r="A58">
        <f>A57+1</f>
        <v>2</v>
      </c>
      <c r="B58" s="3">
        <f t="shared" ref="B58:B61" si="19">EXP(F58/$C$6)*C58</f>
        <v>11914609.001421882</v>
      </c>
      <c r="C58" s="3">
        <f t="shared" ref="C58:C60" si="20">B59</f>
        <v>9822087.260403689</v>
      </c>
      <c r="D58" s="3">
        <f t="shared" ref="D58:D61" si="21">B58-C58-E58</f>
        <v>2092357.0024590055</v>
      </c>
      <c r="E58" s="3">
        <f t="shared" ref="E58:E61" si="22">(B58-C58)*$C$19</f>
        <v>164.73855918742336</v>
      </c>
      <c r="F58" s="3">
        <f>design!$C$12*2/5</f>
        <v>405576.44945333333</v>
      </c>
      <c r="G58" s="3">
        <f t="shared" ref="G58:G61" si="23">$C$6*LN(B58/C58)</f>
        <v>405576.44945333339</v>
      </c>
      <c r="H58" s="4">
        <f>F58*3600*24/constants!$C$9</f>
        <v>0.23424000000000003</v>
      </c>
      <c r="I58" t="s">
        <v>41</v>
      </c>
      <c r="J58" s="4">
        <f>$C$5*(B58/$C$4)*(1-(C58/B58)*(LOG(B58/C58)+1))/constants!$C$9</f>
        <v>0.19603354329566047</v>
      </c>
      <c r="K58" s="4">
        <f>($C$6*$C$4)/C58/9.8</f>
        <v>0.32683522315812868</v>
      </c>
      <c r="L58" s="4">
        <f t="shared" ref="L58" si="24">D58/$C$4/3600</f>
        <v>38.796617443348794</v>
      </c>
      <c r="M58" t="s">
        <v>39</v>
      </c>
    </row>
    <row r="59" spans="1:13" x14ac:dyDescent="0.2">
      <c r="A59">
        <f t="shared" ref="A59:A61" si="25">A58+1</f>
        <v>3</v>
      </c>
      <c r="B59" s="3">
        <f t="shared" si="19"/>
        <v>9822087.260403689</v>
      </c>
      <c r="C59" s="3">
        <f t="shared" si="20"/>
        <v>8097067.905415223</v>
      </c>
      <c r="D59" s="3">
        <f t="shared" si="21"/>
        <v>1724883.548895014</v>
      </c>
      <c r="E59" s="3">
        <f t="shared" si="22"/>
        <v>135.8060934520764</v>
      </c>
      <c r="F59" s="3">
        <f>design!$C$12*2/5</f>
        <v>405576.44945333333</v>
      </c>
      <c r="G59" s="3">
        <f t="shared" si="23"/>
        <v>405576.44945333339</v>
      </c>
      <c r="H59" s="4">
        <f>F59*3600*24/constants!$C$9</f>
        <v>0.23424000000000003</v>
      </c>
      <c r="I59" t="s">
        <v>41</v>
      </c>
      <c r="J59" s="4">
        <f>$C$5*(B59/$C$4)*(1-(C59/B59)*(LOG(B59/C59)+1))/constants!$C$9</f>
        <v>0.16160484729178429</v>
      </c>
      <c r="K59" s="4">
        <f>($C$6*$C$4)/C59/9.8</f>
        <v>0.39646500673233903</v>
      </c>
      <c r="L59" s="4"/>
      <c r="M59" t="s">
        <v>39</v>
      </c>
    </row>
    <row r="60" spans="1:13" x14ac:dyDescent="0.2">
      <c r="A60">
        <f t="shared" si="25"/>
        <v>4</v>
      </c>
      <c r="B60" s="3">
        <f t="shared" si="19"/>
        <v>8097067.905415223</v>
      </c>
      <c r="C60" s="3">
        <f t="shared" si="20"/>
        <v>6675007.7581993137</v>
      </c>
      <c r="D60" s="3">
        <f t="shared" si="21"/>
        <v>1421948.1922788885</v>
      </c>
      <c r="E60" s="3">
        <f t="shared" si="22"/>
        <v>111.95493702073192</v>
      </c>
      <c r="F60" s="3">
        <f>design!$C$12*2/5</f>
        <v>405576.44945333333</v>
      </c>
      <c r="G60" s="3">
        <f t="shared" si="23"/>
        <v>405576.44945333339</v>
      </c>
      <c r="H60" s="4">
        <f>F60*3600*24/constants!$C$9</f>
        <v>0.23424000000000003</v>
      </c>
      <c r="I60" t="s">
        <v>41</v>
      </c>
      <c r="J60" s="4">
        <f>$C$5*(B60/$C$4)*(1-(C60/B60)*(LOG(B60/C60)+1))/constants!$C$9</f>
        <v>0.13322274458311564</v>
      </c>
      <c r="K60" s="4">
        <f>($C$6*$C$4)/C60/9.8</f>
        <v>0.48092889145924456</v>
      </c>
      <c r="L60" s="4">
        <f t="shared" ref="L60:L61" si="26">D60/$C$4/3600</f>
        <v>26.365854381098274</v>
      </c>
      <c r="M60" t="s">
        <v>39</v>
      </c>
    </row>
    <row r="61" spans="1:13" x14ac:dyDescent="0.2">
      <c r="A61">
        <f t="shared" si="25"/>
        <v>5</v>
      </c>
      <c r="B61" s="3">
        <f t="shared" si="19"/>
        <v>6675007.7581993137</v>
      </c>
      <c r="C61" s="3">
        <f>$C$28</f>
        <v>5502699.1365877874</v>
      </c>
      <c r="D61" s="3">
        <f t="shared" si="21"/>
        <v>1172216.3289344842</v>
      </c>
      <c r="E61" s="3">
        <f t="shared" si="22"/>
        <v>92.29267704205806</v>
      </c>
      <c r="F61" s="3">
        <f>design!$C$12*2/5</f>
        <v>405576.44945333333</v>
      </c>
      <c r="G61" s="3">
        <f t="shared" si="23"/>
        <v>405576.44945333339</v>
      </c>
      <c r="H61" s="4">
        <f>F61*3600*24/constants!$C$9</f>
        <v>0.23424000000000003</v>
      </c>
      <c r="I61" t="s">
        <v>41</v>
      </c>
      <c r="J61" s="4">
        <f>$C$5*(B61/$C$4)*(1-(C61/B61)*(LOG(B61/C61)+1))/constants!$C$9</f>
        <v>0.10982529281570852</v>
      </c>
      <c r="K61" s="4">
        <f>($C$6*$C$4)/C61/9.8</f>
        <v>0.58338717090451253</v>
      </c>
      <c r="L61" s="4">
        <f t="shared" si="26"/>
        <v>21.735310188973802</v>
      </c>
      <c r="M61" t="s">
        <v>39</v>
      </c>
    </row>
    <row r="62" spans="1:13" x14ac:dyDescent="0.2">
      <c r="B62" s="3"/>
      <c r="C62" s="3"/>
      <c r="D62" s="3"/>
      <c r="E62" s="3"/>
      <c r="F62" s="3"/>
      <c r="G62" s="3"/>
      <c r="H62" s="4"/>
      <c r="J62" s="4"/>
      <c r="K62" s="4"/>
      <c r="L62" s="4"/>
    </row>
    <row r="63" spans="1:13" x14ac:dyDescent="0.2">
      <c r="B63" s="3"/>
      <c r="C63" s="3"/>
      <c r="E63" s="3"/>
      <c r="F63" s="3"/>
      <c r="G63" s="3"/>
      <c r="H63" s="4"/>
      <c r="J63" s="4"/>
      <c r="K63" s="3"/>
      <c r="L63" s="4">
        <f>SUM(L65:L66)/24</f>
        <v>6.9142761606814576</v>
      </c>
    </row>
    <row r="64" spans="1:13" x14ac:dyDescent="0.2">
      <c r="A64" t="s">
        <v>220</v>
      </c>
      <c r="B64" t="s">
        <v>196</v>
      </c>
      <c r="C64" t="s">
        <v>197</v>
      </c>
      <c r="D64" t="s">
        <v>200</v>
      </c>
      <c r="E64" t="s">
        <v>42</v>
      </c>
      <c r="F64" t="s">
        <v>75</v>
      </c>
      <c r="H64" t="s">
        <v>120</v>
      </c>
      <c r="J64" t="s">
        <v>229</v>
      </c>
      <c r="K64" t="s">
        <v>211</v>
      </c>
      <c r="L64" t="s">
        <v>43</v>
      </c>
    </row>
    <row r="65" spans="1:13" x14ac:dyDescent="0.2">
      <c r="A65">
        <v>1</v>
      </c>
      <c r="B65" s="3">
        <f>EXP(F65/$C$6)*C65</f>
        <v>14452926.744913569</v>
      </c>
      <c r="C65" s="3">
        <f>B66</f>
        <v>8917965.4361520391</v>
      </c>
      <c r="D65" s="3">
        <f>B65-C65-E65</f>
        <v>5534525.5562752876</v>
      </c>
      <c r="E65" s="3">
        <f>(B65-C65)*$C$19</f>
        <v>435.75248624171024</v>
      </c>
      <c r="F65" s="3">
        <f>design!C12</f>
        <v>1013941.1236333334</v>
      </c>
      <c r="G65" s="3">
        <f>$C$6*LN(B65/C65)</f>
        <v>1013941.1236333334</v>
      </c>
      <c r="H65" s="4">
        <f>F65*3600*24/constants!$C$9</f>
        <v>0.58560000000000001</v>
      </c>
      <c r="I65" t="s">
        <v>41</v>
      </c>
      <c r="J65" s="4">
        <f>$C$5*(B65/$C$4)*(1-(C65/B65)*(LOG(B65/C65)+1))/constants!$C$9</f>
        <v>0.56629827372685804</v>
      </c>
      <c r="K65" s="4">
        <f>($C$6*$C$4)/C65/9.8</f>
        <v>0.35997045566234048</v>
      </c>
      <c r="L65" s="4">
        <f>D65/$C$4/3600</f>
        <v>102.62152705532691</v>
      </c>
      <c r="M65" t="s">
        <v>39</v>
      </c>
    </row>
    <row r="66" spans="1:13" x14ac:dyDescent="0.2">
      <c r="A66">
        <v>2</v>
      </c>
      <c r="B66" s="3">
        <f>EXP(F66/$C$6)*C66</f>
        <v>8917965.4361520391</v>
      </c>
      <c r="C66" s="3">
        <f>$C$28</f>
        <v>5502699.1365877874</v>
      </c>
      <c r="D66" s="3">
        <f>B66-C66-E66</f>
        <v>3414997.4249148741</v>
      </c>
      <c r="E66" s="3">
        <f>(B66-C66)*$C$19</f>
        <v>268.87464937774632</v>
      </c>
      <c r="F66" s="3">
        <f>F65</f>
        <v>1013941.1236333334</v>
      </c>
      <c r="G66" s="3">
        <f>$C$6*LN(B66/C66)</f>
        <v>1013941.1236333331</v>
      </c>
      <c r="H66" s="4">
        <f>F66*3600*24/constants!$C$9</f>
        <v>0.58560000000000001</v>
      </c>
      <c r="I66" t="s">
        <v>41</v>
      </c>
      <c r="J66" s="4">
        <f>$C$5*(B66/$C$4)*(1-(C66/B66)*(LOG(B66/C66)+1))/constants!$C$9</f>
        <v>0.34942600352043018</v>
      </c>
      <c r="K66" s="4">
        <f>($C$6*$C$4)/C66/9.8</f>
        <v>0.58338717090451253</v>
      </c>
      <c r="L66" s="4">
        <f t="shared" ref="L66" si="27">D66/$C$4/3600</f>
        <v>63.321100801028081</v>
      </c>
      <c r="M66" t="s">
        <v>39</v>
      </c>
    </row>
    <row r="67" spans="1:13" x14ac:dyDescent="0.2">
      <c r="C67" s="3"/>
      <c r="E67" s="4"/>
    </row>
    <row r="68" spans="1:13" x14ac:dyDescent="0.2">
      <c r="C68" s="3"/>
      <c r="E68" s="4"/>
      <c r="G68" s="4"/>
    </row>
    <row r="69" spans="1:13" x14ac:dyDescent="0.2">
      <c r="C69" s="3"/>
      <c r="E69" s="4"/>
    </row>
    <row r="70" spans="1:13" x14ac:dyDescent="0.2">
      <c r="C70" s="3"/>
      <c r="E70" s="4"/>
    </row>
    <row r="71" spans="1:13" x14ac:dyDescent="0.2">
      <c r="C71" s="4"/>
      <c r="E71" s="4"/>
      <c r="G71" s="6"/>
    </row>
    <row r="73" spans="1:13" x14ac:dyDescent="0.2">
      <c r="C73" s="3"/>
    </row>
    <row r="74" spans="1:13" x14ac:dyDescent="0.2">
      <c r="C74" s="3"/>
    </row>
    <row r="76" spans="1:13" x14ac:dyDescent="0.2">
      <c r="C76" s="3"/>
    </row>
    <row r="77" spans="1:13" x14ac:dyDescent="0.2">
      <c r="C77" s="3"/>
    </row>
    <row r="78" spans="1:13" x14ac:dyDescent="0.2">
      <c r="C78" s="3"/>
      <c r="E78" s="4"/>
    </row>
    <row r="79" spans="1:13" x14ac:dyDescent="0.2">
      <c r="C79" s="3"/>
      <c r="E79" s="4"/>
    </row>
    <row r="80" spans="1:13" x14ac:dyDescent="0.2">
      <c r="C80" s="3"/>
      <c r="E80" s="4"/>
    </row>
    <row r="81" spans="3:5" x14ac:dyDescent="0.2">
      <c r="C81" s="3"/>
      <c r="E81" s="4"/>
    </row>
    <row r="82" spans="3:5" x14ac:dyDescent="0.2">
      <c r="C82" s="4"/>
      <c r="E82" s="4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D00A72-FCD9-6846-89AF-16882FB656F4}">
  <dimension ref="A2:F30"/>
  <sheetViews>
    <sheetView workbookViewId="0">
      <selection activeCell="C3" sqref="C3"/>
    </sheetView>
  </sheetViews>
  <sheetFormatPr baseColWidth="10" defaultRowHeight="16" x14ac:dyDescent="0.2"/>
  <cols>
    <col min="1" max="1" width="20.1640625" bestFit="1" customWidth="1"/>
    <col min="2" max="2" width="16.6640625" bestFit="1" customWidth="1"/>
  </cols>
  <sheetData>
    <row r="2" spans="1:6" x14ac:dyDescent="0.2">
      <c r="A2" t="s">
        <v>0</v>
      </c>
      <c r="B2" t="s">
        <v>234</v>
      </c>
      <c r="C2" s="1">
        <f>E2*1016.04691/0.0283168466</f>
        <v>179.54618916474604</v>
      </c>
      <c r="D2" t="s">
        <v>0</v>
      </c>
      <c r="E2" s="1">
        <f>3220/(390*55*30)</f>
        <v>5.0038850038850039E-3</v>
      </c>
      <c r="F2" t="s">
        <v>2</v>
      </c>
    </row>
    <row r="3" spans="1:6" x14ac:dyDescent="0.2">
      <c r="B3" t="s">
        <v>183</v>
      </c>
      <c r="C3" s="1">
        <f>C2*0.25</f>
        <v>44.88654729118651</v>
      </c>
      <c r="D3" t="s">
        <v>0</v>
      </c>
      <c r="E3" s="1" t="s">
        <v>235</v>
      </c>
    </row>
    <row r="4" spans="1:6" x14ac:dyDescent="0.2">
      <c r="B4" t="s">
        <v>184</v>
      </c>
      <c r="C4" s="17">
        <f>26500/(553358+1497440)*1000</f>
        <v>12.921799221571311</v>
      </c>
      <c r="E4" t="s">
        <v>186</v>
      </c>
    </row>
    <row r="5" spans="1:6" x14ac:dyDescent="0.2">
      <c r="B5" t="s">
        <v>185</v>
      </c>
      <c r="C5" s="18">
        <f>C6</f>
        <v>2.7777777777777775E-3</v>
      </c>
    </row>
    <row r="6" spans="1:6" x14ac:dyDescent="0.2">
      <c r="B6" t="s">
        <v>187</v>
      </c>
      <c r="C6" s="2">
        <f>(500*907.18470008/C30)/(90*907.18470008)</f>
        <v>2.7777777777777775E-3</v>
      </c>
      <c r="D6" t="s">
        <v>0</v>
      </c>
    </row>
    <row r="7" spans="1:6" x14ac:dyDescent="0.2">
      <c r="A7" t="s">
        <v>1</v>
      </c>
      <c r="C7" s="1">
        <v>310</v>
      </c>
    </row>
    <row r="8" spans="1:6" x14ac:dyDescent="0.2">
      <c r="A8" t="s">
        <v>3</v>
      </c>
      <c r="C8" s="1">
        <v>2000</v>
      </c>
      <c r="D8" t="s">
        <v>4</v>
      </c>
    </row>
    <row r="9" spans="1:6" x14ac:dyDescent="0.2">
      <c r="A9" t="s">
        <v>5</v>
      </c>
      <c r="C9">
        <v>149597870700</v>
      </c>
      <c r="D9" t="s">
        <v>6</v>
      </c>
    </row>
    <row r="11" spans="1:6" x14ac:dyDescent="0.2">
      <c r="A11" t="s">
        <v>64</v>
      </c>
    </row>
    <row r="12" spans="1:6" x14ac:dyDescent="0.2">
      <c r="A12" t="s">
        <v>63</v>
      </c>
      <c r="C12">
        <f>1046000*1016.4</f>
        <v>1063154400</v>
      </c>
      <c r="D12" t="s">
        <v>8</v>
      </c>
    </row>
    <row r="13" spans="1:6" x14ac:dyDescent="0.2">
      <c r="A13" t="s">
        <v>65</v>
      </c>
      <c r="C13">
        <v>2970000</v>
      </c>
      <c r="D13" t="s">
        <v>8</v>
      </c>
    </row>
    <row r="15" spans="1:6" x14ac:dyDescent="0.2">
      <c r="A15" t="s">
        <v>76</v>
      </c>
      <c r="C15">
        <f>226963/5479</f>
        <v>41.424164993611974</v>
      </c>
      <c r="D15" t="s">
        <v>78</v>
      </c>
    </row>
    <row r="17" spans="1:5" x14ac:dyDescent="0.2">
      <c r="A17" t="s">
        <v>77</v>
      </c>
      <c r="C17" s="2">
        <v>1100</v>
      </c>
      <c r="D17" t="s">
        <v>0</v>
      </c>
    </row>
    <row r="19" spans="1:5" x14ac:dyDescent="0.2">
      <c r="A19" t="s">
        <v>88</v>
      </c>
      <c r="C19">
        <f>17300/114</f>
        <v>151.75438596491227</v>
      </c>
      <c r="E19" s="6" t="s">
        <v>89</v>
      </c>
    </row>
    <row r="20" spans="1:5" x14ac:dyDescent="0.2">
      <c r="A20" t="s">
        <v>132</v>
      </c>
      <c r="C20">
        <f>100/3</f>
        <v>33.333333333333336</v>
      </c>
      <c r="D20" t="s">
        <v>133</v>
      </c>
      <c r="E20" t="s">
        <v>140</v>
      </c>
    </row>
    <row r="21" spans="1:5" x14ac:dyDescent="0.2">
      <c r="A21" t="s">
        <v>175</v>
      </c>
      <c r="C21">
        <f>4661/6</f>
        <v>776.83333333333337</v>
      </c>
      <c r="D21" t="s">
        <v>176</v>
      </c>
    </row>
    <row r="23" spans="1:5" x14ac:dyDescent="0.2">
      <c r="A23" t="s">
        <v>72</v>
      </c>
    </row>
    <row r="24" spans="1:5" x14ac:dyDescent="0.2">
      <c r="B24" t="s">
        <v>153</v>
      </c>
      <c r="C24">
        <v>0.99980000000000002</v>
      </c>
      <c r="D24" t="s">
        <v>0</v>
      </c>
    </row>
    <row r="25" spans="1:5" x14ac:dyDescent="0.2">
      <c r="B25" t="s">
        <v>156</v>
      </c>
      <c r="C25">
        <f>333.55*1000</f>
        <v>333550</v>
      </c>
      <c r="D25" t="s">
        <v>157</v>
      </c>
    </row>
    <row r="26" spans="1:5" x14ac:dyDescent="0.2">
      <c r="B26" t="s">
        <v>158</v>
      </c>
      <c r="C26">
        <f>4186</f>
        <v>4186</v>
      </c>
      <c r="D26" t="s">
        <v>157</v>
      </c>
    </row>
    <row r="27" spans="1:5" x14ac:dyDescent="0.2">
      <c r="A27" t="s">
        <v>154</v>
      </c>
    </row>
    <row r="28" spans="1:5" x14ac:dyDescent="0.2">
      <c r="B28" t="s">
        <v>153</v>
      </c>
      <c r="C28">
        <v>916.7</v>
      </c>
      <c r="D28" t="s">
        <v>0</v>
      </c>
    </row>
    <row r="29" spans="1:5" x14ac:dyDescent="0.2">
      <c r="A29" t="s">
        <v>188</v>
      </c>
    </row>
    <row r="30" spans="1:5" x14ac:dyDescent="0.2">
      <c r="B30" t="s">
        <v>153</v>
      </c>
      <c r="C30">
        <v>2000</v>
      </c>
      <c r="D30" t="s">
        <v>0</v>
      </c>
    </row>
  </sheetData>
  <hyperlinks>
    <hyperlink ref="E19" r:id="rId1" xr:uid="{C2539AE1-F1A8-074A-A25B-2167B3DFA4F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design</vt:lpstr>
      <vt:lpstr>structure</vt:lpstr>
      <vt:lpstr>accomodation</vt:lpstr>
      <vt:lpstr>performance</vt:lpstr>
      <vt:lpstr>constants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Sean Woods</dc:creator>
  <cp:lastModifiedBy>Sean Woods</cp:lastModifiedBy>
  <dcterms:created xsi:type="dcterms:W3CDTF">2020-10-08T20:50:23Z</dcterms:created>
  <dcterms:modified xsi:type="dcterms:W3CDTF">2021-05-25T19:04:34Z</dcterms:modified>
</cp:coreProperties>
</file>